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anus\Dropbox\01_Töö Arengufond\01_ENMAK2030\Stsenaariumid\Majandusmõju\Uuendatud versioonid\"/>
    </mc:Choice>
  </mc:AlternateContent>
  <bookViews>
    <workbookView xWindow="888" yWindow="0" windowWidth="22152" windowHeight="9972" tabRatio="640" activeTab="1"/>
  </bookViews>
  <sheets>
    <sheet name="Tiitel" sheetId="28" r:id="rId1"/>
    <sheet name="TULEMUSED" sheetId="21" r:id="rId2"/>
    <sheet name="ARVUTUS" sheetId="18" r:id="rId3"/>
    <sheet name="VALDKONNAD" sheetId="22" r:id="rId4"/>
    <sheet name="Elekter" sheetId="30" r:id="rId5"/>
    <sheet name="Elektrivõrgud" sheetId="32" r:id="rId6"/>
    <sheet name="Soojus" sheetId="31" r:id="rId7"/>
    <sheet name="Hooned" sheetId="29" r:id="rId8"/>
    <sheet name="Transport" sheetId="34" r:id="rId9"/>
    <sheet name="Kütused" sheetId="27" r:id="rId10"/>
    <sheet name="Põlevkivi" sheetId="36" r:id="rId11"/>
    <sheet name="I-O 2010" sheetId="6" r:id="rId12"/>
    <sheet name="PROGNOOS" sheetId="17" r:id="rId13"/>
    <sheet name="ABITABELID" sheetId="16" r:id="rId14"/>
    <sheet name="JUHEND" sheetId="35" r:id="rId15"/>
  </sheets>
  <calcPr calcId="152511" calcMode="autoNoTable"/>
</workbook>
</file>

<file path=xl/calcChain.xml><?xml version="1.0" encoding="utf-8"?>
<calcChain xmlns="http://schemas.openxmlformats.org/spreadsheetml/2006/main">
  <c r="E111" i="27" l="1"/>
  <c r="F111" i="27"/>
  <c r="G111" i="27"/>
  <c r="H111" i="27"/>
  <c r="I111" i="27"/>
  <c r="J111" i="27"/>
  <c r="K111" i="27"/>
  <c r="D111" i="27"/>
  <c r="E110" i="27"/>
  <c r="F110" i="27"/>
  <c r="G110" i="27"/>
  <c r="H110" i="27"/>
  <c r="I110" i="27"/>
  <c r="J110" i="27"/>
  <c r="K110" i="27"/>
  <c r="D110" i="27"/>
  <c r="E140" i="27"/>
  <c r="F140" i="27"/>
  <c r="G140" i="27"/>
  <c r="H140" i="27"/>
  <c r="I140" i="27"/>
  <c r="J140" i="27"/>
  <c r="K140" i="27"/>
  <c r="D140" i="27"/>
  <c r="K139" i="27"/>
  <c r="E139" i="27"/>
  <c r="F139" i="27"/>
  <c r="G139" i="27"/>
  <c r="H139" i="27"/>
  <c r="I139" i="27"/>
  <c r="J139" i="27"/>
  <c r="D139" i="27"/>
  <c r="E228" i="34" l="1"/>
  <c r="F228" i="34"/>
  <c r="G228" i="34"/>
  <c r="H228" i="34"/>
  <c r="I228" i="34"/>
  <c r="J228" i="34"/>
  <c r="K228" i="34"/>
  <c r="D228" i="34"/>
  <c r="F250" i="30" l="1"/>
  <c r="G250" i="30"/>
  <c r="H250" i="30"/>
  <c r="I250" i="30"/>
  <c r="J250" i="30"/>
  <c r="K250" i="30"/>
  <c r="E250" i="30"/>
  <c r="F236" i="30"/>
  <c r="G236" i="30"/>
  <c r="H236" i="30"/>
  <c r="I236" i="30"/>
  <c r="J236" i="30"/>
  <c r="K236" i="30"/>
  <c r="E236" i="30"/>
  <c r="AH266" i="30"/>
  <c r="AH265" i="30"/>
  <c r="AH258" i="30"/>
  <c r="AH255" i="30"/>
  <c r="AH253" i="30"/>
  <c r="AH251" i="30"/>
  <c r="AH250" i="30"/>
  <c r="AH249" i="30"/>
  <c r="AH248" i="30"/>
  <c r="AH247" i="30"/>
  <c r="AH246" i="30"/>
  <c r="AH245" i="30"/>
  <c r="AH243" i="30"/>
  <c r="AH242" i="30"/>
  <c r="AH241" i="30"/>
  <c r="D158" i="30" l="1"/>
  <c r="E158" i="30"/>
  <c r="F158" i="30"/>
  <c r="G158" i="30"/>
  <c r="H158" i="30"/>
  <c r="I158" i="30"/>
  <c r="J158" i="30"/>
  <c r="K158" i="30"/>
  <c r="D159" i="30"/>
  <c r="E159" i="30"/>
  <c r="F159" i="30"/>
  <c r="G159" i="30"/>
  <c r="H159" i="30"/>
  <c r="I159" i="30"/>
  <c r="J159" i="30"/>
  <c r="K159" i="30"/>
  <c r="D160" i="30"/>
  <c r="E160" i="30"/>
  <c r="F160" i="30"/>
  <c r="G160" i="30"/>
  <c r="H160" i="30"/>
  <c r="I160" i="30"/>
  <c r="J160" i="30"/>
  <c r="K160" i="30"/>
  <c r="K57" i="29" l="1"/>
  <c r="J57" i="29"/>
  <c r="I57" i="29"/>
  <c r="H57" i="29"/>
  <c r="G57" i="29"/>
  <c r="F57" i="29"/>
  <c r="E57" i="29"/>
  <c r="D57" i="29"/>
  <c r="K55" i="29"/>
  <c r="J55" i="29"/>
  <c r="I55" i="29"/>
  <c r="H55" i="29"/>
  <c r="G55" i="29"/>
  <c r="F55" i="29"/>
  <c r="E55" i="29"/>
  <c r="D55" i="29"/>
  <c r="K54" i="29"/>
  <c r="J54" i="29"/>
  <c r="I54" i="29"/>
  <c r="H54" i="29"/>
  <c r="G54" i="29"/>
  <c r="F54" i="29"/>
  <c r="E54" i="29"/>
  <c r="D54" i="29"/>
  <c r="K53" i="29"/>
  <c r="K59" i="29" s="1"/>
  <c r="J53" i="29"/>
  <c r="J59" i="29" s="1"/>
  <c r="I53" i="29"/>
  <c r="I59" i="29" s="1"/>
  <c r="H53" i="29"/>
  <c r="H59" i="29" s="1"/>
  <c r="G53" i="29"/>
  <c r="G59" i="29" s="1"/>
  <c r="F53" i="29"/>
  <c r="F59" i="29" s="1"/>
  <c r="E53" i="29"/>
  <c r="E59" i="29" s="1"/>
  <c r="D53" i="29"/>
  <c r="K50" i="29"/>
  <c r="J50" i="29"/>
  <c r="I50" i="29"/>
  <c r="H50" i="29"/>
  <c r="G50" i="29"/>
  <c r="F50" i="29"/>
  <c r="E50" i="29"/>
  <c r="D50" i="29"/>
  <c r="K49" i="29"/>
  <c r="J49" i="29"/>
  <c r="I49" i="29"/>
  <c r="H49" i="29"/>
  <c r="G49" i="29"/>
  <c r="F49" i="29"/>
  <c r="E49" i="29"/>
  <c r="D49" i="29"/>
  <c r="K48" i="29"/>
  <c r="J48" i="29"/>
  <c r="I48" i="29"/>
  <c r="H48" i="29"/>
  <c r="G48" i="29"/>
  <c r="F48" i="29"/>
  <c r="E48" i="29"/>
  <c r="D48" i="29"/>
  <c r="D51" i="29" s="1"/>
  <c r="K46" i="29"/>
  <c r="J46" i="29"/>
  <c r="I46" i="29"/>
  <c r="H46" i="29"/>
  <c r="G46" i="29"/>
  <c r="F46" i="29"/>
  <c r="E46" i="29"/>
  <c r="D46" i="29"/>
  <c r="K45" i="29"/>
  <c r="J45" i="29"/>
  <c r="I45" i="29"/>
  <c r="H45" i="29"/>
  <c r="G45" i="29"/>
  <c r="F45" i="29"/>
  <c r="E45" i="29"/>
  <c r="D45" i="29"/>
  <c r="K37" i="29"/>
  <c r="J37" i="29"/>
  <c r="I37" i="29"/>
  <c r="H37" i="29"/>
  <c r="G37" i="29"/>
  <c r="F37" i="29"/>
  <c r="E37" i="29"/>
  <c r="D37" i="29"/>
  <c r="K35" i="29"/>
  <c r="J35" i="29"/>
  <c r="I35" i="29"/>
  <c r="H35" i="29"/>
  <c r="G35" i="29"/>
  <c r="F35" i="29"/>
  <c r="E35" i="29"/>
  <c r="D35" i="29"/>
  <c r="K34" i="29"/>
  <c r="J34" i="29"/>
  <c r="I34" i="29"/>
  <c r="H34" i="29"/>
  <c r="G34" i="29"/>
  <c r="F34" i="29"/>
  <c r="E34" i="29"/>
  <c r="D34" i="29"/>
  <c r="K33" i="29"/>
  <c r="K39" i="29" s="1"/>
  <c r="J33" i="29"/>
  <c r="J39" i="29" s="1"/>
  <c r="I33" i="29"/>
  <c r="I39" i="29" s="1"/>
  <c r="H33" i="29"/>
  <c r="H39" i="29" s="1"/>
  <c r="G33" i="29"/>
  <c r="G39" i="29" s="1"/>
  <c r="F33" i="29"/>
  <c r="F39" i="29" s="1"/>
  <c r="E33" i="29"/>
  <c r="E39" i="29" s="1"/>
  <c r="D33" i="29"/>
  <c r="K30" i="29"/>
  <c r="J30" i="29"/>
  <c r="I30" i="29"/>
  <c r="H30" i="29"/>
  <c r="G30" i="29"/>
  <c r="F30" i="29"/>
  <c r="E30" i="29"/>
  <c r="D30" i="29"/>
  <c r="K29" i="29"/>
  <c r="J29" i="29"/>
  <c r="I29" i="29"/>
  <c r="H29" i="29"/>
  <c r="G29" i="29"/>
  <c r="F29" i="29"/>
  <c r="E29" i="29"/>
  <c r="D29" i="29"/>
  <c r="K28" i="29"/>
  <c r="J28" i="29"/>
  <c r="J31" i="29" s="1"/>
  <c r="I28" i="29"/>
  <c r="H28" i="29"/>
  <c r="G28" i="29"/>
  <c r="F28" i="29"/>
  <c r="F31" i="29" s="1"/>
  <c r="E28" i="29"/>
  <c r="D28" i="29"/>
  <c r="K26" i="29"/>
  <c r="J26" i="29"/>
  <c r="I26" i="29"/>
  <c r="H26" i="29"/>
  <c r="G26" i="29"/>
  <c r="F26" i="29"/>
  <c r="E26" i="29"/>
  <c r="D26" i="29"/>
  <c r="K25" i="29"/>
  <c r="J25" i="29"/>
  <c r="I25" i="29"/>
  <c r="H25" i="29"/>
  <c r="G25" i="29"/>
  <c r="F25" i="29"/>
  <c r="E25" i="29"/>
  <c r="D25" i="29"/>
  <c r="K14" i="29"/>
  <c r="J14" i="29"/>
  <c r="I14" i="29"/>
  <c r="H14" i="29"/>
  <c r="G14" i="29"/>
  <c r="F14" i="29"/>
  <c r="E14" i="29"/>
  <c r="D14" i="29"/>
  <c r="D60" i="29" l="1"/>
  <c r="H51" i="29"/>
  <c r="D59" i="29"/>
  <c r="I51" i="29"/>
  <c r="F51" i="29"/>
  <c r="J51" i="29"/>
  <c r="E51" i="29"/>
  <c r="G51" i="29"/>
  <c r="K51" i="29"/>
  <c r="D31" i="29"/>
  <c r="H31" i="29"/>
  <c r="D39" i="29"/>
  <c r="D40" i="29" s="1"/>
  <c r="E31" i="29"/>
  <c r="I31" i="29"/>
  <c r="G31" i="29"/>
  <c r="K31" i="29"/>
  <c r="M5" i="21"/>
  <c r="D38" i="22" s="1"/>
  <c r="I44" i="22" s="1"/>
  <c r="M6" i="21"/>
  <c r="D131" i="22" s="1"/>
  <c r="I157" i="22" s="1"/>
  <c r="M7" i="21"/>
  <c r="D224" i="22" s="1"/>
  <c r="M8" i="21"/>
  <c r="D379" i="22" s="1"/>
  <c r="M9" i="21"/>
  <c r="D472" i="22" s="1"/>
  <c r="F500" i="22" s="1"/>
  <c r="D33" i="27"/>
  <c r="D105" i="27" s="1"/>
  <c r="E526" i="22" s="1"/>
  <c r="D34" i="27"/>
  <c r="D35" i="27"/>
  <c r="D36" i="27"/>
  <c r="D37" i="27"/>
  <c r="D38" i="27"/>
  <c r="D39" i="27"/>
  <c r="D103" i="27" s="1"/>
  <c r="E524" i="22" s="1"/>
  <c r="D40" i="27"/>
  <c r="D41" i="27"/>
  <c r="D98" i="27" s="1"/>
  <c r="E519" i="22" s="1"/>
  <c r="D42" i="27"/>
  <c r="D43" i="27"/>
  <c r="D44" i="27"/>
  <c r="D45" i="27"/>
  <c r="D46" i="27"/>
  <c r="D47" i="27"/>
  <c r="D48" i="27"/>
  <c r="D49" i="27"/>
  <c r="D50" i="27"/>
  <c r="D99" i="27" s="1"/>
  <c r="E520" i="22" s="1"/>
  <c r="D52" i="27"/>
  <c r="E532" i="22" s="1"/>
  <c r="M11" i="21"/>
  <c r="D567" i="22" s="1"/>
  <c r="L577" i="22" s="1"/>
  <c r="M10" i="21"/>
  <c r="D660" i="22" s="1"/>
  <c r="E33" i="27"/>
  <c r="E34" i="27"/>
  <c r="E35" i="27"/>
  <c r="E36" i="27"/>
  <c r="E37" i="27"/>
  <c r="E38" i="27"/>
  <c r="E39" i="27"/>
  <c r="E103" i="27" s="1"/>
  <c r="F524" i="22" s="1"/>
  <c r="E40" i="27"/>
  <c r="E41" i="27"/>
  <c r="E42" i="27"/>
  <c r="E43" i="27"/>
  <c r="E44" i="27"/>
  <c r="E45" i="27"/>
  <c r="E46" i="27"/>
  <c r="E47" i="27"/>
  <c r="E48" i="27"/>
  <c r="E50" i="27"/>
  <c r="E99" i="27" s="1"/>
  <c r="F520" i="22" s="1"/>
  <c r="E52" i="27"/>
  <c r="F532" i="22" s="1"/>
  <c r="D76" i="34"/>
  <c r="E76" i="34"/>
  <c r="E193" i="34" s="1"/>
  <c r="F174" i="22" s="1"/>
  <c r="F76" i="34"/>
  <c r="F194" i="34" s="1"/>
  <c r="G175" i="22" s="1"/>
  <c r="G76" i="34"/>
  <c r="H76" i="34"/>
  <c r="I76" i="34"/>
  <c r="I196" i="34" s="1"/>
  <c r="J177" i="22" s="1"/>
  <c r="J76" i="34"/>
  <c r="J192" i="34" s="1"/>
  <c r="K173" i="22" s="1"/>
  <c r="K76" i="34"/>
  <c r="K200" i="34" s="1"/>
  <c r="L181" i="22" s="1"/>
  <c r="D77" i="34"/>
  <c r="E77" i="34"/>
  <c r="F77" i="34"/>
  <c r="G77" i="34"/>
  <c r="H77" i="34"/>
  <c r="I77" i="34"/>
  <c r="J77" i="34"/>
  <c r="K77" i="34"/>
  <c r="D78" i="34"/>
  <c r="E78" i="34"/>
  <c r="F78" i="34"/>
  <c r="G78" i="34"/>
  <c r="H78" i="34"/>
  <c r="I78" i="34"/>
  <c r="J78" i="34"/>
  <c r="K78" i="34"/>
  <c r="D79" i="34"/>
  <c r="E79" i="34"/>
  <c r="F79" i="34"/>
  <c r="G79" i="34"/>
  <c r="H79" i="34"/>
  <c r="I79" i="34"/>
  <c r="J79" i="34"/>
  <c r="K79" i="34"/>
  <c r="D80" i="34"/>
  <c r="E80" i="34"/>
  <c r="F80" i="34"/>
  <c r="G80" i="34"/>
  <c r="H80" i="34"/>
  <c r="I80" i="34"/>
  <c r="J80" i="34"/>
  <c r="K80" i="34"/>
  <c r="D81" i="34"/>
  <c r="E81" i="34"/>
  <c r="F81" i="34"/>
  <c r="G81" i="34"/>
  <c r="H81" i="34"/>
  <c r="I81" i="34"/>
  <c r="J81" i="34"/>
  <c r="K81" i="34"/>
  <c r="D82" i="34"/>
  <c r="E82" i="34"/>
  <c r="F82" i="34"/>
  <c r="G82" i="34"/>
  <c r="H82" i="34"/>
  <c r="I82" i="34"/>
  <c r="J82" i="34"/>
  <c r="K82" i="34"/>
  <c r="D83" i="34"/>
  <c r="E83" i="34"/>
  <c r="F83" i="34"/>
  <c r="G83" i="34"/>
  <c r="H83" i="34"/>
  <c r="I83" i="34"/>
  <c r="J83" i="34"/>
  <c r="K83" i="34"/>
  <c r="D84" i="34"/>
  <c r="E84" i="34"/>
  <c r="F84" i="34"/>
  <c r="G84" i="34"/>
  <c r="H84" i="34"/>
  <c r="I84" i="34"/>
  <c r="J84" i="34"/>
  <c r="K84" i="34"/>
  <c r="D85" i="34"/>
  <c r="E85" i="34"/>
  <c r="F85" i="34"/>
  <c r="G85" i="34"/>
  <c r="H85" i="34"/>
  <c r="I85" i="34"/>
  <c r="J85" i="34"/>
  <c r="K85" i="34"/>
  <c r="D86" i="34"/>
  <c r="E86" i="34"/>
  <c r="F86" i="34"/>
  <c r="G86" i="34"/>
  <c r="H86" i="34"/>
  <c r="I86" i="34"/>
  <c r="J86" i="34"/>
  <c r="K86" i="34"/>
  <c r="D87" i="34"/>
  <c r="E87" i="34"/>
  <c r="F87" i="34"/>
  <c r="G87" i="34"/>
  <c r="H87" i="34"/>
  <c r="I87" i="34"/>
  <c r="J87" i="34"/>
  <c r="K87" i="34"/>
  <c r="D88" i="34"/>
  <c r="E88" i="34"/>
  <c r="F88" i="34"/>
  <c r="G88" i="34"/>
  <c r="H88" i="34"/>
  <c r="I88" i="34"/>
  <c r="J88" i="34"/>
  <c r="K88" i="34"/>
  <c r="D90" i="34"/>
  <c r="E90" i="34"/>
  <c r="F90" i="34"/>
  <c r="G90" i="34"/>
  <c r="H90" i="34"/>
  <c r="I90" i="34"/>
  <c r="J90" i="34"/>
  <c r="K90" i="34"/>
  <c r="D91" i="34"/>
  <c r="E91" i="34"/>
  <c r="F91" i="34"/>
  <c r="G91" i="34"/>
  <c r="H91" i="34"/>
  <c r="I91" i="34"/>
  <c r="J91" i="34"/>
  <c r="K91" i="34"/>
  <c r="D92" i="34"/>
  <c r="E92" i="34"/>
  <c r="F92" i="34"/>
  <c r="G92" i="34"/>
  <c r="H92" i="34"/>
  <c r="I92" i="34"/>
  <c r="J92" i="34"/>
  <c r="K92" i="34"/>
  <c r="D93" i="34"/>
  <c r="E93" i="34"/>
  <c r="F93" i="34"/>
  <c r="G93" i="34"/>
  <c r="H93" i="34"/>
  <c r="I93" i="34"/>
  <c r="J93" i="34"/>
  <c r="K93" i="34"/>
  <c r="D94" i="34"/>
  <c r="E94" i="34"/>
  <c r="F94" i="34"/>
  <c r="G94" i="34"/>
  <c r="H94" i="34"/>
  <c r="I94" i="34"/>
  <c r="J94" i="34"/>
  <c r="K94" i="34"/>
  <c r="D95" i="34"/>
  <c r="E95" i="34"/>
  <c r="F95" i="34"/>
  <c r="G95" i="34"/>
  <c r="H95" i="34"/>
  <c r="I95" i="34"/>
  <c r="J95" i="34"/>
  <c r="K95" i="34"/>
  <c r="D96" i="34"/>
  <c r="E96" i="34"/>
  <c r="F96" i="34"/>
  <c r="G96" i="34"/>
  <c r="H96" i="34"/>
  <c r="I96" i="34"/>
  <c r="J96" i="34"/>
  <c r="K96" i="34"/>
  <c r="D97" i="34"/>
  <c r="E97" i="34"/>
  <c r="F97" i="34"/>
  <c r="G97" i="34"/>
  <c r="H97" i="34"/>
  <c r="I97" i="34"/>
  <c r="J97" i="34"/>
  <c r="K97" i="34"/>
  <c r="D98" i="34"/>
  <c r="E98" i="34"/>
  <c r="F98" i="34"/>
  <c r="G98" i="34"/>
  <c r="H98" i="34"/>
  <c r="I98" i="34"/>
  <c r="J98" i="34"/>
  <c r="K98" i="34"/>
  <c r="D99" i="34"/>
  <c r="E99" i="34"/>
  <c r="F99" i="34"/>
  <c r="G99" i="34"/>
  <c r="H99" i="34"/>
  <c r="I99" i="34"/>
  <c r="J99" i="34"/>
  <c r="K99" i="34"/>
  <c r="D100" i="34"/>
  <c r="E100" i="34"/>
  <c r="F100" i="34"/>
  <c r="G100" i="34"/>
  <c r="H100" i="34"/>
  <c r="I100" i="34"/>
  <c r="J100" i="34"/>
  <c r="K100" i="34"/>
  <c r="D101" i="34"/>
  <c r="E101" i="34"/>
  <c r="F101" i="34"/>
  <c r="G101" i="34"/>
  <c r="H101" i="34"/>
  <c r="I101" i="34"/>
  <c r="J101" i="34"/>
  <c r="K101" i="34"/>
  <c r="D102" i="34"/>
  <c r="E102" i="34"/>
  <c r="F102" i="34"/>
  <c r="G102" i="34"/>
  <c r="H102" i="34"/>
  <c r="I102" i="34"/>
  <c r="J102" i="34"/>
  <c r="K102" i="34"/>
  <c r="D103" i="34"/>
  <c r="E103" i="34"/>
  <c r="F103" i="34"/>
  <c r="G103" i="34"/>
  <c r="H103" i="34"/>
  <c r="I103" i="34"/>
  <c r="J103" i="34"/>
  <c r="K103" i="34"/>
  <c r="D104" i="34"/>
  <c r="E104" i="34"/>
  <c r="F104" i="34"/>
  <c r="G104" i="34"/>
  <c r="H104" i="34"/>
  <c r="I104" i="34"/>
  <c r="J104" i="34"/>
  <c r="K104" i="34"/>
  <c r="D105" i="34"/>
  <c r="E105" i="34"/>
  <c r="F105" i="34"/>
  <c r="G105" i="34"/>
  <c r="H105" i="34"/>
  <c r="I105" i="34"/>
  <c r="J105" i="34"/>
  <c r="K105" i="34"/>
  <c r="D106" i="34"/>
  <c r="E106" i="34"/>
  <c r="F106" i="34"/>
  <c r="G106" i="34"/>
  <c r="H106" i="34"/>
  <c r="I106" i="34"/>
  <c r="J106" i="34"/>
  <c r="K106" i="34"/>
  <c r="D107" i="34"/>
  <c r="E107" i="34"/>
  <c r="F107" i="34"/>
  <c r="G107" i="34"/>
  <c r="H107" i="34"/>
  <c r="I107" i="34"/>
  <c r="J107" i="34"/>
  <c r="K107" i="34"/>
  <c r="D108" i="34"/>
  <c r="E108" i="34"/>
  <c r="F108" i="34"/>
  <c r="G108" i="34"/>
  <c r="H108" i="34"/>
  <c r="I108" i="34"/>
  <c r="J108" i="34"/>
  <c r="K108" i="34"/>
  <c r="D109" i="34"/>
  <c r="E109" i="34"/>
  <c r="F109" i="34"/>
  <c r="G109" i="34"/>
  <c r="H109" i="34"/>
  <c r="I109" i="34"/>
  <c r="J109" i="34"/>
  <c r="K109" i="34"/>
  <c r="D110" i="34"/>
  <c r="E110" i="34"/>
  <c r="F110" i="34"/>
  <c r="G110" i="34"/>
  <c r="H110" i="34"/>
  <c r="I110" i="34"/>
  <c r="J110" i="34"/>
  <c r="K110" i="34"/>
  <c r="D111" i="34"/>
  <c r="E111" i="34"/>
  <c r="F111" i="34"/>
  <c r="G111" i="34"/>
  <c r="H111" i="34"/>
  <c r="I111" i="34"/>
  <c r="J111" i="34"/>
  <c r="K111" i="34"/>
  <c r="D112" i="34"/>
  <c r="E112" i="34"/>
  <c r="F112" i="34"/>
  <c r="G112" i="34"/>
  <c r="H112" i="34"/>
  <c r="I112" i="34"/>
  <c r="J112" i="34"/>
  <c r="K112" i="34"/>
  <c r="D113" i="34"/>
  <c r="E113" i="34"/>
  <c r="F113" i="34"/>
  <c r="G113" i="34"/>
  <c r="H113" i="34"/>
  <c r="I113" i="34"/>
  <c r="J113" i="34"/>
  <c r="K113" i="34"/>
  <c r="D114" i="34"/>
  <c r="E114" i="34"/>
  <c r="F114" i="34"/>
  <c r="G114" i="34"/>
  <c r="H114" i="34"/>
  <c r="I114" i="34"/>
  <c r="J114" i="34"/>
  <c r="K114" i="34"/>
  <c r="D115" i="34"/>
  <c r="E115" i="34"/>
  <c r="F115" i="34"/>
  <c r="G115" i="34"/>
  <c r="H115" i="34"/>
  <c r="I115" i="34"/>
  <c r="J115" i="34"/>
  <c r="K115" i="34"/>
  <c r="D116" i="34"/>
  <c r="E116" i="34"/>
  <c r="F116" i="34"/>
  <c r="G116" i="34"/>
  <c r="H116" i="34"/>
  <c r="I116" i="34"/>
  <c r="J116" i="34"/>
  <c r="K116" i="34"/>
  <c r="D117" i="34"/>
  <c r="E117" i="34"/>
  <c r="F117" i="34"/>
  <c r="G117" i="34"/>
  <c r="H117" i="34"/>
  <c r="I117" i="34"/>
  <c r="J117" i="34"/>
  <c r="K117" i="34"/>
  <c r="D118" i="34"/>
  <c r="E118" i="34"/>
  <c r="F118" i="34"/>
  <c r="G118" i="34"/>
  <c r="H118" i="34"/>
  <c r="I118" i="34"/>
  <c r="J118" i="34"/>
  <c r="K118" i="34"/>
  <c r="D119" i="34"/>
  <c r="E119" i="34"/>
  <c r="E201" i="34" s="1"/>
  <c r="F182" i="22" s="1"/>
  <c r="F119" i="34"/>
  <c r="F201" i="34" s="1"/>
  <c r="G182" i="22" s="1"/>
  <c r="G119" i="34"/>
  <c r="G201" i="34" s="1"/>
  <c r="H182" i="22" s="1"/>
  <c r="H119" i="34"/>
  <c r="H201" i="34" s="1"/>
  <c r="I182" i="22" s="1"/>
  <c r="I119" i="34"/>
  <c r="J119" i="34"/>
  <c r="K119" i="34"/>
  <c r="K201" i="34" s="1"/>
  <c r="L182" i="22" s="1"/>
  <c r="D120" i="34"/>
  <c r="E120" i="34"/>
  <c r="F120" i="34"/>
  <c r="G120" i="34"/>
  <c r="H120" i="34"/>
  <c r="I120" i="34"/>
  <c r="J120" i="34"/>
  <c r="K120" i="34"/>
  <c r="D137" i="34"/>
  <c r="E137" i="34"/>
  <c r="F137" i="34"/>
  <c r="F220" i="34" s="1"/>
  <c r="G203" i="22" s="1"/>
  <c r="G137" i="34"/>
  <c r="G227" i="34" s="1"/>
  <c r="H210" i="22" s="1"/>
  <c r="H137" i="34"/>
  <c r="I137" i="34"/>
  <c r="J137" i="34"/>
  <c r="J217" i="34" s="1"/>
  <c r="K200" i="22" s="1"/>
  <c r="K137" i="34"/>
  <c r="K223" i="34" s="1"/>
  <c r="L206" i="22" s="1"/>
  <c r="D138" i="34"/>
  <c r="E138" i="34"/>
  <c r="F138" i="34"/>
  <c r="G138" i="34"/>
  <c r="H138" i="34"/>
  <c r="I138" i="34"/>
  <c r="J138" i="34"/>
  <c r="K138" i="34"/>
  <c r="D139" i="34"/>
  <c r="E139" i="34"/>
  <c r="F139" i="34"/>
  <c r="G139" i="34"/>
  <c r="H139" i="34"/>
  <c r="I139" i="34"/>
  <c r="J139" i="34"/>
  <c r="K139" i="34"/>
  <c r="D140" i="34"/>
  <c r="E140" i="34"/>
  <c r="F140" i="34"/>
  <c r="G140" i="34"/>
  <c r="H140" i="34"/>
  <c r="I140" i="34"/>
  <c r="J140" i="34"/>
  <c r="K140" i="34"/>
  <c r="D141" i="34"/>
  <c r="E141" i="34"/>
  <c r="F141" i="34"/>
  <c r="G141" i="34"/>
  <c r="H141" i="34"/>
  <c r="I141" i="34"/>
  <c r="J141" i="34"/>
  <c r="K141" i="34"/>
  <c r="D142" i="34"/>
  <c r="E142" i="34"/>
  <c r="F142" i="34"/>
  <c r="G142" i="34"/>
  <c r="H142" i="34"/>
  <c r="I142" i="34"/>
  <c r="J142" i="34"/>
  <c r="K142" i="34"/>
  <c r="D143" i="34"/>
  <c r="E143" i="34"/>
  <c r="F143" i="34"/>
  <c r="G143" i="34"/>
  <c r="H143" i="34"/>
  <c r="I143" i="34"/>
  <c r="J143" i="34"/>
  <c r="K143" i="34"/>
  <c r="D144" i="34"/>
  <c r="E144" i="34"/>
  <c r="F144" i="34"/>
  <c r="G144" i="34"/>
  <c r="H144" i="34"/>
  <c r="I144" i="34"/>
  <c r="J144" i="34"/>
  <c r="K144" i="34"/>
  <c r="D145" i="34"/>
  <c r="E145" i="34"/>
  <c r="F145" i="34"/>
  <c r="G145" i="34"/>
  <c r="H145" i="34"/>
  <c r="I145" i="34"/>
  <c r="J145" i="34"/>
  <c r="K145" i="34"/>
  <c r="D146" i="34"/>
  <c r="E146" i="34"/>
  <c r="F146" i="34"/>
  <c r="G146" i="34"/>
  <c r="H146" i="34"/>
  <c r="I146" i="34"/>
  <c r="J146" i="34"/>
  <c r="K146" i="34"/>
  <c r="D147" i="34"/>
  <c r="E147" i="34"/>
  <c r="F147" i="34"/>
  <c r="G147" i="34"/>
  <c r="H211" i="22" s="1"/>
  <c r="H147" i="34"/>
  <c r="I211" i="22" s="1"/>
  <c r="I147" i="34"/>
  <c r="J147" i="34"/>
  <c r="K211" i="22" s="1"/>
  <c r="K147" i="34"/>
  <c r="L211" i="22" s="1"/>
  <c r="D148" i="34"/>
  <c r="E148" i="34"/>
  <c r="F148" i="34"/>
  <c r="G148" i="34"/>
  <c r="H148" i="34"/>
  <c r="I148" i="34"/>
  <c r="J148" i="34"/>
  <c r="K148" i="34"/>
  <c r="D149" i="34"/>
  <c r="E149" i="34"/>
  <c r="F149" i="34"/>
  <c r="G149" i="34"/>
  <c r="H149" i="34"/>
  <c r="I149" i="34"/>
  <c r="J149" i="34"/>
  <c r="K149" i="34"/>
  <c r="D151" i="34"/>
  <c r="E151" i="34"/>
  <c r="F151" i="34"/>
  <c r="G151" i="34"/>
  <c r="H151" i="34"/>
  <c r="I151" i="34"/>
  <c r="J151" i="34"/>
  <c r="K151" i="34"/>
  <c r="D152" i="34"/>
  <c r="E152" i="34"/>
  <c r="F152" i="34"/>
  <c r="G152" i="34"/>
  <c r="H152" i="34"/>
  <c r="I152" i="34"/>
  <c r="J152" i="34"/>
  <c r="K152" i="34"/>
  <c r="D153" i="34"/>
  <c r="E153" i="34"/>
  <c r="F153" i="34"/>
  <c r="G153" i="34"/>
  <c r="H153" i="34"/>
  <c r="I153" i="34"/>
  <c r="J153" i="34"/>
  <c r="K153" i="34"/>
  <c r="D154" i="34"/>
  <c r="E154" i="34"/>
  <c r="F154" i="34"/>
  <c r="G154" i="34"/>
  <c r="H154" i="34"/>
  <c r="I154" i="34"/>
  <c r="J154" i="34"/>
  <c r="K154" i="34"/>
  <c r="D155" i="34"/>
  <c r="E155" i="34"/>
  <c r="F155" i="34"/>
  <c r="G155" i="34"/>
  <c r="H155" i="34"/>
  <c r="I155" i="34"/>
  <c r="J155" i="34"/>
  <c r="K155" i="34"/>
  <c r="D156" i="34"/>
  <c r="E156" i="34"/>
  <c r="F156" i="34"/>
  <c r="G156" i="34"/>
  <c r="H156" i="34"/>
  <c r="I156" i="34"/>
  <c r="J156" i="34"/>
  <c r="K156" i="34"/>
  <c r="D157" i="34"/>
  <c r="E157" i="34"/>
  <c r="F157" i="34"/>
  <c r="G157" i="34"/>
  <c r="H157" i="34"/>
  <c r="I157" i="34"/>
  <c r="J157" i="34"/>
  <c r="K157" i="34"/>
  <c r="D158" i="34"/>
  <c r="E158" i="34"/>
  <c r="F158" i="34"/>
  <c r="G158" i="34"/>
  <c r="H158" i="34"/>
  <c r="I158" i="34"/>
  <c r="J158" i="34"/>
  <c r="K158" i="34"/>
  <c r="D159" i="34"/>
  <c r="E159" i="34"/>
  <c r="F159" i="34"/>
  <c r="G159" i="34"/>
  <c r="H159" i="34"/>
  <c r="I159" i="34"/>
  <c r="J159" i="34"/>
  <c r="K159" i="34"/>
  <c r="D160" i="34"/>
  <c r="E160" i="34"/>
  <c r="F160" i="34"/>
  <c r="G160" i="34"/>
  <c r="H160" i="34"/>
  <c r="I160" i="34"/>
  <c r="J160" i="34"/>
  <c r="K160" i="34"/>
  <c r="D161" i="34"/>
  <c r="E161" i="34"/>
  <c r="F161" i="34"/>
  <c r="G161" i="34"/>
  <c r="H161" i="34"/>
  <c r="I161" i="34"/>
  <c r="J161" i="34"/>
  <c r="K161" i="34"/>
  <c r="D162" i="34"/>
  <c r="E162" i="34"/>
  <c r="F162" i="34"/>
  <c r="G162" i="34"/>
  <c r="H162" i="34"/>
  <c r="I162" i="34"/>
  <c r="J162" i="34"/>
  <c r="K162" i="34"/>
  <c r="D163" i="34"/>
  <c r="E163" i="34"/>
  <c r="F163" i="34"/>
  <c r="G163" i="34"/>
  <c r="H163" i="34"/>
  <c r="I163" i="34"/>
  <c r="J163" i="34"/>
  <c r="K163" i="34"/>
  <c r="D164" i="34"/>
  <c r="E164" i="34"/>
  <c r="F164" i="34"/>
  <c r="G164" i="34"/>
  <c r="H164" i="34"/>
  <c r="I164" i="34"/>
  <c r="J164" i="34"/>
  <c r="K164" i="34"/>
  <c r="D165" i="34"/>
  <c r="E165" i="34"/>
  <c r="F165" i="34"/>
  <c r="G165" i="34"/>
  <c r="H165" i="34"/>
  <c r="I165" i="34"/>
  <c r="J165" i="34"/>
  <c r="K165" i="34"/>
  <c r="D166" i="34"/>
  <c r="E166" i="34"/>
  <c r="F166" i="34"/>
  <c r="G166" i="34"/>
  <c r="H166" i="34"/>
  <c r="I166" i="34"/>
  <c r="J166" i="34"/>
  <c r="K166" i="34"/>
  <c r="D167" i="34"/>
  <c r="E167" i="34"/>
  <c r="F167" i="34"/>
  <c r="G167" i="34"/>
  <c r="H167" i="34"/>
  <c r="I167" i="34"/>
  <c r="J167" i="34"/>
  <c r="K167" i="34"/>
  <c r="D168" i="34"/>
  <c r="E168" i="34"/>
  <c r="F168" i="34"/>
  <c r="G168" i="34"/>
  <c r="H168" i="34"/>
  <c r="I168" i="34"/>
  <c r="J168" i="34"/>
  <c r="K168" i="34"/>
  <c r="D169" i="34"/>
  <c r="E169" i="34"/>
  <c r="F169" i="34"/>
  <c r="G169" i="34"/>
  <c r="H169" i="34"/>
  <c r="I169" i="34"/>
  <c r="J169" i="34"/>
  <c r="K169" i="34"/>
  <c r="D170" i="34"/>
  <c r="E170" i="34"/>
  <c r="F170" i="34"/>
  <c r="G170" i="34"/>
  <c r="H170" i="34"/>
  <c r="I170" i="34"/>
  <c r="J170" i="34"/>
  <c r="K170" i="34"/>
  <c r="D171" i="34"/>
  <c r="E171" i="34"/>
  <c r="F171" i="34"/>
  <c r="G171" i="34"/>
  <c r="H171" i="34"/>
  <c r="I171" i="34"/>
  <c r="J171" i="34"/>
  <c r="K171" i="34"/>
  <c r="D172" i="34"/>
  <c r="E172" i="34"/>
  <c r="F172" i="34"/>
  <c r="G172" i="34"/>
  <c r="H172" i="34"/>
  <c r="I172" i="34"/>
  <c r="J172" i="34"/>
  <c r="K172" i="34"/>
  <c r="D173" i="34"/>
  <c r="E173" i="34"/>
  <c r="F173" i="34"/>
  <c r="G173" i="34"/>
  <c r="H173" i="34"/>
  <c r="I173" i="34"/>
  <c r="J173" i="34"/>
  <c r="K173" i="34"/>
  <c r="D174" i="34"/>
  <c r="E174" i="34"/>
  <c r="F174" i="34"/>
  <c r="G174" i="34"/>
  <c r="H174" i="34"/>
  <c r="I174" i="34"/>
  <c r="J174" i="34"/>
  <c r="K174" i="34"/>
  <c r="D175" i="34"/>
  <c r="E175" i="34"/>
  <c r="F175" i="34"/>
  <c r="G175" i="34"/>
  <c r="H175" i="34"/>
  <c r="I175" i="34"/>
  <c r="J175" i="34"/>
  <c r="K175" i="34"/>
  <c r="D176" i="34"/>
  <c r="E176" i="34"/>
  <c r="F176" i="34"/>
  <c r="G176" i="34"/>
  <c r="H176" i="34"/>
  <c r="I176" i="34"/>
  <c r="J176" i="34"/>
  <c r="K176" i="34"/>
  <c r="D177" i="34"/>
  <c r="E177" i="34"/>
  <c r="F177" i="34"/>
  <c r="G177" i="34"/>
  <c r="H177" i="34"/>
  <c r="I177" i="34"/>
  <c r="J177" i="34"/>
  <c r="K177" i="34"/>
  <c r="D178" i="34"/>
  <c r="E178" i="34"/>
  <c r="F178" i="34"/>
  <c r="G178" i="34"/>
  <c r="H178" i="34"/>
  <c r="I178" i="34"/>
  <c r="J178" i="34"/>
  <c r="K178" i="34"/>
  <c r="D179" i="34"/>
  <c r="E179" i="34"/>
  <c r="F179" i="34"/>
  <c r="G179" i="34"/>
  <c r="H179" i="34"/>
  <c r="I179" i="34"/>
  <c r="J179" i="34"/>
  <c r="K179" i="34"/>
  <c r="D180" i="34"/>
  <c r="E180" i="34"/>
  <c r="F180" i="34"/>
  <c r="G180" i="34"/>
  <c r="H180" i="34"/>
  <c r="I180" i="34"/>
  <c r="J180" i="34"/>
  <c r="K180" i="34"/>
  <c r="D181" i="34"/>
  <c r="E181" i="34"/>
  <c r="F181" i="34"/>
  <c r="G181" i="34"/>
  <c r="H181" i="34"/>
  <c r="I181" i="34"/>
  <c r="J181" i="34"/>
  <c r="K181" i="34"/>
  <c r="L6" i="34"/>
  <c r="L7" i="34"/>
  <c r="L8" i="34"/>
  <c r="L9" i="34"/>
  <c r="L10" i="34"/>
  <c r="L11" i="34"/>
  <c r="L13" i="34"/>
  <c r="L14" i="34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40" i="21"/>
  <c r="D138" i="21"/>
  <c r="G166" i="30"/>
  <c r="G8" i="21"/>
  <c r="N165" i="21" s="1"/>
  <c r="C304" i="21" a="1"/>
  <c r="D304" i="21" s="1"/>
  <c r="O83" i="6"/>
  <c r="D60" i="36"/>
  <c r="E48" i="17"/>
  <c r="F48" i="17"/>
  <c r="G48" i="17"/>
  <c r="H48" i="17"/>
  <c r="I48" i="17"/>
  <c r="J48" i="17"/>
  <c r="K48" i="17"/>
  <c r="D48" i="17"/>
  <c r="E47" i="17"/>
  <c r="F47" i="17"/>
  <c r="G47" i="17"/>
  <c r="H47" i="17"/>
  <c r="I47" i="17"/>
  <c r="J47" i="17"/>
  <c r="K47" i="17"/>
  <c r="D47" i="17"/>
  <c r="E46" i="17"/>
  <c r="F46" i="17"/>
  <c r="G46" i="17"/>
  <c r="H46" i="17"/>
  <c r="I46" i="17"/>
  <c r="J46" i="17"/>
  <c r="K46" i="17"/>
  <c r="D46" i="17"/>
  <c r="R91" i="18" a="1"/>
  <c r="R91" i="18"/>
  <c r="E538" i="22"/>
  <c r="F538" i="22"/>
  <c r="G538" i="22"/>
  <c r="H538" i="22"/>
  <c r="I538" i="22"/>
  <c r="J538" i="22"/>
  <c r="K538" i="22"/>
  <c r="L538" i="22"/>
  <c r="E539" i="22"/>
  <c r="F539" i="22"/>
  <c r="G539" i="22"/>
  <c r="H539" i="22"/>
  <c r="I539" i="22"/>
  <c r="J539" i="22"/>
  <c r="K539" i="22"/>
  <c r="L539" i="22"/>
  <c r="E508" i="22"/>
  <c r="F508" i="22"/>
  <c r="G508" i="22"/>
  <c r="H508" i="22"/>
  <c r="I508" i="22"/>
  <c r="J508" i="22"/>
  <c r="K508" i="22"/>
  <c r="L508" i="22"/>
  <c r="R102" i="18"/>
  <c r="R100" i="18"/>
  <c r="R98" i="18"/>
  <c r="R96" i="18"/>
  <c r="R94" i="18"/>
  <c r="R92" i="18"/>
  <c r="R103" i="18"/>
  <c r="R101" i="18"/>
  <c r="R99" i="18"/>
  <c r="R97" i="18"/>
  <c r="R95" i="18"/>
  <c r="R93" i="18"/>
  <c r="I83" i="6"/>
  <c r="C299" i="21"/>
  <c r="C296" i="21"/>
  <c r="C295" i="21"/>
  <c r="C294" i="21"/>
  <c r="E293" i="21"/>
  <c r="F293" i="21"/>
  <c r="G293" i="21"/>
  <c r="H293" i="21"/>
  <c r="I293" i="21"/>
  <c r="J293" i="21"/>
  <c r="K293" i="21"/>
  <c r="E90" i="36"/>
  <c r="I90" i="36"/>
  <c r="I60" i="36"/>
  <c r="E60" i="36"/>
  <c r="AE30" i="36"/>
  <c r="J90" i="36"/>
  <c r="H90" i="36"/>
  <c r="F90" i="36"/>
  <c r="D90" i="36"/>
  <c r="G90" i="36"/>
  <c r="K90" i="36"/>
  <c r="F60" i="36"/>
  <c r="J60" i="36"/>
  <c r="G60" i="36"/>
  <c r="K60" i="36"/>
  <c r="H60" i="36"/>
  <c r="B273" i="21"/>
  <c r="D287" i="21"/>
  <c r="D282" i="21"/>
  <c r="D283" i="21"/>
  <c r="D284" i="21"/>
  <c r="D276" i="21"/>
  <c r="D277" i="21"/>
  <c r="D278" i="21"/>
  <c r="D279" i="21"/>
  <c r="K72" i="36"/>
  <c r="J72" i="36"/>
  <c r="I72" i="36"/>
  <c r="H72" i="36"/>
  <c r="G72" i="36"/>
  <c r="F72" i="36"/>
  <c r="E72" i="36"/>
  <c r="D72" i="36"/>
  <c r="K71" i="36"/>
  <c r="J71" i="36"/>
  <c r="I71" i="36"/>
  <c r="H71" i="36"/>
  <c r="G71" i="36"/>
  <c r="F71" i="36"/>
  <c r="E71" i="36"/>
  <c r="D71" i="36"/>
  <c r="K70" i="36"/>
  <c r="J70" i="36"/>
  <c r="I70" i="36"/>
  <c r="H70" i="36"/>
  <c r="G70" i="36"/>
  <c r="F70" i="36"/>
  <c r="E70" i="36"/>
  <c r="D70" i="36"/>
  <c r="J69" i="36"/>
  <c r="K745" i="22"/>
  <c r="I69" i="36"/>
  <c r="J745" i="22"/>
  <c r="H69" i="36"/>
  <c r="I745" i="22"/>
  <c r="F69" i="36"/>
  <c r="G745" i="22"/>
  <c r="E69" i="36"/>
  <c r="F745" i="22"/>
  <c r="D69" i="36"/>
  <c r="E745" i="22"/>
  <c r="K68" i="36"/>
  <c r="L744" i="22"/>
  <c r="K42" i="36"/>
  <c r="J42" i="36"/>
  <c r="I42" i="36"/>
  <c r="H42" i="36"/>
  <c r="G42" i="36"/>
  <c r="F42" i="36"/>
  <c r="E42" i="36"/>
  <c r="D42" i="36"/>
  <c r="K41" i="36"/>
  <c r="J41" i="36"/>
  <c r="I41" i="36"/>
  <c r="H41" i="36"/>
  <c r="G41" i="36"/>
  <c r="F41" i="36"/>
  <c r="E41" i="36"/>
  <c r="D41" i="36"/>
  <c r="K40" i="36"/>
  <c r="J40" i="36"/>
  <c r="I40" i="36"/>
  <c r="H40" i="36"/>
  <c r="G40" i="36"/>
  <c r="F40" i="36"/>
  <c r="E40" i="36"/>
  <c r="D40" i="36"/>
  <c r="K39" i="36"/>
  <c r="L715" i="22"/>
  <c r="H39" i="36"/>
  <c r="I715" i="22"/>
  <c r="G39" i="36"/>
  <c r="H715" i="22"/>
  <c r="D39" i="36"/>
  <c r="E715" i="22"/>
  <c r="K38" i="36"/>
  <c r="L714" i="22"/>
  <c r="J38" i="36"/>
  <c r="K714" i="22"/>
  <c r="I38" i="36"/>
  <c r="J714" i="22"/>
  <c r="H38" i="36"/>
  <c r="I714" i="22"/>
  <c r="G38" i="36"/>
  <c r="H714" i="22"/>
  <c r="F38" i="36"/>
  <c r="G714" i="22"/>
  <c r="E38" i="36"/>
  <c r="F714" i="22"/>
  <c r="D38" i="36"/>
  <c r="AE33" i="36"/>
  <c r="AE28" i="36"/>
  <c r="AE26" i="36"/>
  <c r="AE25" i="36"/>
  <c r="AE24" i="36"/>
  <c r="AE23" i="36"/>
  <c r="AE22" i="36"/>
  <c r="AE20" i="36"/>
  <c r="AE19" i="36"/>
  <c r="AE18" i="36"/>
  <c r="AE17" i="36"/>
  <c r="AE16" i="36"/>
  <c r="J46" i="36"/>
  <c r="F46" i="36"/>
  <c r="E46" i="36"/>
  <c r="D46" i="36"/>
  <c r="AE15" i="36"/>
  <c r="AE14" i="36"/>
  <c r="E714" i="22"/>
  <c r="G75" i="36"/>
  <c r="K75" i="36"/>
  <c r="G79" i="36"/>
  <c r="K79" i="36"/>
  <c r="G76" i="36"/>
  <c r="G80" i="36"/>
  <c r="G77" i="36"/>
  <c r="K77" i="36"/>
  <c r="G82" i="36"/>
  <c r="K82" i="36"/>
  <c r="F68" i="36"/>
  <c r="G744" i="22"/>
  <c r="K76" i="36"/>
  <c r="K80" i="36"/>
  <c r="G74" i="36"/>
  <c r="K74" i="36"/>
  <c r="G78" i="36"/>
  <c r="K78" i="36"/>
  <c r="G68" i="36"/>
  <c r="H744" i="22"/>
  <c r="J85" i="36"/>
  <c r="H68" i="36"/>
  <c r="I744" i="22"/>
  <c r="E45" i="36"/>
  <c r="I45" i="36"/>
  <c r="E49" i="36"/>
  <c r="I49" i="36"/>
  <c r="D85" i="36"/>
  <c r="H85" i="36"/>
  <c r="E92" i="36"/>
  <c r="F750" i="22"/>
  <c r="E93" i="36"/>
  <c r="I93" i="36"/>
  <c r="D68" i="36"/>
  <c r="E744" i="22"/>
  <c r="I76" i="36"/>
  <c r="I80" i="36"/>
  <c r="I85" i="36"/>
  <c r="G58" i="36"/>
  <c r="K58" i="36"/>
  <c r="E68" i="36"/>
  <c r="F744" i="22"/>
  <c r="I68" i="36"/>
  <c r="J744" i="22"/>
  <c r="E86" i="36"/>
  <c r="I86" i="36"/>
  <c r="G63" i="36"/>
  <c r="K63" i="36"/>
  <c r="E83" i="36"/>
  <c r="I83" i="36"/>
  <c r="E88" i="36"/>
  <c r="I88" i="36"/>
  <c r="E47" i="36"/>
  <c r="I47" i="36"/>
  <c r="E44" i="36"/>
  <c r="F44" i="36"/>
  <c r="F45" i="36"/>
  <c r="J45" i="36"/>
  <c r="F49" i="36"/>
  <c r="J49" i="36"/>
  <c r="F92" i="36"/>
  <c r="G750" i="22"/>
  <c r="J92" i="36"/>
  <c r="K750" i="22"/>
  <c r="J93" i="36"/>
  <c r="J68" i="36"/>
  <c r="K744" i="22"/>
  <c r="F47" i="36"/>
  <c r="J47" i="36"/>
  <c r="F86" i="36"/>
  <c r="J86" i="36"/>
  <c r="J44" i="36"/>
  <c r="F83" i="36"/>
  <c r="J88" i="36"/>
  <c r="D44" i="36"/>
  <c r="D47" i="36"/>
  <c r="D77" i="36"/>
  <c r="H77" i="36"/>
  <c r="D82" i="36"/>
  <c r="H82" i="36"/>
  <c r="E85" i="36"/>
  <c r="D53" i="36"/>
  <c r="H53" i="36"/>
  <c r="D88" i="36"/>
  <c r="H88" i="36"/>
  <c r="J76" i="36"/>
  <c r="J80" i="36"/>
  <c r="J83" i="36"/>
  <c r="F85" i="36"/>
  <c r="D75" i="36"/>
  <c r="H75" i="36"/>
  <c r="D79" i="36"/>
  <c r="H79" i="36"/>
  <c r="D84" i="36"/>
  <c r="H84" i="36"/>
  <c r="H92" i="36"/>
  <c r="I750" i="22"/>
  <c r="D93" i="36"/>
  <c r="H93" i="36"/>
  <c r="D45" i="36"/>
  <c r="H45" i="36"/>
  <c r="H46" i="36"/>
  <c r="H49" i="36"/>
  <c r="F79" i="36"/>
  <c r="J79" i="36"/>
  <c r="E82" i="36"/>
  <c r="I82" i="36"/>
  <c r="D83" i="36"/>
  <c r="H83" i="36"/>
  <c r="K92" i="36"/>
  <c r="L750" i="22"/>
  <c r="G92" i="36"/>
  <c r="H750" i="22"/>
  <c r="F93" i="36"/>
  <c r="K47" i="36"/>
  <c r="G47" i="36"/>
  <c r="I53" i="36"/>
  <c r="I58" i="36"/>
  <c r="F63" i="36"/>
  <c r="J63" i="36"/>
  <c r="D74" i="36"/>
  <c r="H74" i="36"/>
  <c r="E76" i="36"/>
  <c r="K44" i="36"/>
  <c r="G44" i="36"/>
  <c r="H47" i="36"/>
  <c r="D58" i="36"/>
  <c r="F76" i="36"/>
  <c r="D78" i="36"/>
  <c r="H78" i="36"/>
  <c r="E80" i="36"/>
  <c r="F84" i="36"/>
  <c r="J84" i="36"/>
  <c r="D86" i="36"/>
  <c r="H86" i="36"/>
  <c r="H44" i="36"/>
  <c r="K45" i="36"/>
  <c r="G45" i="36"/>
  <c r="G46" i="36"/>
  <c r="K49" i="36"/>
  <c r="G49" i="36"/>
  <c r="H58" i="36"/>
  <c r="F75" i="36"/>
  <c r="J75" i="36"/>
  <c r="E77" i="36"/>
  <c r="I77" i="36"/>
  <c r="F80" i="36"/>
  <c r="K88" i="36"/>
  <c r="G88" i="36"/>
  <c r="K46" i="36"/>
  <c r="E74" i="36"/>
  <c r="E78" i="36"/>
  <c r="K85" i="36"/>
  <c r="E53" i="36"/>
  <c r="F74" i="36"/>
  <c r="I75" i="36"/>
  <c r="H76" i="36"/>
  <c r="I79" i="36"/>
  <c r="H80" i="36"/>
  <c r="G86" i="36"/>
  <c r="E39" i="36"/>
  <c r="I39" i="36"/>
  <c r="F53" i="36"/>
  <c r="J53" i="36"/>
  <c r="F58" i="36"/>
  <c r="J58" i="36"/>
  <c r="J74" i="36"/>
  <c r="F77" i="36"/>
  <c r="J77" i="36"/>
  <c r="J78" i="36"/>
  <c r="I74" i="36"/>
  <c r="I44" i="36"/>
  <c r="I78" i="36"/>
  <c r="H63" i="36"/>
  <c r="G85" i="36"/>
  <c r="I92" i="36"/>
  <c r="J750" i="22"/>
  <c r="D49" i="36"/>
  <c r="E58" i="36"/>
  <c r="I63" i="36"/>
  <c r="D76" i="36"/>
  <c r="F78" i="36"/>
  <c r="D80" i="36"/>
  <c r="F82" i="36"/>
  <c r="J82" i="36"/>
  <c r="K86" i="36"/>
  <c r="F39" i="36"/>
  <c r="G715" i="22"/>
  <c r="J39" i="36"/>
  <c r="D63" i="36"/>
  <c r="E63" i="36"/>
  <c r="E75" i="36"/>
  <c r="E79" i="36"/>
  <c r="E84" i="36"/>
  <c r="I84" i="36"/>
  <c r="F88" i="36"/>
  <c r="G83" i="36"/>
  <c r="G53" i="36"/>
  <c r="K83" i="36"/>
  <c r="K53" i="36"/>
  <c r="I46" i="36"/>
  <c r="G69" i="36"/>
  <c r="K69" i="36"/>
  <c r="D92" i="36"/>
  <c r="E750" i="22"/>
  <c r="K93" i="36"/>
  <c r="G93" i="36"/>
  <c r="G84" i="36"/>
  <c r="K84" i="36"/>
  <c r="I127" i="36"/>
  <c r="J729" i="22"/>
  <c r="H137" i="36"/>
  <c r="I739" i="22"/>
  <c r="E724" i="22"/>
  <c r="H129" i="36"/>
  <c r="I731" i="22"/>
  <c r="K132" i="36"/>
  <c r="L734" i="22"/>
  <c r="G133" i="36"/>
  <c r="H735" i="22"/>
  <c r="G126" i="36"/>
  <c r="H728" i="22"/>
  <c r="G134" i="36"/>
  <c r="H736" i="22"/>
  <c r="K136" i="36"/>
  <c r="L738" i="22"/>
  <c r="I135" i="36"/>
  <c r="J737" i="22"/>
  <c r="D130" i="36"/>
  <c r="E732" i="22"/>
  <c r="F129" i="36"/>
  <c r="G731" i="22"/>
  <c r="H724" i="22"/>
  <c r="H133" i="36"/>
  <c r="I735" i="22"/>
  <c r="H727" i="22"/>
  <c r="I727" i="22"/>
  <c r="I132" i="36"/>
  <c r="J734" i="22"/>
  <c r="I136" i="36"/>
  <c r="J738" i="22"/>
  <c r="J126" i="36"/>
  <c r="K728" i="22"/>
  <c r="H140" i="36"/>
  <c r="I742" i="22"/>
  <c r="K128" i="36"/>
  <c r="L730" i="22"/>
  <c r="G138" i="36"/>
  <c r="H740" i="22"/>
  <c r="I139" i="36"/>
  <c r="J741" i="22"/>
  <c r="I124" i="36"/>
  <c r="J726" i="22"/>
  <c r="I140" i="36"/>
  <c r="J742" i="22"/>
  <c r="J134" i="36"/>
  <c r="K736" i="22"/>
  <c r="D139" i="36"/>
  <c r="E741" i="22"/>
  <c r="J130" i="36"/>
  <c r="K732" i="22"/>
  <c r="E136" i="36"/>
  <c r="F738" i="22"/>
  <c r="K124" i="36"/>
  <c r="L726" i="22"/>
  <c r="K140" i="36"/>
  <c r="L742" i="22"/>
  <c r="G129" i="36"/>
  <c r="H731" i="22"/>
  <c r="G137" i="36"/>
  <c r="H739" i="22"/>
  <c r="D138" i="36"/>
  <c r="E740" i="22"/>
  <c r="I128" i="36"/>
  <c r="J730" i="22"/>
  <c r="I138" i="36"/>
  <c r="J740" i="22"/>
  <c r="F140" i="36"/>
  <c r="G742" i="22"/>
  <c r="E139" i="36"/>
  <c r="F741" i="22"/>
  <c r="F134" i="36"/>
  <c r="G736" i="22"/>
  <c r="G130" i="36"/>
  <c r="H732" i="22"/>
  <c r="J725" i="22"/>
  <c r="I131" i="36"/>
  <c r="J733" i="22"/>
  <c r="E725" i="22"/>
  <c r="J715" i="22"/>
  <c r="F133" i="36"/>
  <c r="G735" i="22"/>
  <c r="K139" i="36"/>
  <c r="L741" i="22"/>
  <c r="L745" i="22"/>
  <c r="J137" i="36"/>
  <c r="K739" i="22"/>
  <c r="F715" i="22"/>
  <c r="G140" i="36"/>
  <c r="H742" i="22"/>
  <c r="H745" i="22"/>
  <c r="K715" i="22"/>
  <c r="K724" i="22"/>
  <c r="J138" i="36"/>
  <c r="K740" i="22"/>
  <c r="F124" i="36"/>
  <c r="G726" i="22"/>
  <c r="F126" i="36"/>
  <c r="G728" i="22"/>
  <c r="E124" i="36"/>
  <c r="F726" i="22"/>
  <c r="E132" i="36"/>
  <c r="F734" i="22"/>
  <c r="E140" i="36"/>
  <c r="F742" i="22"/>
  <c r="K129" i="36"/>
  <c r="L731" i="22"/>
  <c r="K137" i="36"/>
  <c r="L739" i="22"/>
  <c r="I724" i="22"/>
  <c r="H130" i="36"/>
  <c r="I732" i="22"/>
  <c r="H138" i="36"/>
  <c r="I740" i="22"/>
  <c r="D128" i="36"/>
  <c r="E730" i="22"/>
  <c r="E129" i="36"/>
  <c r="F731" i="22"/>
  <c r="E137" i="36"/>
  <c r="F739" i="22"/>
  <c r="K725" i="22"/>
  <c r="J131" i="36"/>
  <c r="K733" i="22"/>
  <c r="J139" i="36"/>
  <c r="K741" i="22"/>
  <c r="G725" i="22"/>
  <c r="F135" i="36"/>
  <c r="G737" i="22"/>
  <c r="F136" i="36"/>
  <c r="G738" i="22"/>
  <c r="E727" i="22"/>
  <c r="L724" i="22"/>
  <c r="K126" i="36"/>
  <c r="L728" i="22"/>
  <c r="K130" i="36"/>
  <c r="L732" i="22"/>
  <c r="K134" i="36"/>
  <c r="L736" i="22"/>
  <c r="K138" i="36"/>
  <c r="L740" i="22"/>
  <c r="H725" i="22"/>
  <c r="G127" i="36"/>
  <c r="H729" i="22"/>
  <c r="G131" i="36"/>
  <c r="H733" i="22"/>
  <c r="G135" i="36"/>
  <c r="H737" i="22"/>
  <c r="G139" i="36"/>
  <c r="H741" i="22"/>
  <c r="I725" i="22"/>
  <c r="H127" i="36"/>
  <c r="I729" i="22"/>
  <c r="H131" i="36"/>
  <c r="I733" i="22"/>
  <c r="H135" i="36"/>
  <c r="I737" i="22"/>
  <c r="H139" i="36"/>
  <c r="I741" i="22"/>
  <c r="D134" i="36"/>
  <c r="E736" i="22"/>
  <c r="D126" i="36"/>
  <c r="E728" i="22"/>
  <c r="D131" i="36"/>
  <c r="E733" i="22"/>
  <c r="J727" i="22"/>
  <c r="I129" i="36"/>
  <c r="J731" i="22"/>
  <c r="I133" i="36"/>
  <c r="J735" i="22"/>
  <c r="I137" i="36"/>
  <c r="J739" i="22"/>
  <c r="F724" i="22"/>
  <c r="E126" i="36"/>
  <c r="F728" i="22"/>
  <c r="E130" i="36"/>
  <c r="F732" i="22"/>
  <c r="E134" i="36"/>
  <c r="F736" i="22"/>
  <c r="E138" i="36"/>
  <c r="F740" i="22"/>
  <c r="J124" i="36"/>
  <c r="K726" i="22"/>
  <c r="J128" i="36"/>
  <c r="K730" i="22"/>
  <c r="J132" i="36"/>
  <c r="K734" i="22"/>
  <c r="J136" i="36"/>
  <c r="K738" i="22"/>
  <c r="J140" i="36"/>
  <c r="K742" i="22"/>
  <c r="D137" i="36"/>
  <c r="E739" i="22"/>
  <c r="D135" i="36"/>
  <c r="E737" i="22"/>
  <c r="F127" i="36"/>
  <c r="G729" i="22"/>
  <c r="F139" i="36"/>
  <c r="G741" i="22"/>
  <c r="G724" i="22"/>
  <c r="F130" i="36"/>
  <c r="G732" i="22"/>
  <c r="F138" i="36"/>
  <c r="G740" i="22"/>
  <c r="D133" i="36"/>
  <c r="E735" i="22"/>
  <c r="E128" i="36"/>
  <c r="F730" i="22"/>
  <c r="L727" i="22"/>
  <c r="K133" i="36"/>
  <c r="L735" i="22"/>
  <c r="H126" i="36"/>
  <c r="I728" i="22"/>
  <c r="H134" i="36"/>
  <c r="I736" i="22"/>
  <c r="D136" i="36"/>
  <c r="E738" i="22"/>
  <c r="F727" i="22"/>
  <c r="E133" i="36"/>
  <c r="F735" i="22"/>
  <c r="J127" i="36"/>
  <c r="K729" i="22"/>
  <c r="J135" i="36"/>
  <c r="K737" i="22"/>
  <c r="F137" i="36"/>
  <c r="G739" i="22"/>
  <c r="F128" i="36"/>
  <c r="G730" i="22"/>
  <c r="L725" i="22"/>
  <c r="K127" i="36"/>
  <c r="L729" i="22"/>
  <c r="K131" i="36"/>
  <c r="L733" i="22"/>
  <c r="K135" i="36"/>
  <c r="L737" i="22"/>
  <c r="G124" i="36"/>
  <c r="H726" i="22"/>
  <c r="G128" i="36"/>
  <c r="H730" i="22"/>
  <c r="G132" i="36"/>
  <c r="H734" i="22"/>
  <c r="G136" i="36"/>
  <c r="H738" i="22"/>
  <c r="H124" i="36"/>
  <c r="I726" i="22"/>
  <c r="H128" i="36"/>
  <c r="I730" i="22"/>
  <c r="H132" i="36"/>
  <c r="I734" i="22"/>
  <c r="H136" i="36"/>
  <c r="I738" i="22"/>
  <c r="D132" i="36"/>
  <c r="E734" i="22"/>
  <c r="D124" i="36"/>
  <c r="E726" i="22"/>
  <c r="J724" i="22"/>
  <c r="I126" i="36"/>
  <c r="J728" i="22"/>
  <c r="I130" i="36"/>
  <c r="J732" i="22"/>
  <c r="I134" i="36"/>
  <c r="J736" i="22"/>
  <c r="F725" i="22"/>
  <c r="E127" i="36"/>
  <c r="F729" i="22"/>
  <c r="E131" i="36"/>
  <c r="F733" i="22"/>
  <c r="E135" i="36"/>
  <c r="F737" i="22"/>
  <c r="K727" i="22"/>
  <c r="J129" i="36"/>
  <c r="K731" i="22"/>
  <c r="J133" i="36"/>
  <c r="K735" i="22"/>
  <c r="D129" i="36"/>
  <c r="E731" i="22"/>
  <c r="D140" i="36"/>
  <c r="E742" i="22"/>
  <c r="D127" i="36"/>
  <c r="E729" i="22"/>
  <c r="F131" i="36"/>
  <c r="G733" i="22"/>
  <c r="G727" i="22"/>
  <c r="F132" i="36"/>
  <c r="G734" i="22"/>
  <c r="Y10" i="27"/>
  <c r="B199" i="21"/>
  <c r="B200" i="21"/>
  <c r="D199" i="21"/>
  <c r="E199" i="21"/>
  <c r="F199" i="21"/>
  <c r="G199" i="21"/>
  <c r="H199" i="21"/>
  <c r="I199" i="21"/>
  <c r="J199" i="21"/>
  <c r="O200" i="21"/>
  <c r="O137" i="21" a="1"/>
  <c r="P137" i="21"/>
  <c r="V137" i="21"/>
  <c r="R137" i="21"/>
  <c r="S137" i="21"/>
  <c r="O137" i="21"/>
  <c r="U137" i="21"/>
  <c r="Q137" i="21"/>
  <c r="T137" i="21"/>
  <c r="J137" i="21"/>
  <c r="O138" i="21" a="1"/>
  <c r="P138" i="21"/>
  <c r="V138" i="21"/>
  <c r="R138" i="21"/>
  <c r="S138" i="21"/>
  <c r="O138" i="21"/>
  <c r="U138" i="21"/>
  <c r="Q138" i="21"/>
  <c r="T138" i="21"/>
  <c r="J138" i="21"/>
  <c r="N167" i="21"/>
  <c r="E75" i="21"/>
  <c r="F75" i="21"/>
  <c r="G75" i="21"/>
  <c r="H75" i="21"/>
  <c r="I75" i="21"/>
  <c r="J75" i="21"/>
  <c r="K75" i="21"/>
  <c r="D75" i="21"/>
  <c r="E73" i="21"/>
  <c r="F73" i="21"/>
  <c r="G73" i="21"/>
  <c r="H73" i="21"/>
  <c r="I73" i="21"/>
  <c r="J73" i="21"/>
  <c r="K73" i="21"/>
  <c r="D73" i="21"/>
  <c r="E67" i="21"/>
  <c r="F67" i="21"/>
  <c r="G67" i="21"/>
  <c r="H67" i="21"/>
  <c r="I67" i="21"/>
  <c r="J67" i="21"/>
  <c r="K67" i="21"/>
  <c r="D67" i="21"/>
  <c r="K107" i="17"/>
  <c r="I108" i="17"/>
  <c r="J107" i="17"/>
  <c r="N138" i="21"/>
  <c r="I138" i="21"/>
  <c r="M138" i="21"/>
  <c r="L138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D14" i="31"/>
  <c r="E14" i="31"/>
  <c r="F14" i="31"/>
  <c r="G14" i="31"/>
  <c r="K91" i="31"/>
  <c r="J91" i="31"/>
  <c r="I91" i="31"/>
  <c r="H91" i="31"/>
  <c r="G91" i="31"/>
  <c r="F91" i="31"/>
  <c r="E91" i="31"/>
  <c r="D91" i="31"/>
  <c r="K90" i="31"/>
  <c r="L467" i="22"/>
  <c r="J90" i="31"/>
  <c r="K467" i="22"/>
  <c r="I90" i="31"/>
  <c r="J467" i="22"/>
  <c r="H90" i="31"/>
  <c r="I467" i="22"/>
  <c r="G90" i="31"/>
  <c r="H467" i="22"/>
  <c r="F90" i="31"/>
  <c r="G467" i="22"/>
  <c r="E90" i="31"/>
  <c r="F467" i="22"/>
  <c r="D90" i="31"/>
  <c r="E467" i="22"/>
  <c r="K89" i="31"/>
  <c r="J89" i="31"/>
  <c r="I89" i="31"/>
  <c r="H89" i="31"/>
  <c r="G89" i="31"/>
  <c r="F89" i="31"/>
  <c r="E89" i="31"/>
  <c r="D89" i="31"/>
  <c r="K88" i="31"/>
  <c r="J88" i="31"/>
  <c r="I88" i="31"/>
  <c r="H88" i="31"/>
  <c r="G88" i="31"/>
  <c r="F88" i="31"/>
  <c r="E88" i="31"/>
  <c r="D88" i="31"/>
  <c r="K87" i="31"/>
  <c r="J87" i="31"/>
  <c r="I87" i="31"/>
  <c r="H87" i="31"/>
  <c r="G87" i="31"/>
  <c r="F87" i="31"/>
  <c r="E87" i="31"/>
  <c r="D87" i="31"/>
  <c r="K86" i="31"/>
  <c r="J86" i="31"/>
  <c r="I86" i="31"/>
  <c r="H86" i="31"/>
  <c r="G86" i="31"/>
  <c r="F86" i="31"/>
  <c r="E86" i="31"/>
  <c r="D86" i="31"/>
  <c r="K60" i="31"/>
  <c r="L438" i="22"/>
  <c r="J60" i="31"/>
  <c r="K438" i="22"/>
  <c r="I60" i="31"/>
  <c r="J438" i="22"/>
  <c r="H60" i="31"/>
  <c r="I438" i="22"/>
  <c r="G60" i="31"/>
  <c r="H438" i="22"/>
  <c r="F60" i="31"/>
  <c r="G438" i="22"/>
  <c r="E60" i="31"/>
  <c r="F438" i="22"/>
  <c r="D60" i="31"/>
  <c r="E438" i="22"/>
  <c r="D32" i="31"/>
  <c r="D37" i="31"/>
  <c r="L343" i="22"/>
  <c r="H343" i="22"/>
  <c r="J340" i="22"/>
  <c r="F340" i="22"/>
  <c r="I339" i="22"/>
  <c r="L338" i="22"/>
  <c r="H338" i="22"/>
  <c r="I134" i="30"/>
  <c r="H134" i="30"/>
  <c r="G134" i="30"/>
  <c r="K147" i="30"/>
  <c r="J147" i="30"/>
  <c r="I147" i="30"/>
  <c r="H147" i="30"/>
  <c r="G147" i="30"/>
  <c r="F147" i="30"/>
  <c r="E147" i="30"/>
  <c r="D147" i="30"/>
  <c r="K146" i="30"/>
  <c r="J146" i="30"/>
  <c r="I146" i="30"/>
  <c r="H146" i="30"/>
  <c r="G146" i="30"/>
  <c r="F146" i="30"/>
  <c r="E146" i="30"/>
  <c r="D146" i="30"/>
  <c r="K145" i="30"/>
  <c r="J145" i="30"/>
  <c r="I145" i="30"/>
  <c r="H145" i="30"/>
  <c r="G145" i="30"/>
  <c r="F145" i="30"/>
  <c r="E145" i="30"/>
  <c r="D145" i="30"/>
  <c r="K144" i="30"/>
  <c r="J144" i="30"/>
  <c r="I144" i="30"/>
  <c r="H144" i="30"/>
  <c r="G144" i="30"/>
  <c r="F144" i="30"/>
  <c r="E144" i="30"/>
  <c r="D144" i="30"/>
  <c r="K143" i="30"/>
  <c r="J143" i="30"/>
  <c r="I143" i="30"/>
  <c r="H143" i="30"/>
  <c r="G143" i="30"/>
  <c r="F143" i="30"/>
  <c r="E143" i="30"/>
  <c r="D143" i="30"/>
  <c r="K142" i="30"/>
  <c r="J142" i="30"/>
  <c r="I142" i="30"/>
  <c r="H142" i="30"/>
  <c r="G142" i="30"/>
  <c r="F142" i="30"/>
  <c r="E142" i="30"/>
  <c r="D142" i="30"/>
  <c r="K141" i="30"/>
  <c r="L344" i="22"/>
  <c r="J141" i="30"/>
  <c r="K344" i="22"/>
  <c r="I141" i="30"/>
  <c r="J344" i="22"/>
  <c r="H141" i="30"/>
  <c r="I344" i="22"/>
  <c r="G141" i="30"/>
  <c r="H344" i="22"/>
  <c r="F141" i="30"/>
  <c r="G344" i="22"/>
  <c r="E141" i="30"/>
  <c r="F344" i="22"/>
  <c r="D141" i="30"/>
  <c r="E344" i="22" s="1"/>
  <c r="D117" i="30"/>
  <c r="E339" i="22"/>
  <c r="E117" i="30"/>
  <c r="F339" i="22"/>
  <c r="F117" i="30"/>
  <c r="G339" i="22"/>
  <c r="G117" i="30"/>
  <c r="H339" i="22"/>
  <c r="H117" i="30"/>
  <c r="I117" i="30"/>
  <c r="J339" i="22"/>
  <c r="J117" i="30"/>
  <c r="K339" i="22"/>
  <c r="K117" i="30"/>
  <c r="L339" i="22"/>
  <c r="D118" i="30"/>
  <c r="E340" i="22" s="1"/>
  <c r="E118" i="30"/>
  <c r="F118" i="30"/>
  <c r="G340" i="22"/>
  <c r="G118" i="30"/>
  <c r="H340" i="22"/>
  <c r="H118" i="30"/>
  <c r="I340" i="22"/>
  <c r="I118" i="30"/>
  <c r="J118" i="30"/>
  <c r="K340" i="22"/>
  <c r="K118" i="30"/>
  <c r="L340" i="22"/>
  <c r="D119" i="30"/>
  <c r="E341" i="22" s="1"/>
  <c r="E119" i="30"/>
  <c r="F341" i="22"/>
  <c r="F119" i="30"/>
  <c r="G341" i="22"/>
  <c r="G119" i="30"/>
  <c r="H341" i="22"/>
  <c r="H119" i="30"/>
  <c r="I341" i="22"/>
  <c r="I119" i="30"/>
  <c r="J341" i="22"/>
  <c r="J119" i="30"/>
  <c r="K341" i="22"/>
  <c r="K119" i="30"/>
  <c r="L341" i="22"/>
  <c r="D120" i="30"/>
  <c r="E343" i="22"/>
  <c r="E120" i="30"/>
  <c r="F343" i="22"/>
  <c r="F120" i="30"/>
  <c r="G343" i="22"/>
  <c r="G120" i="30"/>
  <c r="H120" i="30"/>
  <c r="I343" i="22"/>
  <c r="I120" i="30"/>
  <c r="J343" i="22"/>
  <c r="J120" i="30"/>
  <c r="K343" i="22"/>
  <c r="K120" i="30"/>
  <c r="D122" i="30"/>
  <c r="E122" i="30"/>
  <c r="F122" i="30"/>
  <c r="G122" i="30"/>
  <c r="H122" i="30"/>
  <c r="I122" i="30"/>
  <c r="J122" i="30"/>
  <c r="K122" i="30"/>
  <c r="D123" i="30"/>
  <c r="E123" i="30"/>
  <c r="F123" i="30"/>
  <c r="G123" i="30"/>
  <c r="H123" i="30"/>
  <c r="I123" i="30"/>
  <c r="J123" i="30"/>
  <c r="K123" i="30"/>
  <c r="D124" i="30"/>
  <c r="E124" i="30"/>
  <c r="F124" i="30"/>
  <c r="G124" i="30"/>
  <c r="H124" i="30"/>
  <c r="I124" i="30"/>
  <c r="J124" i="30"/>
  <c r="K124" i="30"/>
  <c r="D126" i="30"/>
  <c r="E126" i="30"/>
  <c r="F126" i="30"/>
  <c r="G126" i="30"/>
  <c r="H126" i="30"/>
  <c r="I126" i="30"/>
  <c r="J126" i="30"/>
  <c r="K126" i="30"/>
  <c r="D127" i="30"/>
  <c r="E127" i="30"/>
  <c r="F127" i="30"/>
  <c r="G127" i="30"/>
  <c r="H127" i="30"/>
  <c r="I127" i="30"/>
  <c r="J127" i="30"/>
  <c r="K127" i="30"/>
  <c r="D128" i="30"/>
  <c r="E128" i="30"/>
  <c r="F128" i="30"/>
  <c r="G128" i="30"/>
  <c r="H128" i="30"/>
  <c r="I128" i="30"/>
  <c r="J128" i="30"/>
  <c r="K128" i="30"/>
  <c r="D129" i="30"/>
  <c r="E129" i="30"/>
  <c r="F129" i="30"/>
  <c r="G129" i="30"/>
  <c r="H129" i="30"/>
  <c r="I129" i="30"/>
  <c r="J129" i="30"/>
  <c r="K129" i="30"/>
  <c r="D130" i="30"/>
  <c r="E130" i="30"/>
  <c r="F130" i="30"/>
  <c r="G130" i="30"/>
  <c r="H130" i="30"/>
  <c r="I130" i="30"/>
  <c r="J130" i="30"/>
  <c r="K130" i="30"/>
  <c r="D131" i="30"/>
  <c r="E131" i="30"/>
  <c r="F131" i="30"/>
  <c r="G131" i="30"/>
  <c r="H131" i="30"/>
  <c r="I131" i="30"/>
  <c r="J131" i="30"/>
  <c r="K131" i="30"/>
  <c r="D132" i="30"/>
  <c r="E132" i="30"/>
  <c r="F132" i="30"/>
  <c r="G132" i="30"/>
  <c r="H132" i="30"/>
  <c r="I132" i="30"/>
  <c r="J132" i="30"/>
  <c r="K132" i="30"/>
  <c r="D134" i="30"/>
  <c r="E134" i="30"/>
  <c r="F134" i="30"/>
  <c r="J134" i="30"/>
  <c r="K134" i="30"/>
  <c r="D136" i="30"/>
  <c r="E136" i="30"/>
  <c r="F136" i="30"/>
  <c r="G136" i="30"/>
  <c r="H136" i="30"/>
  <c r="I136" i="30"/>
  <c r="J136" i="30"/>
  <c r="K136" i="30"/>
  <c r="D138" i="30"/>
  <c r="E138" i="30"/>
  <c r="F138" i="30"/>
  <c r="G138" i="30"/>
  <c r="H138" i="30"/>
  <c r="I138" i="30"/>
  <c r="J138" i="30"/>
  <c r="K138" i="30"/>
  <c r="D139" i="30"/>
  <c r="E139" i="30"/>
  <c r="F139" i="30"/>
  <c r="G139" i="30"/>
  <c r="H139" i="30"/>
  <c r="I139" i="30"/>
  <c r="J139" i="30"/>
  <c r="K139" i="30"/>
  <c r="K116" i="30"/>
  <c r="J116" i="30"/>
  <c r="K338" i="22"/>
  <c r="I116" i="30"/>
  <c r="J338" i="22"/>
  <c r="H116" i="30"/>
  <c r="I338" i="22"/>
  <c r="G116" i="30"/>
  <c r="F116" i="30"/>
  <c r="G338" i="22"/>
  <c r="E116" i="30"/>
  <c r="F338" i="22"/>
  <c r="D116" i="30"/>
  <c r="E338" i="22"/>
  <c r="J69" i="30"/>
  <c r="K284" i="22"/>
  <c r="H69" i="30"/>
  <c r="I284" i="22"/>
  <c r="I105" i="30"/>
  <c r="J314" i="22"/>
  <c r="I177" i="30"/>
  <c r="J374" i="22"/>
  <c r="G105" i="30"/>
  <c r="H314" i="22"/>
  <c r="F105" i="30"/>
  <c r="G314" i="22"/>
  <c r="K69" i="30"/>
  <c r="L284" i="22"/>
  <c r="G69" i="30"/>
  <c r="H284" i="22"/>
  <c r="E69" i="30"/>
  <c r="F284" i="22"/>
  <c r="F69" i="30"/>
  <c r="G284" i="22"/>
  <c r="I69" i="30"/>
  <c r="J284" i="22"/>
  <c r="D69" i="30"/>
  <c r="E284" i="22"/>
  <c r="E177" i="30"/>
  <c r="F374" i="22"/>
  <c r="E105" i="30"/>
  <c r="F314" i="22"/>
  <c r="H177" i="30"/>
  <c r="I374" i="22"/>
  <c r="H105" i="30"/>
  <c r="I314" i="22"/>
  <c r="D177" i="30"/>
  <c r="E374" i="22" s="1"/>
  <c r="D105" i="30"/>
  <c r="E314" i="22" s="1"/>
  <c r="J177" i="30"/>
  <c r="K374" i="22"/>
  <c r="F177" i="30"/>
  <c r="G374" i="22"/>
  <c r="J105" i="30"/>
  <c r="K314" i="22"/>
  <c r="G177" i="30"/>
  <c r="H374" i="22"/>
  <c r="K177" i="30"/>
  <c r="L374" i="22"/>
  <c r="K105" i="30"/>
  <c r="L314" i="22"/>
  <c r="AC39" i="21"/>
  <c r="P39" i="21"/>
  <c r="B167" i="21"/>
  <c r="D154" i="21"/>
  <c r="D182" i="21"/>
  <c r="E182" i="21"/>
  <c r="F182" i="21"/>
  <c r="G182" i="21"/>
  <c r="H182" i="21"/>
  <c r="I182" i="21"/>
  <c r="J182" i="21"/>
  <c r="C185" i="21"/>
  <c r="D185" i="21"/>
  <c r="E185" i="21"/>
  <c r="F185" i="21"/>
  <c r="G185" i="21"/>
  <c r="H185" i="21"/>
  <c r="I185" i="21"/>
  <c r="J185" i="21"/>
  <c r="C186" i="21"/>
  <c r="D186" i="21"/>
  <c r="E186" i="21"/>
  <c r="F186" i="21"/>
  <c r="G186" i="21"/>
  <c r="H186" i="21"/>
  <c r="I186" i="21"/>
  <c r="J186" i="21"/>
  <c r="C187" i="21"/>
  <c r="D187" i="21"/>
  <c r="E187" i="21"/>
  <c r="F187" i="21"/>
  <c r="G187" i="21"/>
  <c r="H187" i="21"/>
  <c r="I187" i="21"/>
  <c r="J187" i="21"/>
  <c r="C188" i="21"/>
  <c r="D188" i="21"/>
  <c r="E188" i="21"/>
  <c r="F188" i="21"/>
  <c r="G188" i="21"/>
  <c r="H188" i="21"/>
  <c r="I188" i="21"/>
  <c r="J188" i="21"/>
  <c r="C189" i="21"/>
  <c r="D189" i="21"/>
  <c r="E189" i="21"/>
  <c r="F189" i="21"/>
  <c r="G189" i="21"/>
  <c r="H189" i="21"/>
  <c r="I189" i="21"/>
  <c r="J189" i="21"/>
  <c r="C190" i="21"/>
  <c r="D190" i="21"/>
  <c r="E190" i="21"/>
  <c r="F190" i="21"/>
  <c r="G190" i="21"/>
  <c r="H190" i="21"/>
  <c r="I190" i="21"/>
  <c r="J190" i="21"/>
  <c r="C191" i="21"/>
  <c r="D191" i="21"/>
  <c r="E191" i="21"/>
  <c r="F191" i="21"/>
  <c r="G191" i="21"/>
  <c r="H191" i="21"/>
  <c r="I191" i="21"/>
  <c r="J191" i="21"/>
  <c r="C192" i="21"/>
  <c r="D192" i="21"/>
  <c r="E192" i="21"/>
  <c r="F192" i="21"/>
  <c r="G192" i="21"/>
  <c r="H192" i="21"/>
  <c r="I192" i="21"/>
  <c r="J192" i="21"/>
  <c r="C193" i="21"/>
  <c r="D193" i="21"/>
  <c r="E193" i="21"/>
  <c r="F193" i="21"/>
  <c r="G193" i="21"/>
  <c r="H193" i="21"/>
  <c r="I193" i="21"/>
  <c r="J193" i="21"/>
  <c r="D184" i="21"/>
  <c r="E184" i="21"/>
  <c r="F184" i="21"/>
  <c r="G184" i="21"/>
  <c r="H184" i="21"/>
  <c r="I184" i="21"/>
  <c r="J184" i="21"/>
  <c r="C184" i="21"/>
  <c r="J45" i="30"/>
  <c r="D86" i="18"/>
  <c r="F119" i="21"/>
  <c r="G119" i="21"/>
  <c r="H119" i="21"/>
  <c r="I119" i="21"/>
  <c r="J119" i="21"/>
  <c r="K119" i="21"/>
  <c r="L119" i="21"/>
  <c r="E119" i="21"/>
  <c r="D72" i="34"/>
  <c r="D166" i="21"/>
  <c r="E166" i="21"/>
  <c r="F166" i="21"/>
  <c r="G166" i="21"/>
  <c r="H166" i="21"/>
  <c r="I166" i="21"/>
  <c r="J166" i="21"/>
  <c r="I60" i="17"/>
  <c r="J60" i="17"/>
  <c r="K60" i="17"/>
  <c r="L60" i="17"/>
  <c r="M60" i="17"/>
  <c r="N60" i="17"/>
  <c r="O60" i="17"/>
  <c r="P60" i="17"/>
  <c r="Q60" i="17"/>
  <c r="R60" i="17"/>
  <c r="D7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E6" i="17"/>
  <c r="H60" i="17"/>
  <c r="G60" i="17"/>
  <c r="F60" i="17"/>
  <c r="E60" i="17"/>
  <c r="D60" i="17"/>
  <c r="I170" i="30"/>
  <c r="Q227" i="21"/>
  <c r="J104" i="17"/>
  <c r="F34" i="27"/>
  <c r="G34" i="27"/>
  <c r="H34" i="27"/>
  <c r="I34" i="27"/>
  <c r="J34" i="27"/>
  <c r="K34" i="27"/>
  <c r="F35" i="27"/>
  <c r="G35" i="27"/>
  <c r="H35" i="27"/>
  <c r="I35" i="27"/>
  <c r="J35" i="27"/>
  <c r="K35" i="27"/>
  <c r="F36" i="27"/>
  <c r="G36" i="27"/>
  <c r="H36" i="27"/>
  <c r="I36" i="27"/>
  <c r="J36" i="27"/>
  <c r="K36" i="27"/>
  <c r="F37" i="27"/>
  <c r="G37" i="27"/>
  <c r="H37" i="27"/>
  <c r="I37" i="27"/>
  <c r="J37" i="27"/>
  <c r="K37" i="27"/>
  <c r="F38" i="27"/>
  <c r="G38" i="27"/>
  <c r="H38" i="27"/>
  <c r="I38" i="27"/>
  <c r="J38" i="27"/>
  <c r="K38" i="27"/>
  <c r="F39" i="27"/>
  <c r="F103" i="27"/>
  <c r="G524" i="22" s="1"/>
  <c r="G39" i="27"/>
  <c r="H39" i="27"/>
  <c r="H103" i="27" s="1"/>
  <c r="I524" i="22" s="1"/>
  <c r="I39" i="27"/>
  <c r="J39" i="27"/>
  <c r="J103" i="27"/>
  <c r="K524" i="22" s="1"/>
  <c r="K39" i="27"/>
  <c r="K103" i="27" s="1"/>
  <c r="L524" i="22" s="1"/>
  <c r="F40" i="27"/>
  <c r="G40" i="27"/>
  <c r="H40" i="27"/>
  <c r="I40" i="27"/>
  <c r="J40" i="27"/>
  <c r="K40" i="27"/>
  <c r="F41" i="27"/>
  <c r="F98" i="27" s="1"/>
  <c r="G519" i="22" s="1"/>
  <c r="G41" i="27"/>
  <c r="G98" i="27" s="1"/>
  <c r="H519" i="22" s="1"/>
  <c r="H41" i="27"/>
  <c r="H98" i="27" s="1"/>
  <c r="I519" i="22" s="1"/>
  <c r="I41" i="27"/>
  <c r="I98" i="27" s="1"/>
  <c r="J519" i="22" s="1"/>
  <c r="J41" i="27"/>
  <c r="J98" i="27" s="1"/>
  <c r="K519" i="22" s="1"/>
  <c r="K41" i="27"/>
  <c r="K98" i="27" s="1"/>
  <c r="L519" i="22" s="1"/>
  <c r="F42" i="27"/>
  <c r="G42" i="27"/>
  <c r="H42" i="27"/>
  <c r="I42" i="27"/>
  <c r="J42" i="27"/>
  <c r="K42" i="27"/>
  <c r="F43" i="27"/>
  <c r="G43" i="27"/>
  <c r="H43" i="27"/>
  <c r="I43" i="27"/>
  <c r="J43" i="27"/>
  <c r="K43" i="27"/>
  <c r="F44" i="27"/>
  <c r="G44" i="27"/>
  <c r="H44" i="27"/>
  <c r="I44" i="27"/>
  <c r="J44" i="27"/>
  <c r="K44" i="27"/>
  <c r="F45" i="27"/>
  <c r="G45" i="27"/>
  <c r="H45" i="27"/>
  <c r="I45" i="27"/>
  <c r="J45" i="27"/>
  <c r="K45" i="27"/>
  <c r="F46" i="27"/>
  <c r="G46" i="27"/>
  <c r="H46" i="27"/>
  <c r="I46" i="27"/>
  <c r="J46" i="27"/>
  <c r="K46" i="27"/>
  <c r="F47" i="27"/>
  <c r="G47" i="27"/>
  <c r="H47" i="27"/>
  <c r="I47" i="27"/>
  <c r="J47" i="27"/>
  <c r="K47" i="27"/>
  <c r="F48" i="27"/>
  <c r="G48" i="27"/>
  <c r="H48" i="27"/>
  <c r="I48" i="27"/>
  <c r="J48" i="27"/>
  <c r="K48" i="27"/>
  <c r="D22" i="27"/>
  <c r="F22" i="27"/>
  <c r="H22" i="27"/>
  <c r="H49" i="27" s="1"/>
  <c r="J22" i="27"/>
  <c r="D60" i="27"/>
  <c r="E60" i="27"/>
  <c r="F60" i="27"/>
  <c r="G60" i="27"/>
  <c r="H60" i="27"/>
  <c r="I60" i="27"/>
  <c r="J60" i="27"/>
  <c r="K60" i="27"/>
  <c r="D61" i="27"/>
  <c r="E61" i="27"/>
  <c r="F61" i="27"/>
  <c r="G61" i="27"/>
  <c r="H61" i="27"/>
  <c r="I61" i="27"/>
  <c r="J61" i="27"/>
  <c r="K61" i="27"/>
  <c r="D62" i="27"/>
  <c r="E62" i="27"/>
  <c r="F62" i="27"/>
  <c r="G62" i="27"/>
  <c r="H62" i="27"/>
  <c r="I62" i="27"/>
  <c r="J62" i="27"/>
  <c r="K62" i="27"/>
  <c r="D63" i="27"/>
  <c r="E63" i="27"/>
  <c r="F63" i="27"/>
  <c r="G63" i="27"/>
  <c r="H63" i="27"/>
  <c r="I63" i="27"/>
  <c r="J63" i="27"/>
  <c r="K63" i="27"/>
  <c r="D64" i="27"/>
  <c r="E64" i="27"/>
  <c r="F64" i="27"/>
  <c r="G64" i="27"/>
  <c r="H64" i="27"/>
  <c r="I64" i="27"/>
  <c r="J64" i="27"/>
  <c r="K64" i="27"/>
  <c r="D65" i="27"/>
  <c r="D132" i="27" s="1"/>
  <c r="E554" i="22" s="1"/>
  <c r="E65" i="27"/>
  <c r="E132" i="27" s="1"/>
  <c r="F554" i="22" s="1"/>
  <c r="F65" i="27"/>
  <c r="F132" i="27" s="1"/>
  <c r="G554" i="22" s="1"/>
  <c r="G65" i="27"/>
  <c r="H65" i="27"/>
  <c r="I65" i="27"/>
  <c r="J65" i="27"/>
  <c r="J132" i="27" s="1"/>
  <c r="K554" i="22" s="1"/>
  <c r="K65" i="27"/>
  <c r="K132" i="27" s="1"/>
  <c r="L554" i="22" s="1"/>
  <c r="D66" i="27"/>
  <c r="E66" i="27"/>
  <c r="F66" i="27"/>
  <c r="G66" i="27"/>
  <c r="H66" i="27"/>
  <c r="I66" i="27"/>
  <c r="J66" i="27"/>
  <c r="K66" i="27"/>
  <c r="D67" i="27"/>
  <c r="D127" i="27" s="1"/>
  <c r="E549" i="22" s="1"/>
  <c r="E67" i="27"/>
  <c r="F67" i="27"/>
  <c r="F127" i="27" s="1"/>
  <c r="G549" i="22" s="1"/>
  <c r="G67" i="27"/>
  <c r="H67" i="27"/>
  <c r="H127" i="27" s="1"/>
  <c r="I549" i="22" s="1"/>
  <c r="I67" i="27"/>
  <c r="J67" i="27"/>
  <c r="J127" i="27" s="1"/>
  <c r="K549" i="22" s="1"/>
  <c r="K67" i="27"/>
  <c r="K127" i="27" s="1"/>
  <c r="L549" i="22" s="1"/>
  <c r="D68" i="27"/>
  <c r="E68" i="27"/>
  <c r="F68" i="27"/>
  <c r="G68" i="27"/>
  <c r="H68" i="27"/>
  <c r="I68" i="27"/>
  <c r="J68" i="27"/>
  <c r="K68" i="27"/>
  <c r="D69" i="27"/>
  <c r="E69" i="27"/>
  <c r="F69" i="27"/>
  <c r="G69" i="27"/>
  <c r="H69" i="27"/>
  <c r="I69" i="27"/>
  <c r="J69" i="27"/>
  <c r="K69" i="27"/>
  <c r="E59" i="27"/>
  <c r="F59" i="27"/>
  <c r="G59" i="27"/>
  <c r="H59" i="27"/>
  <c r="H134" i="27" s="1"/>
  <c r="I59" i="27"/>
  <c r="J59" i="27"/>
  <c r="K59" i="27"/>
  <c r="K134" i="27" s="1"/>
  <c r="E153" i="30"/>
  <c r="K64" i="30"/>
  <c r="J64" i="30"/>
  <c r="I64" i="30"/>
  <c r="H64" i="30"/>
  <c r="G64" i="30"/>
  <c r="F64" i="30"/>
  <c r="E64" i="30"/>
  <c r="D64" i="30"/>
  <c r="K181" i="30"/>
  <c r="J181" i="30"/>
  <c r="I181" i="30"/>
  <c r="H181" i="30"/>
  <c r="G181" i="30"/>
  <c r="F181" i="30"/>
  <c r="E181" i="30"/>
  <c r="D181" i="30"/>
  <c r="I180" i="30"/>
  <c r="K179" i="30"/>
  <c r="J179" i="30"/>
  <c r="I179" i="30"/>
  <c r="H179" i="30"/>
  <c r="G179" i="30"/>
  <c r="F179" i="30"/>
  <c r="E179" i="30"/>
  <c r="D179" i="30"/>
  <c r="K178" i="30"/>
  <c r="J178" i="30"/>
  <c r="I178" i="30"/>
  <c r="H178" i="30"/>
  <c r="G178" i="30"/>
  <c r="F178" i="30"/>
  <c r="E178" i="30"/>
  <c r="D178" i="30"/>
  <c r="J175" i="30"/>
  <c r="H175" i="30"/>
  <c r="D175" i="30"/>
  <c r="F175" i="30"/>
  <c r="J174" i="30"/>
  <c r="F174" i="30"/>
  <c r="D174" i="30"/>
  <c r="K172" i="30"/>
  <c r="G172" i="30"/>
  <c r="K170" i="30"/>
  <c r="J170" i="30"/>
  <c r="H170" i="30"/>
  <c r="G170" i="30"/>
  <c r="F170" i="30"/>
  <c r="E170" i="30"/>
  <c r="D170" i="30"/>
  <c r="K168" i="30"/>
  <c r="J168" i="30"/>
  <c r="I168" i="30"/>
  <c r="H168" i="30"/>
  <c r="G168" i="30"/>
  <c r="F168" i="30"/>
  <c r="E168" i="30"/>
  <c r="D168" i="30"/>
  <c r="K167" i="30"/>
  <c r="J167" i="30"/>
  <c r="I167" i="30"/>
  <c r="H167" i="30"/>
  <c r="G167" i="30"/>
  <c r="F167" i="30"/>
  <c r="E167" i="30"/>
  <c r="D167" i="30"/>
  <c r="K166" i="30"/>
  <c r="J166" i="30"/>
  <c r="I166" i="30"/>
  <c r="H166" i="30"/>
  <c r="H261" i="30" s="1"/>
  <c r="I351" i="22" s="1"/>
  <c r="F166" i="30"/>
  <c r="E166" i="30"/>
  <c r="D166" i="30"/>
  <c r="K165" i="30"/>
  <c r="J165" i="30"/>
  <c r="I165" i="30"/>
  <c r="H165" i="30"/>
  <c r="G165" i="30"/>
  <c r="F165" i="30"/>
  <c r="E165" i="30"/>
  <c r="D165" i="30"/>
  <c r="K164" i="30"/>
  <c r="J164" i="30"/>
  <c r="I164" i="30"/>
  <c r="H164" i="30"/>
  <c r="G164" i="30"/>
  <c r="F164" i="30"/>
  <c r="E164" i="30"/>
  <c r="D164" i="30"/>
  <c r="K163" i="30"/>
  <c r="J163" i="30"/>
  <c r="I163" i="30"/>
  <c r="H163" i="30"/>
  <c r="G163" i="30"/>
  <c r="F163" i="30"/>
  <c r="E163" i="30"/>
  <c r="D163" i="30"/>
  <c r="K162" i="30"/>
  <c r="J162" i="30"/>
  <c r="I162" i="30"/>
  <c r="H162" i="30"/>
  <c r="G162" i="30"/>
  <c r="F162" i="30"/>
  <c r="E162" i="30"/>
  <c r="D162" i="30"/>
  <c r="K156" i="30"/>
  <c r="L373" i="22"/>
  <c r="J156" i="30"/>
  <c r="I156" i="30"/>
  <c r="J373" i="22"/>
  <c r="H156" i="30"/>
  <c r="G156" i="30"/>
  <c r="H373" i="22"/>
  <c r="F156" i="30"/>
  <c r="G373" i="22"/>
  <c r="E156" i="30"/>
  <c r="F373" i="22"/>
  <c r="D156" i="30"/>
  <c r="E373" i="22" s="1"/>
  <c r="K109" i="30"/>
  <c r="J109" i="30"/>
  <c r="I109" i="30"/>
  <c r="H109" i="30"/>
  <c r="G109" i="30"/>
  <c r="F109" i="30"/>
  <c r="E109" i="30"/>
  <c r="D109" i="30"/>
  <c r="H108" i="30"/>
  <c r="K107" i="30"/>
  <c r="J107" i="30"/>
  <c r="I107" i="30"/>
  <c r="H107" i="30"/>
  <c r="G107" i="30"/>
  <c r="F107" i="30"/>
  <c r="E107" i="30"/>
  <c r="D107" i="30"/>
  <c r="K106" i="30"/>
  <c r="J106" i="30"/>
  <c r="I106" i="30"/>
  <c r="H106" i="30"/>
  <c r="G106" i="30"/>
  <c r="F106" i="30"/>
  <c r="E106" i="30"/>
  <c r="D106" i="30"/>
  <c r="J103" i="30"/>
  <c r="F103" i="30"/>
  <c r="H103" i="30"/>
  <c r="D103" i="30"/>
  <c r="J102" i="30"/>
  <c r="F102" i="30"/>
  <c r="H102" i="30"/>
  <c r="D102" i="30"/>
  <c r="J100" i="30"/>
  <c r="F100" i="30"/>
  <c r="K98" i="30"/>
  <c r="J98" i="30"/>
  <c r="I98" i="30"/>
  <c r="H98" i="30"/>
  <c r="G98" i="30"/>
  <c r="F98" i="30"/>
  <c r="E98" i="30"/>
  <c r="D98" i="30"/>
  <c r="K96" i="30"/>
  <c r="J96" i="30"/>
  <c r="I96" i="30"/>
  <c r="H96" i="30"/>
  <c r="G96" i="30"/>
  <c r="F96" i="30"/>
  <c r="E96" i="30"/>
  <c r="D96" i="30"/>
  <c r="K95" i="30"/>
  <c r="J95" i="30"/>
  <c r="I95" i="30"/>
  <c r="H95" i="30"/>
  <c r="G95" i="30"/>
  <c r="F95" i="30"/>
  <c r="E95" i="30"/>
  <c r="D95" i="30"/>
  <c r="K94" i="30"/>
  <c r="J94" i="30"/>
  <c r="I94" i="30"/>
  <c r="H94" i="30"/>
  <c r="G94" i="30"/>
  <c r="F94" i="30"/>
  <c r="E94" i="30"/>
  <c r="D94" i="30"/>
  <c r="K93" i="30"/>
  <c r="J93" i="30"/>
  <c r="I93" i="30"/>
  <c r="H93" i="30"/>
  <c r="G93" i="30"/>
  <c r="F93" i="30"/>
  <c r="E93" i="30"/>
  <c r="D93" i="30"/>
  <c r="K92" i="30"/>
  <c r="J92" i="30"/>
  <c r="I92" i="30"/>
  <c r="H92" i="30"/>
  <c r="G92" i="30"/>
  <c r="F92" i="30"/>
  <c r="E92" i="30"/>
  <c r="D92" i="30"/>
  <c r="K91" i="30"/>
  <c r="J91" i="30"/>
  <c r="I91" i="30"/>
  <c r="H91" i="30"/>
  <c r="G91" i="30"/>
  <c r="F91" i="30"/>
  <c r="E91" i="30"/>
  <c r="D91" i="30"/>
  <c r="K90" i="30"/>
  <c r="J90" i="30"/>
  <c r="I90" i="30"/>
  <c r="H90" i="30"/>
  <c r="G90" i="30"/>
  <c r="F90" i="30"/>
  <c r="E90" i="30"/>
  <c r="D90" i="30"/>
  <c r="K88" i="30"/>
  <c r="J88" i="30"/>
  <c r="I88" i="30"/>
  <c r="H88" i="30"/>
  <c r="G88" i="30"/>
  <c r="F88" i="30"/>
  <c r="E88" i="30"/>
  <c r="D88" i="30"/>
  <c r="K87" i="30"/>
  <c r="J87" i="30"/>
  <c r="I87" i="30"/>
  <c r="H87" i="30"/>
  <c r="G87" i="30"/>
  <c r="F87" i="30"/>
  <c r="E87" i="30"/>
  <c r="D87" i="30"/>
  <c r="K86" i="30"/>
  <c r="J86" i="30"/>
  <c r="I86" i="30"/>
  <c r="H86" i="30"/>
  <c r="G86" i="30"/>
  <c r="F86" i="30"/>
  <c r="E86" i="30"/>
  <c r="E220" i="30" s="1"/>
  <c r="F296" i="22" s="1"/>
  <c r="D86" i="30"/>
  <c r="K84" i="30"/>
  <c r="L313" i="22"/>
  <c r="J84" i="30"/>
  <c r="I84" i="30"/>
  <c r="J313" i="22"/>
  <c r="H84" i="30"/>
  <c r="I313" i="22"/>
  <c r="G84" i="30"/>
  <c r="H313" i="22"/>
  <c r="F84" i="30"/>
  <c r="G313" i="22"/>
  <c r="E84" i="30"/>
  <c r="F313" i="22"/>
  <c r="D84" i="30"/>
  <c r="E313" i="22"/>
  <c r="I75" i="30"/>
  <c r="K73" i="30"/>
  <c r="J73" i="30"/>
  <c r="I73" i="30"/>
  <c r="H73" i="30"/>
  <c r="G73" i="30"/>
  <c r="F73" i="30"/>
  <c r="E73" i="30"/>
  <c r="D73" i="30"/>
  <c r="K75" i="30"/>
  <c r="K72" i="30"/>
  <c r="I72" i="30"/>
  <c r="E72" i="30"/>
  <c r="K71" i="30"/>
  <c r="J71" i="30"/>
  <c r="I71" i="30"/>
  <c r="H71" i="30"/>
  <c r="G71" i="30"/>
  <c r="F71" i="30"/>
  <c r="E71" i="30"/>
  <c r="D71" i="30"/>
  <c r="K70" i="30"/>
  <c r="J70" i="30"/>
  <c r="I70" i="30"/>
  <c r="H70" i="30"/>
  <c r="G70" i="30"/>
  <c r="F70" i="30"/>
  <c r="E70" i="30"/>
  <c r="D70" i="30"/>
  <c r="K67" i="30"/>
  <c r="G67" i="30"/>
  <c r="G66" i="30"/>
  <c r="K62" i="30"/>
  <c r="J62" i="30"/>
  <c r="I62" i="30"/>
  <c r="H62" i="30"/>
  <c r="G62" i="30"/>
  <c r="F62" i="30"/>
  <c r="E62" i="30"/>
  <c r="D62" i="30"/>
  <c r="K60" i="30"/>
  <c r="J60" i="30"/>
  <c r="I60" i="30"/>
  <c r="H60" i="30"/>
  <c r="G60" i="30"/>
  <c r="F60" i="30"/>
  <c r="E60" i="30"/>
  <c r="D60" i="30"/>
  <c r="K59" i="30"/>
  <c r="J59" i="30"/>
  <c r="I59" i="30"/>
  <c r="H59" i="30"/>
  <c r="G59" i="30"/>
  <c r="F59" i="30"/>
  <c r="E59" i="30"/>
  <c r="D59" i="30"/>
  <c r="K58" i="30"/>
  <c r="J58" i="30"/>
  <c r="I58" i="30"/>
  <c r="H58" i="30"/>
  <c r="G58" i="30"/>
  <c r="F58" i="30"/>
  <c r="E58" i="30"/>
  <c r="D58" i="30"/>
  <c r="K57" i="30"/>
  <c r="J57" i="30"/>
  <c r="I57" i="30"/>
  <c r="H57" i="30"/>
  <c r="G57" i="30"/>
  <c r="F57" i="30"/>
  <c r="E57" i="30"/>
  <c r="D57" i="30"/>
  <c r="K56" i="30"/>
  <c r="J56" i="30"/>
  <c r="I56" i="30"/>
  <c r="H56" i="30"/>
  <c r="G56" i="30"/>
  <c r="F56" i="30"/>
  <c r="E56" i="30"/>
  <c r="D56" i="30"/>
  <c r="K55" i="30"/>
  <c r="J55" i="30"/>
  <c r="I55" i="30"/>
  <c r="H55" i="30"/>
  <c r="G55" i="30"/>
  <c r="F55" i="30"/>
  <c r="E55" i="30"/>
  <c r="D55" i="30"/>
  <c r="K54" i="30"/>
  <c r="J54" i="30"/>
  <c r="I54" i="30"/>
  <c r="H54" i="30"/>
  <c r="G54" i="30"/>
  <c r="F54" i="30"/>
  <c r="E54" i="30"/>
  <c r="D54" i="30"/>
  <c r="K52" i="30"/>
  <c r="J52" i="30"/>
  <c r="I52" i="30"/>
  <c r="H52" i="30"/>
  <c r="G52" i="30"/>
  <c r="F52" i="30"/>
  <c r="E52" i="30"/>
  <c r="D52" i="30"/>
  <c r="K51" i="30"/>
  <c r="J51" i="30"/>
  <c r="I51" i="30"/>
  <c r="H51" i="30"/>
  <c r="G51" i="30"/>
  <c r="F51" i="30"/>
  <c r="E51" i="30"/>
  <c r="D51" i="30"/>
  <c r="K50" i="30"/>
  <c r="J50" i="30"/>
  <c r="I50" i="30"/>
  <c r="H50" i="30"/>
  <c r="G50" i="30"/>
  <c r="F50" i="30"/>
  <c r="E50" i="30"/>
  <c r="D50" i="30"/>
  <c r="K48" i="30"/>
  <c r="J48" i="30"/>
  <c r="I48" i="30"/>
  <c r="H48" i="30"/>
  <c r="G48" i="30"/>
  <c r="F48" i="30"/>
  <c r="E48" i="30"/>
  <c r="D48" i="30"/>
  <c r="K46" i="30"/>
  <c r="G46" i="30"/>
  <c r="AH39" i="30"/>
  <c r="AH38" i="30"/>
  <c r="F182" i="30"/>
  <c r="I108" i="30"/>
  <c r="H72" i="30"/>
  <c r="E108" i="30"/>
  <c r="D72" i="30"/>
  <c r="AH31" i="30"/>
  <c r="J67" i="30"/>
  <c r="I103" i="30"/>
  <c r="H67" i="30"/>
  <c r="F67" i="30"/>
  <c r="D67" i="30"/>
  <c r="J66" i="30"/>
  <c r="I102" i="30"/>
  <c r="H66" i="30"/>
  <c r="F66" i="30"/>
  <c r="E102" i="30"/>
  <c r="D66" i="30"/>
  <c r="AH28" i="30"/>
  <c r="K100" i="30"/>
  <c r="J172" i="30"/>
  <c r="I100" i="30"/>
  <c r="G100" i="30"/>
  <c r="F172" i="30"/>
  <c r="E100" i="30"/>
  <c r="AH26" i="30"/>
  <c r="AH24" i="30"/>
  <c r="AH23" i="30"/>
  <c r="AH22" i="30"/>
  <c r="AH21" i="30"/>
  <c r="AH20" i="30"/>
  <c r="AH19" i="30"/>
  <c r="AH18" i="30"/>
  <c r="AH16" i="30"/>
  <c r="AH15" i="30"/>
  <c r="AH14" i="30"/>
  <c r="G47" i="30"/>
  <c r="J75" i="30"/>
  <c r="G75" i="30"/>
  <c r="D111" i="30"/>
  <c r="G153" i="30"/>
  <c r="H369" i="22"/>
  <c r="D80" i="30"/>
  <c r="F81" i="30"/>
  <c r="G309" i="22"/>
  <c r="G154" i="30"/>
  <c r="H370" i="22"/>
  <c r="G44" i="30"/>
  <c r="D83" i="30"/>
  <c r="E311" i="22"/>
  <c r="K44" i="30"/>
  <c r="H83" i="30"/>
  <c r="I311" i="22"/>
  <c r="H82" i="30"/>
  <c r="I310" i="22"/>
  <c r="D82" i="30"/>
  <c r="E310" i="22"/>
  <c r="H81" i="30"/>
  <c r="I309" i="22"/>
  <c r="D81" i="30"/>
  <c r="E309" i="22"/>
  <c r="J83" i="30"/>
  <c r="K311" i="22"/>
  <c r="F83" i="30"/>
  <c r="G311" i="22"/>
  <c r="F82" i="30"/>
  <c r="G310" i="22"/>
  <c r="J81" i="30"/>
  <c r="J80" i="30"/>
  <c r="K308" i="22"/>
  <c r="F80" i="30"/>
  <c r="I83" i="30"/>
  <c r="J311" i="22"/>
  <c r="E83" i="30"/>
  <c r="I82" i="30"/>
  <c r="J310" i="22"/>
  <c r="I81" i="30"/>
  <c r="J309" i="22"/>
  <c r="E81" i="30"/>
  <c r="I80" i="30"/>
  <c r="E80" i="30"/>
  <c r="F308" i="22"/>
  <c r="D172" i="30"/>
  <c r="D100" i="30"/>
  <c r="H172" i="30"/>
  <c r="H100" i="30"/>
  <c r="G174" i="30"/>
  <c r="G102" i="30"/>
  <c r="K174" i="30"/>
  <c r="K102" i="30"/>
  <c r="G175" i="30"/>
  <c r="G103" i="30"/>
  <c r="K175" i="30"/>
  <c r="K103" i="30"/>
  <c r="F111" i="30"/>
  <c r="F227" i="30" s="1"/>
  <c r="G303" i="22" s="1"/>
  <c r="F180" i="30"/>
  <c r="F72" i="30"/>
  <c r="J72" i="30"/>
  <c r="D47" i="30"/>
  <c r="D46" i="30"/>
  <c r="D45" i="30"/>
  <c r="D44" i="30"/>
  <c r="F47" i="30"/>
  <c r="F46" i="30"/>
  <c r="F45" i="30"/>
  <c r="F44" i="30"/>
  <c r="E47" i="30"/>
  <c r="E46" i="30"/>
  <c r="E45" i="30"/>
  <c r="E44" i="30"/>
  <c r="K47" i="30"/>
  <c r="K66" i="30"/>
  <c r="G72" i="30"/>
  <c r="E75" i="30"/>
  <c r="F74" i="30"/>
  <c r="J82" i="30"/>
  <c r="K310" i="22"/>
  <c r="J111" i="30"/>
  <c r="J218" i="30" s="1"/>
  <c r="K294" i="22" s="1"/>
  <c r="G155" i="30"/>
  <c r="H371" i="22"/>
  <c r="I183" i="30"/>
  <c r="I268" i="30" s="1"/>
  <c r="J358" i="22" s="1"/>
  <c r="E175" i="30"/>
  <c r="E103" i="30"/>
  <c r="D182" i="30"/>
  <c r="H110" i="30"/>
  <c r="E66" i="30"/>
  <c r="I66" i="30"/>
  <c r="E67" i="30"/>
  <c r="I67" i="30"/>
  <c r="D108" i="30"/>
  <c r="H155" i="30"/>
  <c r="I371" i="22"/>
  <c r="D155" i="30"/>
  <c r="E371" i="22"/>
  <c r="H154" i="30"/>
  <c r="I370" i="22"/>
  <c r="D154" i="30"/>
  <c r="H153" i="30"/>
  <c r="I369" i="22"/>
  <c r="D153" i="30"/>
  <c r="E369" i="22" s="1"/>
  <c r="H152" i="30"/>
  <c r="I368" i="22"/>
  <c r="D152" i="30"/>
  <c r="J155" i="30"/>
  <c r="K371" i="22"/>
  <c r="F155" i="30"/>
  <c r="J154" i="30"/>
  <c r="K370" i="22"/>
  <c r="F154" i="30"/>
  <c r="J153" i="30"/>
  <c r="F153" i="30"/>
  <c r="G369" i="22"/>
  <c r="J152" i="30"/>
  <c r="K368" i="22"/>
  <c r="F152" i="30"/>
  <c r="K152" i="30"/>
  <c r="L368" i="22"/>
  <c r="K154" i="30"/>
  <c r="I174" i="30"/>
  <c r="D180" i="30"/>
  <c r="E183" i="30"/>
  <c r="I182" i="30"/>
  <c r="D183" i="30"/>
  <c r="H111" i="30"/>
  <c r="E74" i="30"/>
  <c r="J74" i="30"/>
  <c r="K83" i="30"/>
  <c r="L311" i="22"/>
  <c r="H80" i="30"/>
  <c r="F108" i="30"/>
  <c r="E111" i="30"/>
  <c r="I111" i="30"/>
  <c r="F110" i="30"/>
  <c r="E152" i="30"/>
  <c r="F368" i="22"/>
  <c r="F369" i="22"/>
  <c r="E154" i="30"/>
  <c r="E172" i="30"/>
  <c r="H174" i="30"/>
  <c r="J183" i="30"/>
  <c r="J182" i="30"/>
  <c r="J180" i="30"/>
  <c r="G152" i="30"/>
  <c r="H368" i="22"/>
  <c r="E174" i="30"/>
  <c r="G180" i="30"/>
  <c r="G108" i="30"/>
  <c r="K180" i="30"/>
  <c r="K108" i="30"/>
  <c r="K74" i="30"/>
  <c r="D75" i="30"/>
  <c r="H75" i="30"/>
  <c r="E82" i="30"/>
  <c r="F310" i="22"/>
  <c r="J108" i="30"/>
  <c r="G111" i="30"/>
  <c r="K111" i="30"/>
  <c r="J110" i="30"/>
  <c r="I153" i="30"/>
  <c r="J369" i="22"/>
  <c r="I154" i="30"/>
  <c r="J370" i="22"/>
  <c r="I172" i="30"/>
  <c r="I175" i="30"/>
  <c r="H183" i="30"/>
  <c r="H182" i="30"/>
  <c r="H180" i="30"/>
  <c r="H74" i="30"/>
  <c r="G80" i="30"/>
  <c r="H308" i="22"/>
  <c r="K80" i="30"/>
  <c r="L308" i="22"/>
  <c r="K81" i="30"/>
  <c r="L309" i="22"/>
  <c r="G82" i="30"/>
  <c r="H310" i="22"/>
  <c r="K82" i="30"/>
  <c r="L310" i="22"/>
  <c r="G83" i="30"/>
  <c r="H311" i="22"/>
  <c r="G110" i="30"/>
  <c r="E180" i="30"/>
  <c r="G183" i="30"/>
  <c r="K183" i="30"/>
  <c r="E182" i="30"/>
  <c r="E110" i="30"/>
  <c r="G182" i="30"/>
  <c r="L72" i="22"/>
  <c r="L73" i="22"/>
  <c r="L85" i="22"/>
  <c r="L88" i="22"/>
  <c r="I152" i="30"/>
  <c r="J368" i="22"/>
  <c r="I74" i="30"/>
  <c r="F75" i="30"/>
  <c r="F183" i="30"/>
  <c r="K182" i="30"/>
  <c r="K110" i="30"/>
  <c r="I155" i="30"/>
  <c r="E155" i="30"/>
  <c r="F371" i="22"/>
  <c r="K155" i="30"/>
  <c r="L371" i="22"/>
  <c r="D110" i="30"/>
  <c r="K45" i="30"/>
  <c r="L279" i="22"/>
  <c r="I45" i="30"/>
  <c r="I47" i="30"/>
  <c r="K279" i="22"/>
  <c r="J47" i="30"/>
  <c r="H45" i="30"/>
  <c r="H47" i="30"/>
  <c r="G45" i="30"/>
  <c r="I110" i="30"/>
  <c r="G81" i="30"/>
  <c r="H309" i="22"/>
  <c r="D74" i="30"/>
  <c r="K153" i="30"/>
  <c r="I44" i="30"/>
  <c r="I46" i="30"/>
  <c r="J44" i="30"/>
  <c r="J46" i="30"/>
  <c r="H44" i="30"/>
  <c r="H46" i="30"/>
  <c r="G74" i="30"/>
  <c r="E227" i="21"/>
  <c r="F227" i="21"/>
  <c r="G227" i="21"/>
  <c r="H227" i="21"/>
  <c r="I227" i="21"/>
  <c r="J227" i="21"/>
  <c r="K227" i="21"/>
  <c r="L227" i="21"/>
  <c r="M227" i="21"/>
  <c r="N227" i="21"/>
  <c r="O227" i="21"/>
  <c r="P227" i="21"/>
  <c r="X10" i="32"/>
  <c r="X9" i="32"/>
  <c r="E130" i="21"/>
  <c r="D130" i="21"/>
  <c r="E54" i="27"/>
  <c r="H14" i="31"/>
  <c r="I14" i="31"/>
  <c r="J14" i="31"/>
  <c r="J74" i="31"/>
  <c r="K14" i="31"/>
  <c r="G132" i="27"/>
  <c r="H554" i="22" s="1"/>
  <c r="I132" i="27"/>
  <c r="J554" i="22" s="1"/>
  <c r="I103" i="27"/>
  <c r="J524" i="22" s="1"/>
  <c r="D142" i="21"/>
  <c r="Z41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J105" i="17"/>
  <c r="K105" i="17"/>
  <c r="E22" i="27"/>
  <c r="E49" i="27" s="1"/>
  <c r="G22" i="27"/>
  <c r="I22" i="27"/>
  <c r="I49" i="27" s="1"/>
  <c r="K22" i="27"/>
  <c r="K70" i="27"/>
  <c r="K71" i="27"/>
  <c r="K72" i="27"/>
  <c r="K73" i="27"/>
  <c r="K74" i="27"/>
  <c r="K76" i="27"/>
  <c r="K128" i="27" s="1"/>
  <c r="L550" i="22" s="1"/>
  <c r="K77" i="27"/>
  <c r="K78" i="27"/>
  <c r="L562" i="22" s="1"/>
  <c r="K80" i="27"/>
  <c r="J80" i="27"/>
  <c r="I80" i="27"/>
  <c r="H80" i="27"/>
  <c r="G80" i="27"/>
  <c r="F80" i="27"/>
  <c r="E80" i="27"/>
  <c r="D80" i="27"/>
  <c r="K79" i="27"/>
  <c r="J79" i="27"/>
  <c r="I79" i="27"/>
  <c r="H79" i="27"/>
  <c r="G79" i="27"/>
  <c r="F79" i="27"/>
  <c r="E79" i="27"/>
  <c r="D79" i="27"/>
  <c r="J78" i="27"/>
  <c r="I78" i="27"/>
  <c r="H78" i="27"/>
  <c r="I562" i="22" s="1"/>
  <c r="G78" i="27"/>
  <c r="H562" i="22" s="1"/>
  <c r="F78" i="27"/>
  <c r="E78" i="27"/>
  <c r="F562" i="22" s="1"/>
  <c r="D78" i="27"/>
  <c r="E562" i="22" s="1"/>
  <c r="J77" i="27"/>
  <c r="I77" i="27"/>
  <c r="H77" i="27"/>
  <c r="G77" i="27"/>
  <c r="F77" i="27"/>
  <c r="E77" i="27"/>
  <c r="D77" i="27"/>
  <c r="J76" i="27"/>
  <c r="J128" i="27" s="1"/>
  <c r="K550" i="22" s="1"/>
  <c r="I76" i="27"/>
  <c r="I128" i="27" s="1"/>
  <c r="J550" i="22"/>
  <c r="H76" i="27"/>
  <c r="H128" i="27" s="1"/>
  <c r="I550" i="22" s="1"/>
  <c r="G76" i="27"/>
  <c r="F76" i="27"/>
  <c r="F128" i="27"/>
  <c r="G550" i="22" s="1"/>
  <c r="E76" i="27"/>
  <c r="F561" i="22" s="1"/>
  <c r="D76" i="27"/>
  <c r="D128" i="27" s="1"/>
  <c r="E550" i="22" s="1"/>
  <c r="J70" i="27"/>
  <c r="J71" i="27"/>
  <c r="J72" i="27"/>
  <c r="J73" i="27"/>
  <c r="J74" i="27"/>
  <c r="I70" i="27"/>
  <c r="I71" i="27"/>
  <c r="I72" i="27"/>
  <c r="I73" i="27"/>
  <c r="I74" i="27"/>
  <c r="H70" i="27"/>
  <c r="H71" i="27"/>
  <c r="H72" i="27"/>
  <c r="H73" i="27"/>
  <c r="H74" i="27"/>
  <c r="G70" i="27"/>
  <c r="G71" i="27"/>
  <c r="G72" i="27"/>
  <c r="G73" i="27"/>
  <c r="G74" i="27"/>
  <c r="F70" i="27"/>
  <c r="F71" i="27"/>
  <c r="F72" i="27"/>
  <c r="F73" i="27"/>
  <c r="F74" i="27"/>
  <c r="E70" i="27"/>
  <c r="E71" i="27"/>
  <c r="E72" i="27"/>
  <c r="E73" i="27"/>
  <c r="E74" i="27"/>
  <c r="D75" i="27"/>
  <c r="D59" i="27"/>
  <c r="D70" i="27"/>
  <c r="D71" i="27"/>
  <c r="D72" i="27"/>
  <c r="D73" i="27"/>
  <c r="D74" i="27"/>
  <c r="I127" i="27"/>
  <c r="G127" i="27"/>
  <c r="H549" i="22" s="1"/>
  <c r="F33" i="27"/>
  <c r="F105" i="27" s="1"/>
  <c r="F106" i="27" s="1"/>
  <c r="G33" i="27"/>
  <c r="H33" i="27"/>
  <c r="I33" i="27"/>
  <c r="I105" i="27" s="1"/>
  <c r="J33" i="27"/>
  <c r="J105" i="27" s="1"/>
  <c r="K33" i="27"/>
  <c r="K105" i="27" s="1"/>
  <c r="K106" i="27" s="1"/>
  <c r="L527" i="22" s="1"/>
  <c r="E98" i="27"/>
  <c r="F519" i="22" s="1"/>
  <c r="F50" i="27"/>
  <c r="F99" i="27" s="1"/>
  <c r="G520" i="22" s="1"/>
  <c r="F52" i="27"/>
  <c r="G532" i="22" s="1"/>
  <c r="G50" i="27"/>
  <c r="G99" i="27" s="1"/>
  <c r="H520" i="22" s="1"/>
  <c r="G52" i="27"/>
  <c r="H532" i="22" s="1"/>
  <c r="H50" i="27"/>
  <c r="H99" i="27" s="1"/>
  <c r="I520" i="22" s="1"/>
  <c r="H52" i="27"/>
  <c r="I532" i="22" s="1"/>
  <c r="I50" i="27"/>
  <c r="I99" i="27" s="1"/>
  <c r="J520" i="22" s="1"/>
  <c r="I52" i="27"/>
  <c r="J532" i="22" s="1"/>
  <c r="J50" i="27"/>
  <c r="J99" i="27" s="1"/>
  <c r="K520" i="22" s="1"/>
  <c r="J52" i="27"/>
  <c r="K532" i="22" s="1"/>
  <c r="K50" i="27"/>
  <c r="K99" i="27" s="1"/>
  <c r="L520" i="22" s="1"/>
  <c r="K52" i="27"/>
  <c r="L532" i="22" s="1"/>
  <c r="E53" i="27"/>
  <c r="F53" i="27"/>
  <c r="G53" i="27"/>
  <c r="H53" i="27"/>
  <c r="I53" i="27"/>
  <c r="J53" i="27"/>
  <c r="K53" i="27"/>
  <c r="F54" i="27"/>
  <c r="G54" i="27"/>
  <c r="H54" i="27"/>
  <c r="I54" i="27"/>
  <c r="J54" i="27"/>
  <c r="K54" i="27"/>
  <c r="D53" i="27"/>
  <c r="D54" i="27"/>
  <c r="Y18" i="27"/>
  <c r="Y19" i="27"/>
  <c r="Y20" i="27"/>
  <c r="Y21" i="27"/>
  <c r="Y13" i="27"/>
  <c r="Y11" i="27"/>
  <c r="Y8" i="27"/>
  <c r="D38" i="31"/>
  <c r="E433" i="22"/>
  <c r="E38" i="31"/>
  <c r="F433" i="22"/>
  <c r="F38" i="31"/>
  <c r="G38" i="31"/>
  <c r="H433" i="22"/>
  <c r="H38" i="31"/>
  <c r="I433" i="22"/>
  <c r="I38" i="31"/>
  <c r="J433" i="22"/>
  <c r="J38" i="31"/>
  <c r="K433" i="22"/>
  <c r="K38" i="31"/>
  <c r="L433" i="22"/>
  <c r="D39" i="31"/>
  <c r="E434" i="22"/>
  <c r="E39" i="31"/>
  <c r="F434" i="22"/>
  <c r="F39" i="31"/>
  <c r="G434" i="22"/>
  <c r="G39" i="31"/>
  <c r="H434" i="22"/>
  <c r="H39" i="31"/>
  <c r="I434" i="22"/>
  <c r="I39" i="31"/>
  <c r="J434" i="22"/>
  <c r="J39" i="31"/>
  <c r="K434" i="22"/>
  <c r="K39" i="31"/>
  <c r="L434" i="22"/>
  <c r="D40" i="31"/>
  <c r="E40" i="31"/>
  <c r="F435" i="22"/>
  <c r="F40" i="31"/>
  <c r="G435" i="22"/>
  <c r="G40" i="31"/>
  <c r="H435" i="22"/>
  <c r="H40" i="31"/>
  <c r="I435" i="22"/>
  <c r="I40" i="31"/>
  <c r="J435" i="22"/>
  <c r="J40" i="31"/>
  <c r="K435" i="22"/>
  <c r="K40" i="31"/>
  <c r="L435" i="22"/>
  <c r="D68" i="31"/>
  <c r="E462" i="22"/>
  <c r="E68" i="31"/>
  <c r="F68" i="31"/>
  <c r="G68" i="31"/>
  <c r="H68" i="31"/>
  <c r="I68" i="31"/>
  <c r="J68" i="31"/>
  <c r="K68" i="31"/>
  <c r="D69" i="31"/>
  <c r="E463" i="22"/>
  <c r="E69" i="31"/>
  <c r="F463" i="22"/>
  <c r="F69" i="31"/>
  <c r="G463" i="22"/>
  <c r="G69" i="31"/>
  <c r="H463" i="22"/>
  <c r="H69" i="31"/>
  <c r="I463" i="22"/>
  <c r="I69" i="31"/>
  <c r="J463" i="22"/>
  <c r="J69" i="31"/>
  <c r="K463" i="22"/>
  <c r="K69" i="31"/>
  <c r="L463" i="22"/>
  <c r="D70" i="31"/>
  <c r="E70" i="31"/>
  <c r="F464" i="22"/>
  <c r="F70" i="31"/>
  <c r="G464" i="22"/>
  <c r="G70" i="31"/>
  <c r="H464" i="22"/>
  <c r="H70" i="31"/>
  <c r="I464" i="22"/>
  <c r="I70" i="31"/>
  <c r="J464" i="22"/>
  <c r="J70" i="31"/>
  <c r="K464" i="22"/>
  <c r="K70" i="31"/>
  <c r="L464" i="22"/>
  <c r="D67" i="31"/>
  <c r="E461" i="22"/>
  <c r="F462" i="22"/>
  <c r="G462" i="22"/>
  <c r="H462" i="22"/>
  <c r="I462" i="22"/>
  <c r="J462" i="22"/>
  <c r="K462" i="22"/>
  <c r="L462" i="22"/>
  <c r="F465" i="22"/>
  <c r="G465" i="22"/>
  <c r="H465" i="22"/>
  <c r="I465" i="22"/>
  <c r="J465" i="22"/>
  <c r="K465" i="22"/>
  <c r="L465" i="22"/>
  <c r="E464" i="22"/>
  <c r="E465" i="22"/>
  <c r="G433" i="22"/>
  <c r="F436" i="22"/>
  <c r="G436" i="22"/>
  <c r="H436" i="22"/>
  <c r="I436" i="22"/>
  <c r="J436" i="22"/>
  <c r="K436" i="22"/>
  <c r="L436" i="22"/>
  <c r="F437" i="22"/>
  <c r="G437" i="22"/>
  <c r="H437" i="22"/>
  <c r="I437" i="22"/>
  <c r="J437" i="22"/>
  <c r="K437" i="22"/>
  <c r="L437" i="22"/>
  <c r="E435" i="22"/>
  <c r="E436" i="22"/>
  <c r="E437" i="22"/>
  <c r="E432" i="22"/>
  <c r="D43" i="31"/>
  <c r="D139" i="21"/>
  <c r="Z37" i="21"/>
  <c r="D140" i="21"/>
  <c r="Z38" i="21"/>
  <c r="D141" i="21"/>
  <c r="Z39" i="21"/>
  <c r="D143" i="21"/>
  <c r="Z42" i="21"/>
  <c r="D144" i="21"/>
  <c r="Z44" i="21"/>
  <c r="D145" i="21"/>
  <c r="Z43" i="21"/>
  <c r="D146" i="21"/>
  <c r="Z40" i="21"/>
  <c r="D147" i="21"/>
  <c r="Z45" i="21"/>
  <c r="D148" i="21"/>
  <c r="D149" i="21"/>
  <c r="D150" i="21"/>
  <c r="D151" i="21"/>
  <c r="D152" i="21"/>
  <c r="D153" i="21"/>
  <c r="D155" i="21"/>
  <c r="D156" i="21"/>
  <c r="D157" i="21"/>
  <c r="Z36" i="21"/>
  <c r="V92" i="31"/>
  <c r="K92" i="31"/>
  <c r="K32" i="31"/>
  <c r="U92" i="31"/>
  <c r="J92" i="31"/>
  <c r="T92" i="31"/>
  <c r="S92" i="31"/>
  <c r="R92" i="31"/>
  <c r="Q92" i="31"/>
  <c r="F92" i="31"/>
  <c r="P92" i="31"/>
  <c r="O92" i="31"/>
  <c r="D92" i="31"/>
  <c r="K85" i="31"/>
  <c r="J85" i="31"/>
  <c r="I85" i="31"/>
  <c r="H85" i="31"/>
  <c r="G85" i="31"/>
  <c r="F85" i="31"/>
  <c r="E85" i="31"/>
  <c r="D85" i="31"/>
  <c r="K84" i="31"/>
  <c r="J84" i="31"/>
  <c r="I84" i="31"/>
  <c r="H84" i="31"/>
  <c r="G84" i="31"/>
  <c r="F84" i="31"/>
  <c r="E84" i="31"/>
  <c r="D84" i="31"/>
  <c r="K83" i="31"/>
  <c r="J83" i="31"/>
  <c r="I83" i="31"/>
  <c r="H83" i="31"/>
  <c r="G83" i="31"/>
  <c r="F83" i="31"/>
  <c r="E83" i="31"/>
  <c r="D83" i="31"/>
  <c r="K82" i="31"/>
  <c r="J82" i="31"/>
  <c r="I82" i="31"/>
  <c r="H82" i="31"/>
  <c r="G82" i="31"/>
  <c r="F82" i="31"/>
  <c r="E82" i="31"/>
  <c r="D82" i="31"/>
  <c r="K81" i="31"/>
  <c r="J81" i="31"/>
  <c r="I81" i="31"/>
  <c r="H81" i="31"/>
  <c r="G81" i="31"/>
  <c r="F81" i="31"/>
  <c r="E81" i="31"/>
  <c r="D81" i="31"/>
  <c r="K80" i="31"/>
  <c r="J80" i="31"/>
  <c r="I80" i="31"/>
  <c r="H80" i="31"/>
  <c r="G80" i="31"/>
  <c r="F80" i="31"/>
  <c r="E80" i="31"/>
  <c r="D80" i="31"/>
  <c r="K79" i="31"/>
  <c r="J79" i="31"/>
  <c r="I79" i="31"/>
  <c r="H79" i="31"/>
  <c r="G79" i="31"/>
  <c r="F79" i="31"/>
  <c r="E79" i="31"/>
  <c r="D79" i="31"/>
  <c r="K78" i="31"/>
  <c r="J78" i="31"/>
  <c r="I78" i="31"/>
  <c r="H78" i="31"/>
  <c r="G78" i="31"/>
  <c r="F78" i="31"/>
  <c r="E78" i="31"/>
  <c r="D78" i="31"/>
  <c r="K77" i="31"/>
  <c r="J77" i="31"/>
  <c r="I77" i="31"/>
  <c r="H77" i="31"/>
  <c r="G77" i="31"/>
  <c r="F77" i="31"/>
  <c r="E77" i="31"/>
  <c r="D77" i="31"/>
  <c r="K76" i="31"/>
  <c r="J76" i="31"/>
  <c r="I76" i="31"/>
  <c r="H76" i="31"/>
  <c r="G76" i="31"/>
  <c r="F76" i="31"/>
  <c r="E76" i="31"/>
  <c r="D76" i="31"/>
  <c r="K75" i="31"/>
  <c r="J75" i="31"/>
  <c r="I75" i="31"/>
  <c r="H75" i="31"/>
  <c r="G75" i="31"/>
  <c r="F75" i="31"/>
  <c r="E75" i="31"/>
  <c r="D75" i="31"/>
  <c r="V74" i="31"/>
  <c r="U74" i="31"/>
  <c r="T74" i="31"/>
  <c r="S74" i="31"/>
  <c r="R74" i="31"/>
  <c r="Q74" i="31"/>
  <c r="P74" i="31"/>
  <c r="E74" i="31"/>
  <c r="O74" i="31"/>
  <c r="D74" i="31"/>
  <c r="J32" i="31"/>
  <c r="K73" i="31"/>
  <c r="J73" i="31"/>
  <c r="I73" i="31"/>
  <c r="H73" i="31"/>
  <c r="G73" i="31"/>
  <c r="F73" i="31"/>
  <c r="E73" i="31"/>
  <c r="D73" i="31"/>
  <c r="K67" i="31"/>
  <c r="L461" i="22"/>
  <c r="J67" i="31"/>
  <c r="K461" i="22"/>
  <c r="I67" i="31"/>
  <c r="J461" i="22"/>
  <c r="H67" i="31"/>
  <c r="I461" i="22"/>
  <c r="G67" i="31"/>
  <c r="H461" i="22"/>
  <c r="F67" i="31"/>
  <c r="G461" i="22"/>
  <c r="E67" i="31"/>
  <c r="F461" i="22"/>
  <c r="V62" i="31"/>
  <c r="U62" i="31"/>
  <c r="J62" i="31"/>
  <c r="T62" i="31"/>
  <c r="I32" i="31"/>
  <c r="S62" i="31"/>
  <c r="R62" i="31"/>
  <c r="G62" i="31"/>
  <c r="Q62" i="31"/>
  <c r="P62" i="31"/>
  <c r="E32" i="31"/>
  <c r="O62" i="31"/>
  <c r="D62" i="31"/>
  <c r="K61" i="31"/>
  <c r="J61" i="31"/>
  <c r="I61" i="31"/>
  <c r="H61" i="31"/>
  <c r="G61" i="31"/>
  <c r="F61" i="31"/>
  <c r="E61" i="31"/>
  <c r="D61" i="31"/>
  <c r="K59" i="31"/>
  <c r="J59" i="31"/>
  <c r="I59" i="31"/>
  <c r="H59" i="31"/>
  <c r="G59" i="31"/>
  <c r="F59" i="31"/>
  <c r="E59" i="31"/>
  <c r="D59" i="31"/>
  <c r="K58" i="31"/>
  <c r="J58" i="31"/>
  <c r="I58" i="31"/>
  <c r="H58" i="31"/>
  <c r="G58" i="31"/>
  <c r="F58" i="31"/>
  <c r="E58" i="31"/>
  <c r="D58" i="31"/>
  <c r="K57" i="31"/>
  <c r="J57" i="31"/>
  <c r="I57" i="31"/>
  <c r="H57" i="31"/>
  <c r="G57" i="31"/>
  <c r="F57" i="31"/>
  <c r="E57" i="31"/>
  <c r="D57" i="31"/>
  <c r="K56" i="31"/>
  <c r="J56" i="31"/>
  <c r="I56" i="31"/>
  <c r="H56" i="31"/>
  <c r="G56" i="31"/>
  <c r="F56" i="31"/>
  <c r="E56" i="31"/>
  <c r="D56" i="31"/>
  <c r="K54" i="31"/>
  <c r="J54" i="31"/>
  <c r="I54" i="31"/>
  <c r="H54" i="31"/>
  <c r="G54" i="31"/>
  <c r="F54" i="31"/>
  <c r="E54" i="31"/>
  <c r="D54" i="31"/>
  <c r="K53" i="31"/>
  <c r="J53" i="31"/>
  <c r="I53" i="31"/>
  <c r="H53" i="31"/>
  <c r="G53" i="31"/>
  <c r="F53" i="31"/>
  <c r="E53" i="31"/>
  <c r="D53" i="31"/>
  <c r="K52" i="31"/>
  <c r="J52" i="31"/>
  <c r="I52" i="31"/>
  <c r="H52" i="31"/>
  <c r="G52" i="31"/>
  <c r="F52" i="31"/>
  <c r="E52" i="31"/>
  <c r="D52" i="31"/>
  <c r="K51" i="31"/>
  <c r="J51" i="31"/>
  <c r="I51" i="31"/>
  <c r="H51" i="31"/>
  <c r="G51" i="31"/>
  <c r="F51" i="31"/>
  <c r="E51" i="31"/>
  <c r="D51" i="31"/>
  <c r="K50" i="31"/>
  <c r="J50" i="31"/>
  <c r="I50" i="31"/>
  <c r="H50" i="31"/>
  <c r="G50" i="31"/>
  <c r="F50" i="31"/>
  <c r="E50" i="31"/>
  <c r="D50" i="31"/>
  <c r="K49" i="31"/>
  <c r="J49" i="31"/>
  <c r="I49" i="31"/>
  <c r="H49" i="31"/>
  <c r="G49" i="31"/>
  <c r="F49" i="31"/>
  <c r="E49" i="31"/>
  <c r="D49" i="31"/>
  <c r="K48" i="31"/>
  <c r="J48" i="31"/>
  <c r="I48" i="31"/>
  <c r="H48" i="31"/>
  <c r="G48" i="31"/>
  <c r="F48" i="31"/>
  <c r="E48" i="31"/>
  <c r="D48" i="31"/>
  <c r="K47" i="31"/>
  <c r="J47" i="31"/>
  <c r="I47" i="31"/>
  <c r="H47" i="31"/>
  <c r="G47" i="31"/>
  <c r="F47" i="31"/>
  <c r="E47" i="31"/>
  <c r="D47" i="31"/>
  <c r="K46" i="31"/>
  <c r="J46" i="31"/>
  <c r="I46" i="31"/>
  <c r="H46" i="31"/>
  <c r="G46" i="31"/>
  <c r="F46" i="31"/>
  <c r="E46" i="31"/>
  <c r="D46" i="31"/>
  <c r="K45" i="31"/>
  <c r="J45" i="31"/>
  <c r="I45" i="31"/>
  <c r="H45" i="31"/>
  <c r="G45" i="31"/>
  <c r="F45" i="31"/>
  <c r="E45" i="31"/>
  <c r="D45" i="31"/>
  <c r="V44" i="31"/>
  <c r="U44" i="31"/>
  <c r="T44" i="31"/>
  <c r="S44" i="31"/>
  <c r="H44" i="31"/>
  <c r="R44" i="31"/>
  <c r="Q44" i="31"/>
  <c r="F32" i="31"/>
  <c r="F62" i="31"/>
  <c r="P44" i="31"/>
  <c r="E44" i="31"/>
  <c r="O44" i="31"/>
  <c r="D44" i="31"/>
  <c r="K43" i="31"/>
  <c r="J43" i="31"/>
  <c r="I43" i="31"/>
  <c r="H43" i="31"/>
  <c r="G43" i="31"/>
  <c r="F43" i="31"/>
  <c r="E43" i="31"/>
  <c r="K37" i="31"/>
  <c r="L432" i="22"/>
  <c r="J37" i="31"/>
  <c r="K432" i="22"/>
  <c r="I37" i="31"/>
  <c r="J432" i="22"/>
  <c r="H37" i="31"/>
  <c r="I432" i="22"/>
  <c r="G37" i="31"/>
  <c r="H432" i="22"/>
  <c r="F37" i="31"/>
  <c r="G432" i="22"/>
  <c r="E37" i="31"/>
  <c r="F432" i="22"/>
  <c r="H32" i="31"/>
  <c r="H62" i="31"/>
  <c r="G32" i="31"/>
  <c r="V29" i="31"/>
  <c r="V28" i="31"/>
  <c r="V27" i="31"/>
  <c r="V26" i="31"/>
  <c r="V24" i="31"/>
  <c r="V23" i="31"/>
  <c r="V22" i="31"/>
  <c r="V21" i="31"/>
  <c r="V20" i="31"/>
  <c r="V19" i="31"/>
  <c r="V18" i="31"/>
  <c r="V17" i="31"/>
  <c r="V16" i="31"/>
  <c r="V15" i="31"/>
  <c r="V13" i="31"/>
  <c r="I44" i="31"/>
  <c r="E217" i="22"/>
  <c r="F217" i="22"/>
  <c r="G217" i="22"/>
  <c r="H217" i="22"/>
  <c r="I217" i="22"/>
  <c r="J217" i="22"/>
  <c r="K217" i="22"/>
  <c r="L217" i="22"/>
  <c r="E218" i="22"/>
  <c r="F218" i="22"/>
  <c r="G218" i="22"/>
  <c r="H218" i="22"/>
  <c r="I218" i="22"/>
  <c r="J218" i="22"/>
  <c r="K218" i="22"/>
  <c r="L218" i="22"/>
  <c r="F188" i="22"/>
  <c r="G188" i="22"/>
  <c r="H188" i="22"/>
  <c r="I188" i="22"/>
  <c r="J188" i="22"/>
  <c r="K188" i="22"/>
  <c r="L188" i="22"/>
  <c r="F189" i="22"/>
  <c r="G189" i="22"/>
  <c r="H189" i="22"/>
  <c r="I189" i="22"/>
  <c r="J189" i="22"/>
  <c r="K189" i="22"/>
  <c r="L189" i="22"/>
  <c r="E188" i="22"/>
  <c r="E189" i="22"/>
  <c r="E73" i="22"/>
  <c r="F73" i="22"/>
  <c r="G73" i="22"/>
  <c r="H73" i="22"/>
  <c r="I73" i="22"/>
  <c r="J73" i="22"/>
  <c r="K73" i="22"/>
  <c r="J201" i="34"/>
  <c r="K182" i="22" s="1"/>
  <c r="I201" i="34"/>
  <c r="J182" i="22" s="1"/>
  <c r="D201" i="34"/>
  <c r="E182" i="22" s="1"/>
  <c r="K72" i="34"/>
  <c r="K203" i="34"/>
  <c r="L184" i="22"/>
  <c r="D66" i="34"/>
  <c r="E66" i="34"/>
  <c r="F66" i="34"/>
  <c r="G66" i="34"/>
  <c r="H66" i="34"/>
  <c r="H67" i="34"/>
  <c r="H68" i="34"/>
  <c r="H204" i="34"/>
  <c r="I185" i="22"/>
  <c r="I66" i="34"/>
  <c r="I67" i="34"/>
  <c r="I68" i="34"/>
  <c r="I204" i="34"/>
  <c r="J185" i="22"/>
  <c r="J66" i="34"/>
  <c r="K66" i="34"/>
  <c r="K67" i="34"/>
  <c r="K68" i="34"/>
  <c r="K204" i="34"/>
  <c r="L185" i="22"/>
  <c r="D67" i="34"/>
  <c r="E67" i="34"/>
  <c r="F67" i="34"/>
  <c r="G67" i="34"/>
  <c r="J67" i="34"/>
  <c r="D68" i="34"/>
  <c r="E68" i="34"/>
  <c r="F68" i="34"/>
  <c r="G68" i="34"/>
  <c r="J68" i="34"/>
  <c r="D69" i="34"/>
  <c r="E69" i="34"/>
  <c r="F69" i="34"/>
  <c r="G69" i="34"/>
  <c r="H69" i="34"/>
  <c r="I69" i="34"/>
  <c r="I70" i="34"/>
  <c r="I71" i="34"/>
  <c r="I205" i="34"/>
  <c r="J186" i="22"/>
  <c r="J69" i="34"/>
  <c r="K69" i="34"/>
  <c r="K70" i="34"/>
  <c r="K71" i="34"/>
  <c r="K205" i="34"/>
  <c r="L186" i="22"/>
  <c r="D70" i="34"/>
  <c r="E70" i="34"/>
  <c r="F70" i="34"/>
  <c r="G70" i="34"/>
  <c r="H70" i="34"/>
  <c r="J70" i="34"/>
  <c r="D71" i="34"/>
  <c r="E71" i="34"/>
  <c r="F71" i="34"/>
  <c r="G71" i="34"/>
  <c r="H71" i="34"/>
  <c r="J71" i="34"/>
  <c r="D203" i="34"/>
  <c r="E184" i="22"/>
  <c r="E72" i="34"/>
  <c r="E203" i="34"/>
  <c r="F184" i="22"/>
  <c r="F72" i="34"/>
  <c r="F203" i="34"/>
  <c r="G184" i="22"/>
  <c r="G72" i="34"/>
  <c r="G203" i="34"/>
  <c r="H184" i="22"/>
  <c r="H72" i="34"/>
  <c r="H203" i="34"/>
  <c r="I184" i="22"/>
  <c r="I72" i="34"/>
  <c r="I203" i="34"/>
  <c r="J184" i="22"/>
  <c r="J72" i="34"/>
  <c r="J203" i="34"/>
  <c r="K184" i="22"/>
  <c r="D73" i="34"/>
  <c r="D209" i="34"/>
  <c r="E190" i="22"/>
  <c r="E73" i="34"/>
  <c r="E209" i="34"/>
  <c r="F190" i="22"/>
  <c r="F73" i="34"/>
  <c r="F209" i="34"/>
  <c r="G190" i="22"/>
  <c r="G73" i="34"/>
  <c r="G209" i="34"/>
  <c r="H190" i="22"/>
  <c r="H73" i="34"/>
  <c r="H209" i="34"/>
  <c r="I190" i="22"/>
  <c r="I73" i="34"/>
  <c r="I209" i="34"/>
  <c r="J190" i="22"/>
  <c r="J73" i="34"/>
  <c r="J209" i="34"/>
  <c r="K190" i="22"/>
  <c r="K73" i="34"/>
  <c r="K209" i="34"/>
  <c r="L190" i="22"/>
  <c r="E65" i="34"/>
  <c r="F65" i="34"/>
  <c r="G65" i="34"/>
  <c r="H65" i="34"/>
  <c r="I65" i="34"/>
  <c r="J65" i="34"/>
  <c r="K65" i="34"/>
  <c r="D65" i="34"/>
  <c r="AD45" i="34"/>
  <c r="AD48" i="34"/>
  <c r="AD52" i="34"/>
  <c r="AA41" i="34"/>
  <c r="AA42" i="34"/>
  <c r="AD42" i="34"/>
  <c r="AA43" i="34"/>
  <c r="AA40" i="34"/>
  <c r="AD40" i="34"/>
  <c r="G206" i="34"/>
  <c r="H187" i="22"/>
  <c r="AD56" i="34"/>
  <c r="AD41" i="34"/>
  <c r="AD36" i="34"/>
  <c r="AD32" i="34"/>
  <c r="AD28" i="34"/>
  <c r="AD27" i="34"/>
  <c r="AD22" i="34"/>
  <c r="AD20" i="34"/>
  <c r="AD19" i="34"/>
  <c r="AD18" i="34"/>
  <c r="AD17" i="34"/>
  <c r="E211" i="22"/>
  <c r="F211" i="22"/>
  <c r="G211" i="22"/>
  <c r="J211" i="22"/>
  <c r="I225" i="34"/>
  <c r="J208" i="22" s="1"/>
  <c r="E126" i="34"/>
  <c r="F126" i="34"/>
  <c r="F127" i="34"/>
  <c r="F128" i="34"/>
  <c r="F129" i="34"/>
  <c r="F231" i="34"/>
  <c r="G214" i="22" s="1"/>
  <c r="G126" i="34"/>
  <c r="H126" i="34"/>
  <c r="I126" i="34"/>
  <c r="J126" i="34"/>
  <c r="K126" i="34"/>
  <c r="E127" i="34"/>
  <c r="G127" i="34"/>
  <c r="H127" i="34"/>
  <c r="I127" i="34"/>
  <c r="J127" i="34"/>
  <c r="K127" i="34"/>
  <c r="E128" i="34"/>
  <c r="E231" i="34" s="1"/>
  <c r="F214" i="22" s="1"/>
  <c r="G128" i="34"/>
  <c r="H128" i="34"/>
  <c r="I128" i="34"/>
  <c r="J128" i="34"/>
  <c r="K128" i="34"/>
  <c r="E129" i="34"/>
  <c r="G129" i="34"/>
  <c r="H129" i="34"/>
  <c r="I129" i="34"/>
  <c r="J129" i="34"/>
  <c r="K129" i="34"/>
  <c r="E130" i="34"/>
  <c r="E233" i="34" s="1"/>
  <c r="F216" i="22" s="1"/>
  <c r="F130" i="34"/>
  <c r="F131" i="34"/>
  <c r="F132" i="34"/>
  <c r="F233" i="34" s="1"/>
  <c r="G216" i="22" s="1"/>
  <c r="G130" i="34"/>
  <c r="H130" i="34"/>
  <c r="I130" i="34"/>
  <c r="J130" i="34"/>
  <c r="J232" i="34" s="1"/>
  <c r="K215" i="22" s="1"/>
  <c r="K130" i="34"/>
  <c r="E131" i="34"/>
  <c r="G131" i="34"/>
  <c r="H131" i="34"/>
  <c r="I131" i="34"/>
  <c r="I233" i="34" s="1"/>
  <c r="J216" i="22" s="1"/>
  <c r="J131" i="34"/>
  <c r="K131" i="34"/>
  <c r="E132" i="34"/>
  <c r="G132" i="34"/>
  <c r="H132" i="34"/>
  <c r="I132" i="34"/>
  <c r="J132" i="34"/>
  <c r="K132" i="34"/>
  <c r="E133" i="34"/>
  <c r="E230" i="34" s="1"/>
  <c r="F213" i="22" s="1"/>
  <c r="F133" i="34"/>
  <c r="F230" i="34"/>
  <c r="G213" i="22" s="1"/>
  <c r="G133" i="34"/>
  <c r="G230" i="34" s="1"/>
  <c r="H213" i="22" s="1"/>
  <c r="H133" i="34"/>
  <c r="H230" i="34"/>
  <c r="I213" i="22" s="1"/>
  <c r="I133" i="34"/>
  <c r="I230" i="34" s="1"/>
  <c r="J213" i="22" s="1"/>
  <c r="J133" i="34"/>
  <c r="J230" i="34" s="1"/>
  <c r="K213" i="22" s="1"/>
  <c r="K133" i="34"/>
  <c r="K230" i="34"/>
  <c r="L213" i="22"/>
  <c r="E134" i="34"/>
  <c r="E236" i="34" s="1"/>
  <c r="F219" i="22" s="1"/>
  <c r="F134" i="34"/>
  <c r="F236" i="34" s="1"/>
  <c r="G219" i="22" s="1"/>
  <c r="G134" i="34"/>
  <c r="G236" i="34" s="1"/>
  <c r="H219" i="22" s="1"/>
  <c r="H134" i="34"/>
  <c r="H236" i="34" s="1"/>
  <c r="I219" i="22" s="1"/>
  <c r="I134" i="34"/>
  <c r="I236" i="34"/>
  <c r="J219" i="22" s="1"/>
  <c r="J134" i="34"/>
  <c r="J236" i="34" s="1"/>
  <c r="K219" i="22" s="1"/>
  <c r="K134" i="34"/>
  <c r="K236" i="34"/>
  <c r="L219" i="22" s="1"/>
  <c r="D127" i="34"/>
  <c r="D128" i="34"/>
  <c r="D129" i="34"/>
  <c r="D130" i="34"/>
  <c r="D131" i="34"/>
  <c r="D132" i="34"/>
  <c r="D133" i="34"/>
  <c r="D230" i="34" s="1"/>
  <c r="E213" i="22" s="1"/>
  <c r="D134" i="34"/>
  <c r="D236" i="34" s="1"/>
  <c r="E219" i="22" s="1"/>
  <c r="D126" i="34"/>
  <c r="F216" i="34"/>
  <c r="G199" i="22" s="1"/>
  <c r="F218" i="34"/>
  <c r="G201" i="22" s="1"/>
  <c r="F224" i="34"/>
  <c r="G207" i="22" s="1"/>
  <c r="F226" i="34"/>
  <c r="G209" i="22" s="1"/>
  <c r="F217" i="34"/>
  <c r="G200" i="22" s="1"/>
  <c r="F219" i="34"/>
  <c r="G202" i="22" s="1"/>
  <c r="F225" i="34"/>
  <c r="G208" i="22" s="1"/>
  <c r="K227" i="34"/>
  <c r="L210" i="22" s="1"/>
  <c r="I213" i="34"/>
  <c r="J194" i="22" s="1"/>
  <c r="I215" i="34"/>
  <c r="J198" i="22" s="1"/>
  <c r="I217" i="34"/>
  <c r="J200" i="22" s="1"/>
  <c r="I219" i="34"/>
  <c r="J202" i="22" s="1"/>
  <c r="I221" i="34"/>
  <c r="J204" i="22" s="1"/>
  <c r="I223" i="34"/>
  <c r="J206" i="22" s="1"/>
  <c r="I214" i="34"/>
  <c r="J195" i="22" s="1"/>
  <c r="I216" i="34"/>
  <c r="J199" i="22"/>
  <c r="I220" i="34"/>
  <c r="J203" i="22"/>
  <c r="I222" i="34"/>
  <c r="J205" i="22"/>
  <c r="I224" i="34"/>
  <c r="J207" i="22"/>
  <c r="G220" i="34"/>
  <c r="H203" i="22" s="1"/>
  <c r="E213" i="34"/>
  <c r="F194" i="22" s="1"/>
  <c r="E215" i="34"/>
  <c r="F198" i="22" s="1"/>
  <c r="E217" i="34"/>
  <c r="F200" i="22" s="1"/>
  <c r="E219" i="34"/>
  <c r="F202" i="22" s="1"/>
  <c r="E221" i="34"/>
  <c r="F204" i="22" s="1"/>
  <c r="E223" i="34"/>
  <c r="F206" i="22" s="1"/>
  <c r="E225" i="34"/>
  <c r="F208" i="22" s="1"/>
  <c r="E214" i="34"/>
  <c r="F195" i="22" s="1"/>
  <c r="E216" i="34"/>
  <c r="F199" i="22" s="1"/>
  <c r="E218" i="34"/>
  <c r="F201" i="22"/>
  <c r="E220" i="34"/>
  <c r="F203" i="22" s="1"/>
  <c r="E222" i="34"/>
  <c r="F205" i="22"/>
  <c r="E224" i="34"/>
  <c r="F207" i="22" s="1"/>
  <c r="D218" i="34"/>
  <c r="E201" i="22" s="1"/>
  <c r="D220" i="34"/>
  <c r="E203" i="22" s="1"/>
  <c r="D215" i="34"/>
  <c r="E198" i="22" s="1"/>
  <c r="D213" i="34"/>
  <c r="E194" i="22" s="1"/>
  <c r="F227" i="34"/>
  <c r="G210" i="22" s="1"/>
  <c r="D227" i="34"/>
  <c r="E210" i="22" s="1"/>
  <c r="D186" i="34"/>
  <c r="E165" i="22" s="1"/>
  <c r="E188" i="34"/>
  <c r="F169" i="22" s="1"/>
  <c r="J191" i="34"/>
  <c r="K172" i="22" s="1"/>
  <c r="J198" i="34"/>
  <c r="K179" i="22" s="1"/>
  <c r="J186" i="34"/>
  <c r="K165" i="22" s="1"/>
  <c r="J193" i="34"/>
  <c r="K174" i="22" s="1"/>
  <c r="H191" i="34"/>
  <c r="I172" i="22" s="1"/>
  <c r="H192" i="34"/>
  <c r="I173" i="22" s="1"/>
  <c r="H198" i="34"/>
  <c r="I179" i="22" s="1"/>
  <c r="H186" i="34"/>
  <c r="I165" i="22" s="1"/>
  <c r="H193" i="34"/>
  <c r="I174" i="22" s="1"/>
  <c r="H195" i="34"/>
  <c r="I176" i="22" s="1"/>
  <c r="F187" i="34"/>
  <c r="G167" i="22" s="1"/>
  <c r="F196" i="34"/>
  <c r="G177" i="22" s="1"/>
  <c r="F188" i="34"/>
  <c r="G169" i="22" s="1"/>
  <c r="F190" i="34"/>
  <c r="G171" i="22" s="1"/>
  <c r="F197" i="34"/>
  <c r="G178" i="22" s="1"/>
  <c r="D197" i="34"/>
  <c r="E178" i="22" s="1"/>
  <c r="D195" i="34"/>
  <c r="E176" i="22" s="1"/>
  <c r="D189" i="34"/>
  <c r="E170" i="22" s="1"/>
  <c r="D187" i="34"/>
  <c r="E166" i="22" s="1"/>
  <c r="D196" i="34"/>
  <c r="E177" i="22" s="1"/>
  <c r="D194" i="34"/>
  <c r="E175" i="22" s="1"/>
  <c r="J97" i="17"/>
  <c r="J98" i="17"/>
  <c r="J59" i="17"/>
  <c r="L97" i="17"/>
  <c r="L98" i="17"/>
  <c r="L59" i="17"/>
  <c r="M97" i="17"/>
  <c r="M98" i="17"/>
  <c r="M59" i="17"/>
  <c r="N97" i="17"/>
  <c r="N98" i="17"/>
  <c r="N59" i="17"/>
  <c r="O97" i="17"/>
  <c r="O98" i="17"/>
  <c r="O59" i="17"/>
  <c r="K97" i="17"/>
  <c r="K98" i="17"/>
  <c r="K59" i="17"/>
  <c r="C97" i="17"/>
  <c r="E28" i="17"/>
  <c r="O16" i="18"/>
  <c r="J79" i="17"/>
  <c r="J78" i="17"/>
  <c r="F6" i="17"/>
  <c r="F28" i="17"/>
  <c r="P16" i="18"/>
  <c r="G6" i="17"/>
  <c r="G28" i="17"/>
  <c r="Q16" i="18"/>
  <c r="H6" i="17"/>
  <c r="H28" i="17"/>
  <c r="R16" i="18"/>
  <c r="I6" i="17"/>
  <c r="I28" i="17"/>
  <c r="J6" i="17"/>
  <c r="J28" i="17"/>
  <c r="T16" i="18"/>
  <c r="K6" i="17"/>
  <c r="K28" i="17"/>
  <c r="U16" i="18"/>
  <c r="D6" i="17"/>
  <c r="D28" i="17"/>
  <c r="N16" i="18"/>
  <c r="E36" i="21"/>
  <c r="F36" i="21"/>
  <c r="G36" i="21"/>
  <c r="H36" i="21"/>
  <c r="I36" i="21"/>
  <c r="J36" i="21"/>
  <c r="K36" i="21"/>
  <c r="S16" i="18"/>
  <c r="E16" i="17"/>
  <c r="F16" i="17"/>
  <c r="G16" i="17"/>
  <c r="H16" i="17"/>
  <c r="I16" i="17"/>
  <c r="J16" i="17"/>
  <c r="K16" i="17"/>
  <c r="D16" i="17"/>
  <c r="I507" i="22"/>
  <c r="F507" i="22"/>
  <c r="G507" i="22"/>
  <c r="H507" i="22"/>
  <c r="J507" i="22"/>
  <c r="K507" i="22"/>
  <c r="L507" i="22"/>
  <c r="E507" i="22"/>
  <c r="E11" i="17"/>
  <c r="E60" i="21"/>
  <c r="F11" i="17"/>
  <c r="F60" i="21"/>
  <c r="G11" i="17"/>
  <c r="G60" i="21"/>
  <c r="H11" i="17"/>
  <c r="H60" i="21"/>
  <c r="I11" i="17"/>
  <c r="I60" i="21"/>
  <c r="J11" i="17"/>
  <c r="J60" i="21"/>
  <c r="K11" i="17"/>
  <c r="K60" i="21"/>
  <c r="D11" i="17"/>
  <c r="D60" i="21"/>
  <c r="H80" i="29"/>
  <c r="I87" i="22" s="1"/>
  <c r="I104" i="17"/>
  <c r="I105" i="17"/>
  <c r="H104" i="17"/>
  <c r="H105" i="17"/>
  <c r="E80" i="29"/>
  <c r="F87" i="22" s="1"/>
  <c r="K80" i="29"/>
  <c r="L87" i="22" s="1"/>
  <c r="K79" i="29"/>
  <c r="L86" i="22" s="1"/>
  <c r="E79" i="29"/>
  <c r="F86" i="22" s="1"/>
  <c r="F72" i="22"/>
  <c r="F80" i="29"/>
  <c r="G87" i="22" s="1"/>
  <c r="F79" i="29"/>
  <c r="G86" i="22" s="1"/>
  <c r="G72" i="22"/>
  <c r="G80" i="29"/>
  <c r="H87" i="22" s="1"/>
  <c r="G79" i="29"/>
  <c r="H86" i="22" s="1"/>
  <c r="H72" i="22"/>
  <c r="H79" i="29"/>
  <c r="I86" i="22" s="1"/>
  <c r="I72" i="22"/>
  <c r="I80" i="29"/>
  <c r="I79" i="29"/>
  <c r="J86" i="22" s="1"/>
  <c r="J72" i="22"/>
  <c r="J79" i="29"/>
  <c r="K86" i="22" s="1"/>
  <c r="K72" i="22"/>
  <c r="D80" i="29"/>
  <c r="E87" i="22" s="1"/>
  <c r="D79" i="29"/>
  <c r="E86" i="22" s="1"/>
  <c r="E72" i="22"/>
  <c r="M123" i="21"/>
  <c r="B12" i="21" s="1"/>
  <c r="F89" i="6"/>
  <c r="F238" i="6"/>
  <c r="G89" i="6"/>
  <c r="G238" i="6"/>
  <c r="H89" i="6"/>
  <c r="H238" i="6"/>
  <c r="I89" i="6"/>
  <c r="I238" i="6"/>
  <c r="J89" i="6"/>
  <c r="J238" i="6"/>
  <c r="K89" i="6"/>
  <c r="K238" i="6"/>
  <c r="L89" i="6"/>
  <c r="L238" i="6"/>
  <c r="M89" i="6"/>
  <c r="M238" i="6"/>
  <c r="N89" i="6"/>
  <c r="N238" i="6"/>
  <c r="O89" i="6"/>
  <c r="O238" i="6"/>
  <c r="P89" i="6"/>
  <c r="P238" i="6"/>
  <c r="Q89" i="6"/>
  <c r="Q238" i="6"/>
  <c r="R89" i="6"/>
  <c r="R238" i="6"/>
  <c r="S89" i="6"/>
  <c r="S238" i="6"/>
  <c r="T89" i="6"/>
  <c r="T238" i="6"/>
  <c r="U89" i="6"/>
  <c r="U238" i="6"/>
  <c r="V89" i="6"/>
  <c r="V238" i="6"/>
  <c r="W89" i="6"/>
  <c r="W238" i="6"/>
  <c r="X89" i="6"/>
  <c r="X238" i="6"/>
  <c r="Y89" i="6"/>
  <c r="Y238" i="6"/>
  <c r="Z89" i="6"/>
  <c r="Z238" i="6"/>
  <c r="AA89" i="6"/>
  <c r="AA238" i="6"/>
  <c r="AB89" i="6"/>
  <c r="AB238" i="6"/>
  <c r="AC89" i="6"/>
  <c r="AC238" i="6"/>
  <c r="AD89" i="6"/>
  <c r="AD238" i="6"/>
  <c r="AE89" i="6"/>
  <c r="AE238" i="6"/>
  <c r="AF89" i="6"/>
  <c r="AF238" i="6"/>
  <c r="AG89" i="6"/>
  <c r="AG238" i="6"/>
  <c r="AH89" i="6"/>
  <c r="AH238" i="6"/>
  <c r="AI89" i="6"/>
  <c r="AI238" i="6"/>
  <c r="AJ89" i="6"/>
  <c r="AJ238" i="6"/>
  <c r="AK89" i="6"/>
  <c r="AK238" i="6"/>
  <c r="AL89" i="6"/>
  <c r="AL238" i="6"/>
  <c r="AM89" i="6"/>
  <c r="AM238" i="6"/>
  <c r="AN89" i="6"/>
  <c r="AN238" i="6"/>
  <c r="AO89" i="6"/>
  <c r="AO238" i="6"/>
  <c r="AP89" i="6"/>
  <c r="AP238" i="6"/>
  <c r="AQ89" i="6"/>
  <c r="AQ238" i="6"/>
  <c r="AR89" i="6"/>
  <c r="AR238" i="6"/>
  <c r="AS89" i="6"/>
  <c r="AS238" i="6"/>
  <c r="AT89" i="6"/>
  <c r="AT238" i="6"/>
  <c r="AU89" i="6"/>
  <c r="AU238" i="6"/>
  <c r="AV89" i="6"/>
  <c r="AV238" i="6"/>
  <c r="AW89" i="6"/>
  <c r="AW238" i="6"/>
  <c r="AX89" i="6"/>
  <c r="AX238" i="6"/>
  <c r="AY89" i="6"/>
  <c r="AY238" i="6"/>
  <c r="AZ89" i="6"/>
  <c r="AZ238" i="6"/>
  <c r="BA89" i="6"/>
  <c r="BA238" i="6"/>
  <c r="BB89" i="6"/>
  <c r="BB238" i="6"/>
  <c r="BC89" i="6"/>
  <c r="BC238" i="6"/>
  <c r="BD89" i="6"/>
  <c r="BD238" i="6"/>
  <c r="BE89" i="6"/>
  <c r="BE238" i="6"/>
  <c r="BF89" i="6"/>
  <c r="BF238" i="6"/>
  <c r="BG89" i="6"/>
  <c r="BG238" i="6"/>
  <c r="BH89" i="6"/>
  <c r="BH238" i="6"/>
  <c r="BI89" i="6"/>
  <c r="BI238" i="6"/>
  <c r="BJ89" i="6"/>
  <c r="BJ238" i="6"/>
  <c r="BK89" i="6"/>
  <c r="BK238" i="6"/>
  <c r="BL89" i="6"/>
  <c r="BL238" i="6"/>
  <c r="BM89" i="6"/>
  <c r="BM238" i="6"/>
  <c r="F90" i="6"/>
  <c r="F239" i="6"/>
  <c r="G90" i="6"/>
  <c r="G171" i="6"/>
  <c r="H90" i="6"/>
  <c r="H171" i="6"/>
  <c r="I90" i="6"/>
  <c r="I171" i="6"/>
  <c r="J90" i="6"/>
  <c r="J171" i="6"/>
  <c r="K90" i="6"/>
  <c r="K171" i="6"/>
  <c r="L90" i="6"/>
  <c r="L171" i="6"/>
  <c r="M90" i="6"/>
  <c r="M171" i="6"/>
  <c r="M239" i="6"/>
  <c r="N90" i="6"/>
  <c r="N171" i="6"/>
  <c r="O90" i="6"/>
  <c r="O171" i="6"/>
  <c r="P90" i="6"/>
  <c r="P171" i="6"/>
  <c r="Q90" i="6"/>
  <c r="Q171" i="6"/>
  <c r="R90" i="6"/>
  <c r="R171" i="6"/>
  <c r="S90" i="6"/>
  <c r="S171" i="6"/>
  <c r="T90" i="6"/>
  <c r="T171" i="6"/>
  <c r="U90" i="6"/>
  <c r="U171" i="6"/>
  <c r="U239" i="6"/>
  <c r="V90" i="6"/>
  <c r="V171" i="6"/>
  <c r="W90" i="6"/>
  <c r="W171" i="6"/>
  <c r="X90" i="6"/>
  <c r="X171" i="6"/>
  <c r="Y90" i="6"/>
  <c r="Y171" i="6"/>
  <c r="Z90" i="6"/>
  <c r="Z171" i="6"/>
  <c r="AA90" i="6"/>
  <c r="AA171" i="6"/>
  <c r="AB90" i="6"/>
  <c r="AB171" i="6"/>
  <c r="AC90" i="6"/>
  <c r="AC239" i="6"/>
  <c r="AC171" i="6"/>
  <c r="AD90" i="6"/>
  <c r="AD171" i="6"/>
  <c r="AE90" i="6"/>
  <c r="AE171" i="6"/>
  <c r="AF90" i="6"/>
  <c r="AF171" i="6"/>
  <c r="AG90" i="6"/>
  <c r="AG171" i="6"/>
  <c r="AH90" i="6"/>
  <c r="AH171" i="6"/>
  <c r="AI90" i="6"/>
  <c r="AI171" i="6"/>
  <c r="AJ90" i="6"/>
  <c r="AJ171" i="6"/>
  <c r="AK90" i="6"/>
  <c r="AK239" i="6"/>
  <c r="AK171" i="6"/>
  <c r="AL90" i="6"/>
  <c r="AL171" i="6"/>
  <c r="AM90" i="6"/>
  <c r="AM171" i="6"/>
  <c r="AN90" i="6"/>
  <c r="AN171" i="6"/>
  <c r="AO90" i="6"/>
  <c r="AO171" i="6"/>
  <c r="AP90" i="6"/>
  <c r="AP171" i="6"/>
  <c r="AQ90" i="6"/>
  <c r="AQ171" i="6"/>
  <c r="AR90" i="6"/>
  <c r="AR171" i="6"/>
  <c r="AS90" i="6"/>
  <c r="AS171" i="6"/>
  <c r="AS239" i="6"/>
  <c r="AT90" i="6"/>
  <c r="AT171" i="6"/>
  <c r="AU90" i="6"/>
  <c r="AU171" i="6"/>
  <c r="AV90" i="6"/>
  <c r="AV171" i="6"/>
  <c r="AW90" i="6"/>
  <c r="AW171" i="6"/>
  <c r="AX90" i="6"/>
  <c r="AX171" i="6"/>
  <c r="AY90" i="6"/>
  <c r="AY171" i="6"/>
  <c r="AZ90" i="6"/>
  <c r="AZ171" i="6"/>
  <c r="BA90" i="6"/>
  <c r="BA171" i="6"/>
  <c r="BA239" i="6"/>
  <c r="BB90" i="6"/>
  <c r="BB171" i="6"/>
  <c r="BC90" i="6"/>
  <c r="BC171" i="6"/>
  <c r="BD90" i="6"/>
  <c r="BD171" i="6"/>
  <c r="BE90" i="6"/>
  <c r="BE171" i="6"/>
  <c r="BF90" i="6"/>
  <c r="BF171" i="6"/>
  <c r="BG90" i="6"/>
  <c r="BG171" i="6"/>
  <c r="BH90" i="6"/>
  <c r="BH171" i="6"/>
  <c r="BI90" i="6"/>
  <c r="BI239" i="6"/>
  <c r="BI171" i="6"/>
  <c r="BJ90" i="6"/>
  <c r="BJ171" i="6"/>
  <c r="BK90" i="6"/>
  <c r="BK171" i="6"/>
  <c r="BL90" i="6"/>
  <c r="BL171" i="6"/>
  <c r="BM90" i="6"/>
  <c r="BM171" i="6"/>
  <c r="BM239" i="6"/>
  <c r="F91" i="6"/>
  <c r="F240" i="6"/>
  <c r="G91" i="6"/>
  <c r="G172" i="6"/>
  <c r="H91" i="6"/>
  <c r="I91" i="6"/>
  <c r="J91" i="6"/>
  <c r="K91" i="6"/>
  <c r="K172" i="6"/>
  <c r="L91" i="6"/>
  <c r="L172" i="6"/>
  <c r="M91" i="6"/>
  <c r="M172" i="6"/>
  <c r="N91" i="6"/>
  <c r="N172" i="6"/>
  <c r="O91" i="6"/>
  <c r="P91" i="6"/>
  <c r="Q91" i="6"/>
  <c r="R91" i="6"/>
  <c r="S91" i="6"/>
  <c r="S172" i="6"/>
  <c r="S240" i="6"/>
  <c r="T91" i="6"/>
  <c r="T172" i="6"/>
  <c r="T240" i="6"/>
  <c r="U91" i="6"/>
  <c r="U172" i="6"/>
  <c r="V91" i="6"/>
  <c r="V172" i="6"/>
  <c r="W91" i="6"/>
  <c r="X91" i="6"/>
  <c r="Y91" i="6"/>
  <c r="Z91" i="6"/>
  <c r="AA91" i="6"/>
  <c r="AA172" i="6"/>
  <c r="AA240" i="6"/>
  <c r="AB91" i="6"/>
  <c r="AB172" i="6"/>
  <c r="AB240" i="6"/>
  <c r="AC91" i="6"/>
  <c r="AC172" i="6"/>
  <c r="AD91" i="6"/>
  <c r="AD172" i="6"/>
  <c r="AE91" i="6"/>
  <c r="AF91" i="6"/>
  <c r="AG91" i="6"/>
  <c r="AH91" i="6"/>
  <c r="AI91" i="6"/>
  <c r="AI172" i="6"/>
  <c r="AI240" i="6"/>
  <c r="AJ91" i="6"/>
  <c r="AJ172" i="6"/>
  <c r="AJ240" i="6"/>
  <c r="AK91" i="6"/>
  <c r="AK172" i="6"/>
  <c r="AL91" i="6"/>
  <c r="AL172" i="6"/>
  <c r="AM91" i="6"/>
  <c r="AN91" i="6"/>
  <c r="AO91" i="6"/>
  <c r="AP91" i="6"/>
  <c r="AQ91" i="6"/>
  <c r="AQ172" i="6"/>
  <c r="AQ240" i="6"/>
  <c r="AR91" i="6"/>
  <c r="AR172" i="6"/>
  <c r="AR240" i="6"/>
  <c r="AS91" i="6"/>
  <c r="AS172" i="6"/>
  <c r="AT91" i="6"/>
  <c r="AT172" i="6"/>
  <c r="AU91" i="6"/>
  <c r="AV91" i="6"/>
  <c r="AW91" i="6"/>
  <c r="AX91" i="6"/>
  <c r="AY91" i="6"/>
  <c r="AY172" i="6"/>
  <c r="AY240" i="6"/>
  <c r="AZ91" i="6"/>
  <c r="AZ172" i="6"/>
  <c r="AZ240" i="6"/>
  <c r="BA91" i="6"/>
  <c r="BA172" i="6"/>
  <c r="BB91" i="6"/>
  <c r="BB172" i="6"/>
  <c r="BC91" i="6"/>
  <c r="BD91" i="6"/>
  <c r="BE91" i="6"/>
  <c r="BF91" i="6"/>
  <c r="BG91" i="6"/>
  <c r="BG172" i="6"/>
  <c r="BG240" i="6"/>
  <c r="BH91" i="6"/>
  <c r="BH172" i="6"/>
  <c r="BH240" i="6"/>
  <c r="BI91" i="6"/>
  <c r="BI172" i="6"/>
  <c r="BJ91" i="6"/>
  <c r="BJ172" i="6"/>
  <c r="BK91" i="6"/>
  <c r="BL91" i="6"/>
  <c r="BM91" i="6"/>
  <c r="F92" i="6"/>
  <c r="F241" i="6"/>
  <c r="G92" i="6"/>
  <c r="G241" i="6"/>
  <c r="G173" i="6"/>
  <c r="H92" i="6"/>
  <c r="H173" i="6"/>
  <c r="H241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F93" i="6"/>
  <c r="F242" i="6"/>
  <c r="G93" i="6"/>
  <c r="G174" i="6"/>
  <c r="H93" i="6"/>
  <c r="H174" i="6"/>
  <c r="H242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F94" i="6"/>
  <c r="F243" i="6"/>
  <c r="G94" i="6"/>
  <c r="G175" i="6"/>
  <c r="H94" i="6"/>
  <c r="I94" i="6"/>
  <c r="I175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F95" i="6"/>
  <c r="F244" i="6"/>
  <c r="G95" i="6"/>
  <c r="G176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F96" i="6"/>
  <c r="F245" i="6"/>
  <c r="G96" i="6"/>
  <c r="G177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F97" i="6"/>
  <c r="F246" i="6"/>
  <c r="G97" i="6"/>
  <c r="G178" i="6"/>
  <c r="H97" i="6"/>
  <c r="H178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F98" i="6"/>
  <c r="F247" i="6"/>
  <c r="G98" i="6"/>
  <c r="G179" i="6"/>
  <c r="H98" i="6"/>
  <c r="H179" i="6"/>
  <c r="I98" i="6"/>
  <c r="I179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F99" i="6"/>
  <c r="F248" i="6"/>
  <c r="G99" i="6"/>
  <c r="G180" i="6"/>
  <c r="H99" i="6"/>
  <c r="I99" i="6"/>
  <c r="I180" i="6"/>
  <c r="J99" i="6"/>
  <c r="J180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F100" i="6"/>
  <c r="F249" i="6"/>
  <c r="G100" i="6"/>
  <c r="G181" i="6"/>
  <c r="H100" i="6"/>
  <c r="H181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F101" i="6"/>
  <c r="F250" i="6"/>
  <c r="G101" i="6"/>
  <c r="G182" i="6"/>
  <c r="H101" i="6"/>
  <c r="I101" i="6"/>
  <c r="I182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F102" i="6"/>
  <c r="F251" i="6"/>
  <c r="G102" i="6"/>
  <c r="G183" i="6"/>
  <c r="H102" i="6"/>
  <c r="H183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F103" i="6"/>
  <c r="F252" i="6"/>
  <c r="G103" i="6"/>
  <c r="G184" i="6"/>
  <c r="G252" i="6"/>
  <c r="H103" i="6"/>
  <c r="H184" i="6"/>
  <c r="H252" i="6"/>
  <c r="I103" i="6"/>
  <c r="I184" i="6"/>
  <c r="I252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F104" i="6"/>
  <c r="F253" i="6"/>
  <c r="G104" i="6"/>
  <c r="G185" i="6"/>
  <c r="H104" i="6"/>
  <c r="I104" i="6"/>
  <c r="I185" i="6"/>
  <c r="J186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F105" i="6"/>
  <c r="F254" i="6"/>
  <c r="G105" i="6"/>
  <c r="G186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F106" i="6"/>
  <c r="F255" i="6"/>
  <c r="G106" i="6"/>
  <c r="G187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F107" i="6"/>
  <c r="F256" i="6"/>
  <c r="G107" i="6"/>
  <c r="G188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F108" i="6"/>
  <c r="F257" i="6"/>
  <c r="G108" i="6"/>
  <c r="G189" i="6"/>
  <c r="H190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F109" i="6"/>
  <c r="F258" i="6"/>
  <c r="G109" i="6"/>
  <c r="G190" i="6"/>
  <c r="G258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F110" i="6"/>
  <c r="F259" i="6"/>
  <c r="G110" i="6"/>
  <c r="G191" i="6"/>
  <c r="H110" i="6"/>
  <c r="H191" i="6"/>
  <c r="H259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F111" i="6"/>
  <c r="F260" i="6"/>
  <c r="G111" i="6"/>
  <c r="G192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F112" i="6"/>
  <c r="F261" i="6"/>
  <c r="G112" i="6"/>
  <c r="G193" i="6"/>
  <c r="H112" i="6"/>
  <c r="H193" i="6"/>
  <c r="H261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F113" i="6"/>
  <c r="F262" i="6"/>
  <c r="G113" i="6"/>
  <c r="G194" i="6"/>
  <c r="G262" i="6"/>
  <c r="H113" i="6"/>
  <c r="H194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F114" i="6"/>
  <c r="F263" i="6"/>
  <c r="G114" i="6"/>
  <c r="G195" i="6"/>
  <c r="H114" i="6"/>
  <c r="H195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F115" i="6"/>
  <c r="F264" i="6"/>
  <c r="G115" i="6"/>
  <c r="G196" i="6"/>
  <c r="H115" i="6"/>
  <c r="H196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F116" i="6"/>
  <c r="F265" i="6"/>
  <c r="G116" i="6"/>
  <c r="G197" i="6"/>
  <c r="H116" i="6"/>
  <c r="H197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F117" i="6"/>
  <c r="F266" i="6"/>
  <c r="G117" i="6"/>
  <c r="G198" i="6"/>
  <c r="H117" i="6"/>
  <c r="H198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F118" i="6"/>
  <c r="F267" i="6"/>
  <c r="G118" i="6"/>
  <c r="G199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F119" i="6"/>
  <c r="F268" i="6"/>
  <c r="G119" i="6"/>
  <c r="G200" i="6"/>
  <c r="H119" i="6"/>
  <c r="H200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F120" i="6"/>
  <c r="F269" i="6"/>
  <c r="G120" i="6"/>
  <c r="G201" i="6"/>
  <c r="H120" i="6"/>
  <c r="H201" i="6"/>
  <c r="H269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F121" i="6"/>
  <c r="F270" i="6"/>
  <c r="G121" i="6"/>
  <c r="G202" i="6"/>
  <c r="G270" i="6"/>
  <c r="H121" i="6"/>
  <c r="H202" i="6"/>
  <c r="I121" i="6"/>
  <c r="I202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F122" i="6"/>
  <c r="F271" i="6"/>
  <c r="G122" i="6"/>
  <c r="G203" i="6"/>
  <c r="G271" i="6"/>
  <c r="H122" i="6"/>
  <c r="H203" i="6"/>
  <c r="H271" i="6"/>
  <c r="I122" i="6"/>
  <c r="I203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F123" i="6"/>
  <c r="F272" i="6"/>
  <c r="G123" i="6"/>
  <c r="G204" i="6"/>
  <c r="H123" i="6"/>
  <c r="H204" i="6"/>
  <c r="I123" i="6"/>
  <c r="I204" i="6"/>
  <c r="I272" i="6"/>
  <c r="J123" i="6"/>
  <c r="J204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F124" i="6"/>
  <c r="F273" i="6"/>
  <c r="G124" i="6"/>
  <c r="G205" i="6"/>
  <c r="H124" i="6"/>
  <c r="H205" i="6"/>
  <c r="H273" i="6"/>
  <c r="I124" i="6"/>
  <c r="J124" i="6"/>
  <c r="J205" i="6"/>
  <c r="K206" i="6"/>
  <c r="J273" i="6"/>
  <c r="K124" i="6"/>
  <c r="K205" i="6"/>
  <c r="K273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F125" i="6"/>
  <c r="F274" i="6"/>
  <c r="G125" i="6"/>
  <c r="G206" i="6"/>
  <c r="G274" i="6"/>
  <c r="H125" i="6"/>
  <c r="H206" i="6"/>
  <c r="H274" i="6"/>
  <c r="I125" i="6"/>
  <c r="J125" i="6"/>
  <c r="K125" i="6"/>
  <c r="L125" i="6"/>
  <c r="L206" i="6"/>
  <c r="L274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F126" i="6"/>
  <c r="F275" i="6"/>
  <c r="G126" i="6"/>
  <c r="G207" i="6"/>
  <c r="G275" i="6"/>
  <c r="H126" i="6"/>
  <c r="H207" i="6"/>
  <c r="I126" i="6"/>
  <c r="I207" i="6"/>
  <c r="I275" i="6"/>
  <c r="J126" i="6"/>
  <c r="K126" i="6"/>
  <c r="L126" i="6"/>
  <c r="M126" i="6"/>
  <c r="M207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F127" i="6"/>
  <c r="F276" i="6"/>
  <c r="G127" i="6"/>
  <c r="G208" i="6"/>
  <c r="G276" i="6"/>
  <c r="H127" i="6"/>
  <c r="H208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F128" i="6"/>
  <c r="F277" i="6"/>
  <c r="G128" i="6"/>
  <c r="G209" i="6"/>
  <c r="G277" i="6"/>
  <c r="H128" i="6"/>
  <c r="H209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F129" i="6"/>
  <c r="F278" i="6"/>
  <c r="G129" i="6"/>
  <c r="G278" i="6"/>
  <c r="G210" i="6"/>
  <c r="H129" i="6"/>
  <c r="H210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F130" i="6"/>
  <c r="F279" i="6"/>
  <c r="G130" i="6"/>
  <c r="G211" i="6"/>
  <c r="G279" i="6"/>
  <c r="H130" i="6"/>
  <c r="H211" i="6"/>
  <c r="H279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F131" i="6"/>
  <c r="F280" i="6"/>
  <c r="G131" i="6"/>
  <c r="G212" i="6"/>
  <c r="H131" i="6"/>
  <c r="H212" i="6"/>
  <c r="H280" i="6"/>
  <c r="I131" i="6"/>
  <c r="I212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F132" i="6"/>
  <c r="F281" i="6"/>
  <c r="G132" i="6"/>
  <c r="G213" i="6"/>
  <c r="H132" i="6"/>
  <c r="I132" i="6"/>
  <c r="I213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F133" i="6"/>
  <c r="F282" i="6"/>
  <c r="G133" i="6"/>
  <c r="G214" i="6"/>
  <c r="H215" i="6"/>
  <c r="G28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F134" i="6"/>
  <c r="F283" i="6"/>
  <c r="G134" i="6"/>
  <c r="G215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F135" i="6"/>
  <c r="F284" i="6"/>
  <c r="G135" i="6"/>
  <c r="G216" i="6"/>
  <c r="G284" i="6"/>
  <c r="H135" i="6"/>
  <c r="H216" i="6"/>
  <c r="H284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F136" i="6"/>
  <c r="F285" i="6"/>
  <c r="G136" i="6"/>
  <c r="G217" i="6"/>
  <c r="H136" i="6"/>
  <c r="H217" i="6"/>
  <c r="I136" i="6"/>
  <c r="I217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F137" i="6"/>
  <c r="F286" i="6"/>
  <c r="G137" i="6"/>
  <c r="G218" i="6"/>
  <c r="H137" i="6"/>
  <c r="H218" i="6"/>
  <c r="H286" i="6"/>
  <c r="I137" i="6"/>
  <c r="J137" i="6"/>
  <c r="J218" i="6"/>
  <c r="J286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F138" i="6"/>
  <c r="F287" i="6"/>
  <c r="G138" i="6"/>
  <c r="G219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F139" i="6"/>
  <c r="F288" i="6"/>
  <c r="G139" i="6"/>
  <c r="G220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F140" i="6"/>
  <c r="F289" i="6"/>
  <c r="G140" i="6"/>
  <c r="G221" i="6"/>
  <c r="G289" i="6"/>
  <c r="H140" i="6"/>
  <c r="H221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F141" i="6"/>
  <c r="F290" i="6"/>
  <c r="G141" i="6"/>
  <c r="G222" i="6"/>
  <c r="G290" i="6"/>
  <c r="H141" i="6"/>
  <c r="I141" i="6"/>
  <c r="I222" i="6"/>
  <c r="I290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F142" i="6"/>
  <c r="F291" i="6"/>
  <c r="G142" i="6"/>
  <c r="G223" i="6"/>
  <c r="G291" i="6"/>
  <c r="H142" i="6"/>
  <c r="H223" i="6"/>
  <c r="H291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F143" i="6"/>
  <c r="F292" i="6"/>
  <c r="G143" i="6"/>
  <c r="G224" i="6"/>
  <c r="H143" i="6"/>
  <c r="H224" i="6"/>
  <c r="H292" i="6"/>
  <c r="I143" i="6"/>
  <c r="I224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F144" i="6"/>
  <c r="F293" i="6"/>
  <c r="G144" i="6"/>
  <c r="G225" i="6"/>
  <c r="G293" i="6"/>
  <c r="H144" i="6"/>
  <c r="H225" i="6"/>
  <c r="I144" i="6"/>
  <c r="I225" i="6"/>
  <c r="I293" i="6"/>
  <c r="J144" i="6"/>
  <c r="J225" i="6"/>
  <c r="J293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F145" i="6"/>
  <c r="F294" i="6"/>
  <c r="G145" i="6"/>
  <c r="G226" i="6"/>
  <c r="H145" i="6"/>
  <c r="H226" i="6"/>
  <c r="H294" i="6"/>
  <c r="I145" i="6"/>
  <c r="I226" i="6"/>
  <c r="J145" i="6"/>
  <c r="J226" i="6"/>
  <c r="J294" i="6"/>
  <c r="K145" i="6"/>
  <c r="K294" i="6"/>
  <c r="K226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F146" i="6"/>
  <c r="F295" i="6"/>
  <c r="G146" i="6"/>
  <c r="G227" i="6"/>
  <c r="G295" i="6"/>
  <c r="H146" i="6"/>
  <c r="I146" i="6"/>
  <c r="I227" i="6"/>
  <c r="J146" i="6"/>
  <c r="J227" i="6"/>
  <c r="J295" i="6"/>
  <c r="K146" i="6"/>
  <c r="K227" i="6"/>
  <c r="L146" i="6"/>
  <c r="L227" i="6"/>
  <c r="L295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F147" i="6"/>
  <c r="F296" i="6"/>
  <c r="G147" i="6"/>
  <c r="G228" i="6"/>
  <c r="G296" i="6"/>
  <c r="H147" i="6"/>
  <c r="I147" i="6"/>
  <c r="J147" i="6"/>
  <c r="K147" i="6"/>
  <c r="K228" i="6"/>
  <c r="L147" i="6"/>
  <c r="M147" i="6"/>
  <c r="M228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F148" i="6"/>
  <c r="F297" i="6"/>
  <c r="G148" i="6"/>
  <c r="G229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F149" i="6"/>
  <c r="F298" i="6"/>
  <c r="G149" i="6"/>
  <c r="G230" i="6"/>
  <c r="G29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F150" i="6"/>
  <c r="F299" i="6"/>
  <c r="G150" i="6"/>
  <c r="G231" i="6"/>
  <c r="H150" i="6"/>
  <c r="H231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F151" i="6"/>
  <c r="F300" i="6"/>
  <c r="G151" i="6"/>
  <c r="G232" i="6"/>
  <c r="G300" i="6"/>
  <c r="H151" i="6"/>
  <c r="H232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F152" i="6"/>
  <c r="F301" i="6"/>
  <c r="G152" i="6"/>
  <c r="G233" i="6"/>
  <c r="H152" i="6"/>
  <c r="I152" i="6"/>
  <c r="I233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F153" i="6"/>
  <c r="F302" i="6"/>
  <c r="G153" i="6"/>
  <c r="G234" i="6"/>
  <c r="G30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89" i="6"/>
  <c r="BN238" i="6"/>
  <c r="BO89" i="6"/>
  <c r="BO238" i="6"/>
  <c r="BP89" i="6"/>
  <c r="BP238" i="6"/>
  <c r="BQ89" i="6"/>
  <c r="BQ238" i="6"/>
  <c r="BR89" i="6"/>
  <c r="BR238" i="6"/>
  <c r="BN90" i="6"/>
  <c r="BN171" i="6"/>
  <c r="BN239" i="6"/>
  <c r="BO90" i="6"/>
  <c r="BO171" i="6"/>
  <c r="BO239" i="6"/>
  <c r="BP90" i="6"/>
  <c r="BP171" i="6"/>
  <c r="BP239" i="6"/>
  <c r="BQ90" i="6"/>
  <c r="BQ171" i="6"/>
  <c r="BR90" i="6"/>
  <c r="BR171" i="6"/>
  <c r="BR239" i="6"/>
  <c r="BN91" i="6"/>
  <c r="BN172" i="6"/>
  <c r="BO91" i="6"/>
  <c r="BP91" i="6"/>
  <c r="BQ91" i="6"/>
  <c r="BQ172" i="6"/>
  <c r="BR91" i="6"/>
  <c r="BN92" i="6"/>
  <c r="BO92" i="6"/>
  <c r="BP92" i="6"/>
  <c r="BQ92" i="6"/>
  <c r="BR92" i="6"/>
  <c r="BN93" i="6"/>
  <c r="BO93" i="6"/>
  <c r="BP93" i="6"/>
  <c r="BQ93" i="6"/>
  <c r="BR93" i="6"/>
  <c r="BN94" i="6"/>
  <c r="BO94" i="6"/>
  <c r="BP94" i="6"/>
  <c r="BQ94" i="6"/>
  <c r="BR94" i="6"/>
  <c r="BN95" i="6"/>
  <c r="BO95" i="6"/>
  <c r="BP95" i="6"/>
  <c r="BQ95" i="6"/>
  <c r="BR95" i="6"/>
  <c r="BN96" i="6"/>
  <c r="BO96" i="6"/>
  <c r="BP96" i="6"/>
  <c r="BQ96" i="6"/>
  <c r="BR96" i="6"/>
  <c r="BN97" i="6"/>
  <c r="BO97" i="6"/>
  <c r="BP97" i="6"/>
  <c r="BQ97" i="6"/>
  <c r="BR97" i="6"/>
  <c r="BN98" i="6"/>
  <c r="BO98" i="6"/>
  <c r="BP98" i="6"/>
  <c r="BQ98" i="6"/>
  <c r="BR98" i="6"/>
  <c r="BN99" i="6"/>
  <c r="BO99" i="6"/>
  <c r="BP99" i="6"/>
  <c r="BQ99" i="6"/>
  <c r="BR99" i="6"/>
  <c r="BN100" i="6"/>
  <c r="BO100" i="6"/>
  <c r="BP100" i="6"/>
  <c r="BQ100" i="6"/>
  <c r="BR100" i="6"/>
  <c r="BN101" i="6"/>
  <c r="BO101" i="6"/>
  <c r="BP101" i="6"/>
  <c r="BQ101" i="6"/>
  <c r="BR101" i="6"/>
  <c r="BN102" i="6"/>
  <c r="BO102" i="6"/>
  <c r="BP102" i="6"/>
  <c r="BQ102" i="6"/>
  <c r="BR102" i="6"/>
  <c r="BN103" i="6"/>
  <c r="BO103" i="6"/>
  <c r="BP103" i="6"/>
  <c r="BQ103" i="6"/>
  <c r="BR103" i="6"/>
  <c r="BN104" i="6"/>
  <c r="BO104" i="6"/>
  <c r="BP104" i="6"/>
  <c r="BQ104" i="6"/>
  <c r="BR104" i="6"/>
  <c r="BN105" i="6"/>
  <c r="BO105" i="6"/>
  <c r="BP105" i="6"/>
  <c r="BQ105" i="6"/>
  <c r="BR105" i="6"/>
  <c r="BN106" i="6"/>
  <c r="BO106" i="6"/>
  <c r="BP106" i="6"/>
  <c r="BQ106" i="6"/>
  <c r="BR106" i="6"/>
  <c r="BN107" i="6"/>
  <c r="BO107" i="6"/>
  <c r="BP107" i="6"/>
  <c r="BQ107" i="6"/>
  <c r="BR107" i="6"/>
  <c r="BN108" i="6"/>
  <c r="BO108" i="6"/>
  <c r="BP108" i="6"/>
  <c r="BQ108" i="6"/>
  <c r="BR108" i="6"/>
  <c r="BN109" i="6"/>
  <c r="BO109" i="6"/>
  <c r="BP109" i="6"/>
  <c r="BQ109" i="6"/>
  <c r="BR109" i="6"/>
  <c r="BN110" i="6"/>
  <c r="BO110" i="6"/>
  <c r="BP110" i="6"/>
  <c r="BQ110" i="6"/>
  <c r="BR110" i="6"/>
  <c r="BN111" i="6"/>
  <c r="BO111" i="6"/>
  <c r="BP111" i="6"/>
  <c r="BQ111" i="6"/>
  <c r="BR111" i="6"/>
  <c r="BN112" i="6"/>
  <c r="BO112" i="6"/>
  <c r="BP112" i="6"/>
  <c r="BQ112" i="6"/>
  <c r="BR112" i="6"/>
  <c r="BN113" i="6"/>
  <c r="BO113" i="6"/>
  <c r="BP113" i="6"/>
  <c r="BQ113" i="6"/>
  <c r="BR113" i="6"/>
  <c r="BN114" i="6"/>
  <c r="BO114" i="6"/>
  <c r="BP114" i="6"/>
  <c r="BQ114" i="6"/>
  <c r="BR114" i="6"/>
  <c r="BN115" i="6"/>
  <c r="BO115" i="6"/>
  <c r="BP115" i="6"/>
  <c r="BQ115" i="6"/>
  <c r="BR115" i="6"/>
  <c r="BN116" i="6"/>
  <c r="BO116" i="6"/>
  <c r="BP116" i="6"/>
  <c r="BQ116" i="6"/>
  <c r="BR116" i="6"/>
  <c r="BN117" i="6"/>
  <c r="BO117" i="6"/>
  <c r="BP117" i="6"/>
  <c r="BQ117" i="6"/>
  <c r="BR117" i="6"/>
  <c r="BN118" i="6"/>
  <c r="BO118" i="6"/>
  <c r="BP118" i="6"/>
  <c r="BQ118" i="6"/>
  <c r="BR118" i="6"/>
  <c r="BN119" i="6"/>
  <c r="BO119" i="6"/>
  <c r="BP119" i="6"/>
  <c r="BQ119" i="6"/>
  <c r="BR119" i="6"/>
  <c r="BN120" i="6"/>
  <c r="BO120" i="6"/>
  <c r="BP120" i="6"/>
  <c r="BQ120" i="6"/>
  <c r="BR120" i="6"/>
  <c r="BN121" i="6"/>
  <c r="BO121" i="6"/>
  <c r="BP121" i="6"/>
  <c r="BQ121" i="6"/>
  <c r="BR121" i="6"/>
  <c r="BN122" i="6"/>
  <c r="BO122" i="6"/>
  <c r="BP122" i="6"/>
  <c r="BQ122" i="6"/>
  <c r="BR122" i="6"/>
  <c r="BN123" i="6"/>
  <c r="BO123" i="6"/>
  <c r="BP123" i="6"/>
  <c r="BQ123" i="6"/>
  <c r="BR123" i="6"/>
  <c r="BN124" i="6"/>
  <c r="BO124" i="6"/>
  <c r="BP124" i="6"/>
  <c r="BQ124" i="6"/>
  <c r="BR124" i="6"/>
  <c r="BN125" i="6"/>
  <c r="BO125" i="6"/>
  <c r="BP125" i="6"/>
  <c r="BQ125" i="6"/>
  <c r="BR125" i="6"/>
  <c r="BN126" i="6"/>
  <c r="BO126" i="6"/>
  <c r="BP126" i="6"/>
  <c r="BQ126" i="6"/>
  <c r="BR126" i="6"/>
  <c r="BN127" i="6"/>
  <c r="BO127" i="6"/>
  <c r="BP127" i="6"/>
  <c r="BQ127" i="6"/>
  <c r="BR127" i="6"/>
  <c r="BN128" i="6"/>
  <c r="BO128" i="6"/>
  <c r="BP128" i="6"/>
  <c r="BQ128" i="6"/>
  <c r="BR128" i="6"/>
  <c r="BN129" i="6"/>
  <c r="BO129" i="6"/>
  <c r="BP129" i="6"/>
  <c r="BQ129" i="6"/>
  <c r="BR129" i="6"/>
  <c r="BN130" i="6"/>
  <c r="BO130" i="6"/>
  <c r="BP130" i="6"/>
  <c r="BQ130" i="6"/>
  <c r="BR130" i="6"/>
  <c r="BN131" i="6"/>
  <c r="BO131" i="6"/>
  <c r="BP131" i="6"/>
  <c r="BQ131" i="6"/>
  <c r="BR131" i="6"/>
  <c r="BN132" i="6"/>
  <c r="BO132" i="6"/>
  <c r="BP132" i="6"/>
  <c r="BQ132" i="6"/>
  <c r="BR132" i="6"/>
  <c r="BN133" i="6"/>
  <c r="BO133" i="6"/>
  <c r="BP133" i="6"/>
  <c r="BQ133" i="6"/>
  <c r="BR133" i="6"/>
  <c r="BN134" i="6"/>
  <c r="BO134" i="6"/>
  <c r="BP134" i="6"/>
  <c r="BQ134" i="6"/>
  <c r="BR134" i="6"/>
  <c r="BN135" i="6"/>
  <c r="BO135" i="6"/>
  <c r="BP135" i="6"/>
  <c r="BQ135" i="6"/>
  <c r="BR135" i="6"/>
  <c r="BN136" i="6"/>
  <c r="BO136" i="6"/>
  <c r="BP136" i="6"/>
  <c r="BQ136" i="6"/>
  <c r="BR136" i="6"/>
  <c r="BN137" i="6"/>
  <c r="BO137" i="6"/>
  <c r="BP137" i="6"/>
  <c r="BQ137" i="6"/>
  <c r="BR137" i="6"/>
  <c r="BN138" i="6"/>
  <c r="BO138" i="6"/>
  <c r="BP138" i="6"/>
  <c r="BQ138" i="6"/>
  <c r="BR138" i="6"/>
  <c r="BN139" i="6"/>
  <c r="BO139" i="6"/>
  <c r="BP139" i="6"/>
  <c r="BQ139" i="6"/>
  <c r="BR139" i="6"/>
  <c r="BN140" i="6"/>
  <c r="BO140" i="6"/>
  <c r="BP140" i="6"/>
  <c r="BQ140" i="6"/>
  <c r="BR140" i="6"/>
  <c r="BN141" i="6"/>
  <c r="BO141" i="6"/>
  <c r="BP141" i="6"/>
  <c r="BQ141" i="6"/>
  <c r="BR141" i="6"/>
  <c r="BN142" i="6"/>
  <c r="BO142" i="6"/>
  <c r="BP142" i="6"/>
  <c r="BQ142" i="6"/>
  <c r="BR142" i="6"/>
  <c r="BN143" i="6"/>
  <c r="BO143" i="6"/>
  <c r="BP143" i="6"/>
  <c r="BQ143" i="6"/>
  <c r="BR143" i="6"/>
  <c r="BN144" i="6"/>
  <c r="BO144" i="6"/>
  <c r="BP144" i="6"/>
  <c r="BQ144" i="6"/>
  <c r="BR144" i="6"/>
  <c r="BN145" i="6"/>
  <c r="BO145" i="6"/>
  <c r="BP145" i="6"/>
  <c r="BQ145" i="6"/>
  <c r="BR145" i="6"/>
  <c r="BN146" i="6"/>
  <c r="BO146" i="6"/>
  <c r="BP146" i="6"/>
  <c r="BQ146" i="6"/>
  <c r="BR146" i="6"/>
  <c r="BN147" i="6"/>
  <c r="BO147" i="6"/>
  <c r="BP147" i="6"/>
  <c r="BQ147" i="6"/>
  <c r="BR147" i="6"/>
  <c r="BN148" i="6"/>
  <c r="BO148" i="6"/>
  <c r="BP148" i="6"/>
  <c r="BQ148" i="6"/>
  <c r="BR148" i="6"/>
  <c r="BN149" i="6"/>
  <c r="BO149" i="6"/>
  <c r="BP149" i="6"/>
  <c r="BQ149" i="6"/>
  <c r="BR149" i="6"/>
  <c r="BN150" i="6"/>
  <c r="BO150" i="6"/>
  <c r="BP150" i="6"/>
  <c r="BQ150" i="6"/>
  <c r="BR150" i="6"/>
  <c r="BN151" i="6"/>
  <c r="BO151" i="6"/>
  <c r="BP151" i="6"/>
  <c r="BQ151" i="6"/>
  <c r="BR151" i="6"/>
  <c r="BN152" i="6"/>
  <c r="BO152" i="6"/>
  <c r="BP152" i="6"/>
  <c r="BQ152" i="6"/>
  <c r="BR152" i="6"/>
  <c r="BN153" i="6"/>
  <c r="BO153" i="6"/>
  <c r="BP153" i="6"/>
  <c r="BQ153" i="6"/>
  <c r="BR153" i="6"/>
  <c r="F157" i="6"/>
  <c r="L523" i="22"/>
  <c r="C64" i="16"/>
  <c r="C65" i="16"/>
  <c r="C15" i="16"/>
  <c r="C58" i="16"/>
  <c r="C66" i="16"/>
  <c r="C67" i="16"/>
  <c r="D85" i="18"/>
  <c r="C17" i="16"/>
  <c r="C28" i="16"/>
  <c r="D28" i="16"/>
  <c r="E28" i="16"/>
  <c r="F28" i="16"/>
  <c r="G28" i="16"/>
  <c r="H28" i="16"/>
  <c r="I28" i="16"/>
  <c r="J28" i="16"/>
  <c r="C21" i="16"/>
  <c r="H91" i="17"/>
  <c r="J63" i="17"/>
  <c r="J75" i="17"/>
  <c r="K63" i="17"/>
  <c r="L63" i="17"/>
  <c r="M63" i="17"/>
  <c r="D9" i="17"/>
  <c r="N63" i="17"/>
  <c r="O63" i="17"/>
  <c r="P63" i="17"/>
  <c r="Q63" i="17"/>
  <c r="R63" i="17"/>
  <c r="S63" i="17"/>
  <c r="T63" i="17"/>
  <c r="U63" i="17"/>
  <c r="V63" i="17"/>
  <c r="W63" i="17"/>
  <c r="F9" i="17"/>
  <c r="X63" i="17"/>
  <c r="Y63" i="17"/>
  <c r="Z63" i="17"/>
  <c r="AA63" i="17"/>
  <c r="AB63" i="17"/>
  <c r="G9" i="17"/>
  <c r="AC63" i="17"/>
  <c r="AD63" i="17"/>
  <c r="AE63" i="17"/>
  <c r="AF63" i="17"/>
  <c r="AG63" i="17"/>
  <c r="H9" i="17"/>
  <c r="AH63" i="17"/>
  <c r="AI63" i="17"/>
  <c r="AJ63" i="17"/>
  <c r="AK63" i="17"/>
  <c r="AL63" i="17"/>
  <c r="AM63" i="17"/>
  <c r="AN63" i="17"/>
  <c r="AO63" i="17"/>
  <c r="AP63" i="17"/>
  <c r="AQ63" i="17"/>
  <c r="J9" i="17"/>
  <c r="AR63" i="17"/>
  <c r="AS63" i="17"/>
  <c r="AT63" i="17"/>
  <c r="AU63" i="17"/>
  <c r="AV63" i="17"/>
  <c r="K9" i="17"/>
  <c r="V79" i="18" a="1"/>
  <c r="E523" i="22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K155" i="6"/>
  <c r="BL155" i="6"/>
  <c r="BM155" i="6"/>
  <c r="BN155" i="6"/>
  <c r="BO155" i="6"/>
  <c r="BP155" i="6"/>
  <c r="BQ155" i="6"/>
  <c r="BR155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BM164" i="6"/>
  <c r="BN164" i="6"/>
  <c r="BO164" i="6"/>
  <c r="BP164" i="6"/>
  <c r="BQ164" i="6"/>
  <c r="BR164" i="6"/>
  <c r="A416" i="6"/>
  <c r="A426" i="6"/>
  <c r="E47" i="21"/>
  <c r="E85" i="22"/>
  <c r="F85" i="22"/>
  <c r="G85" i="22"/>
  <c r="H85" i="22"/>
  <c r="I85" i="22"/>
  <c r="J85" i="22"/>
  <c r="K85" i="22"/>
  <c r="F523" i="22"/>
  <c r="G523" i="22"/>
  <c r="H523" i="22"/>
  <c r="I523" i="22"/>
  <c r="J523" i="22"/>
  <c r="K523" i="22"/>
  <c r="E537" i="22"/>
  <c r="F537" i="22"/>
  <c r="G537" i="22"/>
  <c r="H537" i="22"/>
  <c r="I537" i="22"/>
  <c r="J537" i="22"/>
  <c r="K537" i="22"/>
  <c r="L537" i="22"/>
  <c r="D99" i="29"/>
  <c r="E116" i="22" s="1"/>
  <c r="D98" i="29"/>
  <c r="E115" i="22" s="1"/>
  <c r="G105" i="27"/>
  <c r="H526" i="22" s="1"/>
  <c r="F529" i="22"/>
  <c r="G529" i="22"/>
  <c r="H529" i="22"/>
  <c r="I529" i="22"/>
  <c r="J529" i="22"/>
  <c r="K529" i="22"/>
  <c r="L529" i="22"/>
  <c r="F530" i="22"/>
  <c r="G530" i="22"/>
  <c r="H530" i="22"/>
  <c r="I530" i="22"/>
  <c r="J530" i="22"/>
  <c r="K530" i="22"/>
  <c r="L530" i="22"/>
  <c r="H531" i="22"/>
  <c r="L531" i="22"/>
  <c r="E529" i="22"/>
  <c r="E530" i="22"/>
  <c r="X15" i="32"/>
  <c r="X14" i="32"/>
  <c r="X13" i="32"/>
  <c r="X12" i="32"/>
  <c r="K53" i="32"/>
  <c r="J53" i="32"/>
  <c r="I53" i="32"/>
  <c r="H53" i="32"/>
  <c r="G53" i="32"/>
  <c r="F53" i="32"/>
  <c r="E53" i="32"/>
  <c r="D53" i="32"/>
  <c r="K52" i="32"/>
  <c r="J52" i="32"/>
  <c r="I52" i="32"/>
  <c r="H52" i="32"/>
  <c r="G52" i="32"/>
  <c r="F52" i="32"/>
  <c r="E52" i="32"/>
  <c r="D52" i="32"/>
  <c r="K51" i="32"/>
  <c r="J51" i="32"/>
  <c r="I51" i="32"/>
  <c r="H51" i="32"/>
  <c r="G51" i="32"/>
  <c r="F51" i="32"/>
  <c r="E51" i="32"/>
  <c r="D51" i="32"/>
  <c r="K50" i="32"/>
  <c r="J50" i="32"/>
  <c r="I50" i="32"/>
  <c r="H50" i="32"/>
  <c r="G50" i="32"/>
  <c r="F50" i="32"/>
  <c r="E50" i="32"/>
  <c r="D50" i="32"/>
  <c r="K49" i="32"/>
  <c r="J49" i="32"/>
  <c r="I49" i="32"/>
  <c r="H49" i="32"/>
  <c r="G49" i="32"/>
  <c r="F49" i="32"/>
  <c r="E49" i="32"/>
  <c r="D49" i="32"/>
  <c r="K48" i="32"/>
  <c r="J48" i="32"/>
  <c r="I48" i="32"/>
  <c r="H48" i="32"/>
  <c r="G48" i="32"/>
  <c r="F48" i="32"/>
  <c r="E48" i="32"/>
  <c r="D48" i="32"/>
  <c r="K47" i="32"/>
  <c r="J47" i="32"/>
  <c r="I47" i="32"/>
  <c r="H47" i="32"/>
  <c r="G47" i="32"/>
  <c r="F47" i="32"/>
  <c r="E47" i="32"/>
  <c r="D47" i="32"/>
  <c r="K46" i="32"/>
  <c r="J46" i="32"/>
  <c r="I46" i="32"/>
  <c r="H46" i="32"/>
  <c r="G46" i="32"/>
  <c r="F46" i="32"/>
  <c r="E46" i="32"/>
  <c r="D46" i="32"/>
  <c r="V45" i="32"/>
  <c r="U45" i="32"/>
  <c r="T45" i="32"/>
  <c r="S45" i="32"/>
  <c r="R45" i="32"/>
  <c r="Q45" i="32"/>
  <c r="P45" i="32"/>
  <c r="E45" i="32"/>
  <c r="O45" i="32"/>
  <c r="K44" i="32"/>
  <c r="J44" i="32"/>
  <c r="I44" i="32"/>
  <c r="H44" i="32"/>
  <c r="G44" i="32"/>
  <c r="F44" i="32"/>
  <c r="E44" i="32"/>
  <c r="D44" i="32"/>
  <c r="K43" i="32"/>
  <c r="J43" i="32"/>
  <c r="J78" i="32"/>
  <c r="K637" i="22"/>
  <c r="I43" i="32"/>
  <c r="H43" i="32"/>
  <c r="G43" i="32"/>
  <c r="G74" i="32"/>
  <c r="H630" i="22"/>
  <c r="F43" i="32"/>
  <c r="F80" i="32"/>
  <c r="E43" i="32"/>
  <c r="D43" i="32"/>
  <c r="V42" i="32"/>
  <c r="U42" i="32"/>
  <c r="T42" i="32"/>
  <c r="S42" i="32"/>
  <c r="R42" i="32"/>
  <c r="Q42" i="32"/>
  <c r="P42" i="32"/>
  <c r="O42" i="32"/>
  <c r="K36" i="32"/>
  <c r="J36" i="32"/>
  <c r="I36" i="32"/>
  <c r="H36" i="32"/>
  <c r="G36" i="32"/>
  <c r="F36" i="32"/>
  <c r="E36" i="32"/>
  <c r="D36" i="32"/>
  <c r="K35" i="32"/>
  <c r="J35" i="32"/>
  <c r="I35" i="32"/>
  <c r="H35" i="32"/>
  <c r="G35" i="32"/>
  <c r="F35" i="32"/>
  <c r="E35" i="32"/>
  <c r="D35" i="32"/>
  <c r="K34" i="32"/>
  <c r="J34" i="32"/>
  <c r="I34" i="32"/>
  <c r="H34" i="32"/>
  <c r="G34" i="32"/>
  <c r="F34" i="32"/>
  <c r="E34" i="32"/>
  <c r="D34" i="32"/>
  <c r="K33" i="32"/>
  <c r="J33" i="32"/>
  <c r="I33" i="32"/>
  <c r="H33" i="32"/>
  <c r="G33" i="32"/>
  <c r="F33" i="32"/>
  <c r="E33" i="32"/>
  <c r="D33" i="32"/>
  <c r="K32" i="32"/>
  <c r="J32" i="32"/>
  <c r="I32" i="32"/>
  <c r="H32" i="32"/>
  <c r="G32" i="32"/>
  <c r="F32" i="32"/>
  <c r="E32" i="32"/>
  <c r="D32" i="32"/>
  <c r="K31" i="32"/>
  <c r="J31" i="32"/>
  <c r="I31" i="32"/>
  <c r="H31" i="32"/>
  <c r="G31" i="32"/>
  <c r="F31" i="32"/>
  <c r="E31" i="32"/>
  <c r="D31" i="32"/>
  <c r="K30" i="32"/>
  <c r="J30" i="32"/>
  <c r="I30" i="32"/>
  <c r="H30" i="32"/>
  <c r="G30" i="32"/>
  <c r="F30" i="32"/>
  <c r="E30" i="32"/>
  <c r="D30" i="32"/>
  <c r="K29" i="32"/>
  <c r="J29" i="32"/>
  <c r="I29" i="32"/>
  <c r="H29" i="32"/>
  <c r="G29" i="32"/>
  <c r="F29" i="32"/>
  <c r="E29" i="32"/>
  <c r="E64" i="32"/>
  <c r="F608" i="22"/>
  <c r="D29" i="32"/>
  <c r="V28" i="32"/>
  <c r="U28" i="32"/>
  <c r="T28" i="32"/>
  <c r="S28" i="32"/>
  <c r="R28" i="32"/>
  <c r="Q28" i="32"/>
  <c r="P28" i="32"/>
  <c r="O28" i="32"/>
  <c r="D28" i="32"/>
  <c r="D89" i="32"/>
  <c r="E89" i="32"/>
  <c r="K27" i="32"/>
  <c r="K40" i="32"/>
  <c r="J27" i="32"/>
  <c r="J40" i="32"/>
  <c r="I27" i="32"/>
  <c r="I40" i="32"/>
  <c r="H27" i="32"/>
  <c r="H40" i="32"/>
  <c r="G27" i="32"/>
  <c r="G40" i="32"/>
  <c r="F27" i="32"/>
  <c r="F40" i="32"/>
  <c r="E27" i="32"/>
  <c r="E40" i="32"/>
  <c r="D27" i="32"/>
  <c r="D40" i="32"/>
  <c r="K26" i="32"/>
  <c r="J26" i="32"/>
  <c r="J67" i="32"/>
  <c r="I26" i="32"/>
  <c r="H26" i="32"/>
  <c r="G26" i="32"/>
  <c r="G63" i="32"/>
  <c r="H607" i="22"/>
  <c r="F26" i="32"/>
  <c r="E26" i="32"/>
  <c r="D26" i="32"/>
  <c r="V25" i="32"/>
  <c r="U25" i="32"/>
  <c r="T25" i="32"/>
  <c r="S25" i="32"/>
  <c r="R25" i="32"/>
  <c r="Q25" i="32"/>
  <c r="P25" i="32"/>
  <c r="O25" i="32"/>
  <c r="D25" i="32"/>
  <c r="K24" i="32"/>
  <c r="K41" i="32"/>
  <c r="J24" i="32"/>
  <c r="J41" i="32"/>
  <c r="I24" i="32"/>
  <c r="I41" i="32"/>
  <c r="H24" i="32"/>
  <c r="H41" i="32"/>
  <c r="G24" i="32"/>
  <c r="G41" i="32"/>
  <c r="F24" i="32"/>
  <c r="F41" i="32"/>
  <c r="E24" i="32"/>
  <c r="E41" i="32"/>
  <c r="D24" i="32"/>
  <c r="D41" i="32"/>
  <c r="K23" i="32"/>
  <c r="J23" i="32"/>
  <c r="I23" i="32"/>
  <c r="H23" i="32"/>
  <c r="G23" i="32"/>
  <c r="F23" i="32"/>
  <c r="E23" i="32"/>
  <c r="D23" i="32"/>
  <c r="K11" i="32"/>
  <c r="K28" i="32"/>
  <c r="J11" i="32"/>
  <c r="J28" i="32"/>
  <c r="I11" i="32"/>
  <c r="H11" i="32"/>
  <c r="H45" i="32"/>
  <c r="G11" i="32"/>
  <c r="G45" i="32"/>
  <c r="F11" i="32"/>
  <c r="F45" i="32"/>
  <c r="E11" i="32"/>
  <c r="E28" i="32"/>
  <c r="D11" i="32"/>
  <c r="K8" i="32"/>
  <c r="K42" i="32"/>
  <c r="J8" i="32"/>
  <c r="J25" i="32"/>
  <c r="I8" i="32"/>
  <c r="I42" i="32"/>
  <c r="H8" i="32"/>
  <c r="G8" i="32"/>
  <c r="F8" i="32"/>
  <c r="F25" i="32"/>
  <c r="E8" i="32"/>
  <c r="E42" i="32"/>
  <c r="D8" i="32"/>
  <c r="K74" i="32"/>
  <c r="L630" i="22"/>
  <c r="K75" i="32"/>
  <c r="L634" i="22"/>
  <c r="G80" i="32"/>
  <c r="E555" i="22"/>
  <c r="F555" i="22"/>
  <c r="G555" i="22"/>
  <c r="H555" i="22"/>
  <c r="I555" i="22"/>
  <c r="J555" i="22"/>
  <c r="K555" i="22"/>
  <c r="L555" i="22"/>
  <c r="E134" i="27"/>
  <c r="F134" i="27"/>
  <c r="G556" i="22" s="1"/>
  <c r="I134" i="27"/>
  <c r="E559" i="22"/>
  <c r="F559" i="22"/>
  <c r="G559" i="22"/>
  <c r="H559" i="22"/>
  <c r="I559" i="22"/>
  <c r="J559" i="22"/>
  <c r="K559" i="22"/>
  <c r="L559" i="22"/>
  <c r="E560" i="22"/>
  <c r="F560" i="22"/>
  <c r="G560" i="22"/>
  <c r="H560" i="22"/>
  <c r="I560" i="22"/>
  <c r="J560" i="22"/>
  <c r="K560" i="22"/>
  <c r="L560" i="22"/>
  <c r="G561" i="22"/>
  <c r="J561" i="22"/>
  <c r="L561" i="22"/>
  <c r="C144" i="27"/>
  <c r="C147" i="27"/>
  <c r="D149" i="27"/>
  <c r="E149" i="27"/>
  <c r="F149" i="27"/>
  <c r="G149" i="27"/>
  <c r="H149" i="27"/>
  <c r="I149" i="27"/>
  <c r="J149" i="27"/>
  <c r="K149" i="27"/>
  <c r="E146" i="27"/>
  <c r="F146" i="27"/>
  <c r="G146" i="27"/>
  <c r="H146" i="27"/>
  <c r="I146" i="27"/>
  <c r="J146" i="27"/>
  <c r="K146" i="27"/>
  <c r="D146" i="27"/>
  <c r="G562" i="22"/>
  <c r="J562" i="22"/>
  <c r="K562" i="22"/>
  <c r="E98" i="29"/>
  <c r="F115" i="22" s="1"/>
  <c r="F99" i="29"/>
  <c r="G116" i="22" s="1"/>
  <c r="F98" i="29"/>
  <c r="G115" i="22" s="1"/>
  <c r="G99" i="29"/>
  <c r="G98" i="29"/>
  <c r="H115" i="22"/>
  <c r="H99" i="29"/>
  <c r="I116" i="22" s="1"/>
  <c r="H98" i="29"/>
  <c r="I115" i="22" s="1"/>
  <c r="I99" i="29"/>
  <c r="J116" i="22" s="1"/>
  <c r="I98" i="29"/>
  <c r="J115" i="22" s="1"/>
  <c r="J99" i="29"/>
  <c r="K116" i="22" s="1"/>
  <c r="J98" i="29"/>
  <c r="K115" i="22" s="1"/>
  <c r="K99" i="29"/>
  <c r="L116" i="22" s="1"/>
  <c r="K98" i="29"/>
  <c r="L115" i="22" s="1"/>
  <c r="E114" i="22"/>
  <c r="F114" i="22"/>
  <c r="G114" i="22"/>
  <c r="H114" i="22"/>
  <c r="I114" i="22"/>
  <c r="J114" i="22"/>
  <c r="K114" i="22"/>
  <c r="L114" i="22"/>
  <c r="F101" i="22"/>
  <c r="G101" i="22"/>
  <c r="H101" i="22"/>
  <c r="I101" i="22"/>
  <c r="J101" i="22"/>
  <c r="K101" i="22"/>
  <c r="L101" i="22"/>
  <c r="E101" i="22"/>
  <c r="C108" i="29"/>
  <c r="W17" i="29"/>
  <c r="W16" i="29"/>
  <c r="W13" i="29"/>
  <c r="D105" i="16"/>
  <c r="D106" i="16"/>
  <c r="C18" i="16"/>
  <c r="C16" i="16"/>
  <c r="J80" i="16"/>
  <c r="C29" i="16"/>
  <c r="D29" i="16"/>
  <c r="E29" i="16"/>
  <c r="F29" i="16"/>
  <c r="G29" i="16"/>
  <c r="H29" i="16"/>
  <c r="I29" i="16"/>
  <c r="C9" i="16"/>
  <c r="E27" i="16"/>
  <c r="F90" i="21"/>
  <c r="G90" i="21"/>
  <c r="H90" i="21"/>
  <c r="I90" i="21"/>
  <c r="J90" i="21"/>
  <c r="K90" i="21"/>
  <c r="L90" i="21"/>
  <c r="D41" i="17"/>
  <c r="E41" i="17"/>
  <c r="F41" i="17"/>
  <c r="G41" i="17"/>
  <c r="H41" i="17"/>
  <c r="I41" i="17"/>
  <c r="J41" i="17"/>
  <c r="K41" i="17"/>
  <c r="BS89" i="6"/>
  <c r="BS90" i="6"/>
  <c r="BS91" i="6"/>
  <c r="BS92" i="6"/>
  <c r="BS93" i="6"/>
  <c r="BS94" i="6"/>
  <c r="BS95" i="6"/>
  <c r="BS96" i="6"/>
  <c r="BS97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S112" i="6"/>
  <c r="BS113" i="6"/>
  <c r="BS114" i="6"/>
  <c r="BS115" i="6"/>
  <c r="BS116" i="6"/>
  <c r="BS117" i="6"/>
  <c r="BS118" i="6"/>
  <c r="BS119" i="6"/>
  <c r="BS120" i="6"/>
  <c r="BS121" i="6"/>
  <c r="BS122" i="6"/>
  <c r="BS123" i="6"/>
  <c r="BS124" i="6"/>
  <c r="BS125" i="6"/>
  <c r="BS126" i="6"/>
  <c r="BS127" i="6"/>
  <c r="BS128" i="6"/>
  <c r="BS129" i="6"/>
  <c r="BS130" i="6"/>
  <c r="BS131" i="6"/>
  <c r="BS132" i="6"/>
  <c r="BS133" i="6"/>
  <c r="BS134" i="6"/>
  <c r="BS135" i="6"/>
  <c r="BS136" i="6"/>
  <c r="BS137" i="6"/>
  <c r="BS138" i="6"/>
  <c r="BS139" i="6"/>
  <c r="BS140" i="6"/>
  <c r="BS141" i="6"/>
  <c r="BS142" i="6"/>
  <c r="BS143" i="6"/>
  <c r="BS144" i="6"/>
  <c r="BS145" i="6"/>
  <c r="BS146" i="6"/>
  <c r="BS147" i="6"/>
  <c r="BS148" i="6"/>
  <c r="BS149" i="6"/>
  <c r="BS150" i="6"/>
  <c r="BS151" i="6"/>
  <c r="BS152" i="6"/>
  <c r="BS153" i="6"/>
  <c r="BS154" i="6"/>
  <c r="BS155" i="6"/>
  <c r="BS156" i="6"/>
  <c r="BS157" i="6"/>
  <c r="BS158" i="6"/>
  <c r="BS159" i="6"/>
  <c r="BS160" i="6"/>
  <c r="BS161" i="6"/>
  <c r="BS162" i="6"/>
  <c r="BS163" i="6"/>
  <c r="BS164" i="6"/>
  <c r="BS165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J154" i="6"/>
  <c r="BK154" i="6"/>
  <c r="BL154" i="6"/>
  <c r="BM154" i="6"/>
  <c r="BN154" i="6"/>
  <c r="BO154" i="6"/>
  <c r="BP154" i="6"/>
  <c r="BQ154" i="6"/>
  <c r="BR154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J165" i="6"/>
  <c r="BK165" i="6"/>
  <c r="BL165" i="6"/>
  <c r="BM165" i="6"/>
  <c r="BN165" i="6"/>
  <c r="BO165" i="6"/>
  <c r="BP165" i="6"/>
  <c r="BQ165" i="6"/>
  <c r="BR165" i="6"/>
  <c r="F154" i="6"/>
  <c r="F156" i="6"/>
  <c r="F158" i="6"/>
  <c r="F159" i="6"/>
  <c r="F163" i="6"/>
  <c r="F165" i="6"/>
  <c r="BT155" i="6"/>
  <c r="D84" i="18"/>
  <c r="BV89" i="6"/>
  <c r="F387" i="6" a="1"/>
  <c r="BV90" i="6"/>
  <c r="BV91" i="6"/>
  <c r="BV92" i="6"/>
  <c r="BV93" i="6"/>
  <c r="BV94" i="6"/>
  <c r="BV95" i="6"/>
  <c r="BV96" i="6"/>
  <c r="BV97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V111" i="6"/>
  <c r="BV112" i="6"/>
  <c r="BV113" i="6"/>
  <c r="BV114" i="6"/>
  <c r="BV115" i="6"/>
  <c r="BV116" i="6"/>
  <c r="BV117" i="6"/>
  <c r="BV118" i="6"/>
  <c r="BV119" i="6"/>
  <c r="BV120" i="6"/>
  <c r="BV121" i="6"/>
  <c r="BV122" i="6"/>
  <c r="BV123" i="6"/>
  <c r="BV124" i="6"/>
  <c r="BV125" i="6"/>
  <c r="BV126" i="6"/>
  <c r="BV127" i="6"/>
  <c r="BV128" i="6"/>
  <c r="BV129" i="6"/>
  <c r="BV130" i="6"/>
  <c r="BV131" i="6"/>
  <c r="BV132" i="6"/>
  <c r="BV133" i="6"/>
  <c r="BV134" i="6"/>
  <c r="BV135" i="6"/>
  <c r="BV136" i="6"/>
  <c r="BV137" i="6"/>
  <c r="BV138" i="6"/>
  <c r="BV139" i="6"/>
  <c r="BV140" i="6"/>
  <c r="BV141" i="6"/>
  <c r="BV142" i="6"/>
  <c r="BV143" i="6"/>
  <c r="BV144" i="6"/>
  <c r="BV145" i="6"/>
  <c r="BV146" i="6"/>
  <c r="BV147" i="6"/>
  <c r="BV148" i="6"/>
  <c r="BV149" i="6"/>
  <c r="BV150" i="6"/>
  <c r="BV151" i="6"/>
  <c r="BV152" i="6"/>
  <c r="BV153" i="6"/>
  <c r="BV154" i="6"/>
  <c r="BV155" i="6"/>
  <c r="BV156" i="6"/>
  <c r="BX89" i="6"/>
  <c r="BX90" i="6"/>
  <c r="BX91" i="6"/>
  <c r="BX92" i="6"/>
  <c r="BX93" i="6"/>
  <c r="BX94" i="6"/>
  <c r="BX95" i="6"/>
  <c r="BX96" i="6"/>
  <c r="BX97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X111" i="6"/>
  <c r="BX112" i="6"/>
  <c r="BX113" i="6"/>
  <c r="BX114" i="6"/>
  <c r="BX115" i="6"/>
  <c r="BX116" i="6"/>
  <c r="BX117" i="6"/>
  <c r="BX118" i="6"/>
  <c r="BX119" i="6"/>
  <c r="BX120" i="6"/>
  <c r="BX121" i="6"/>
  <c r="BX122" i="6"/>
  <c r="BX123" i="6"/>
  <c r="BX124" i="6"/>
  <c r="BX125" i="6"/>
  <c r="BX126" i="6"/>
  <c r="BX127" i="6"/>
  <c r="BX128" i="6"/>
  <c r="BX129" i="6"/>
  <c r="BX130" i="6"/>
  <c r="BX131" i="6"/>
  <c r="BX132" i="6"/>
  <c r="BX133" i="6"/>
  <c r="BX134" i="6"/>
  <c r="BX135" i="6"/>
  <c r="BX136" i="6"/>
  <c r="BX137" i="6"/>
  <c r="BX138" i="6"/>
  <c r="BX139" i="6"/>
  <c r="BX140" i="6"/>
  <c r="BX141" i="6"/>
  <c r="BX142" i="6"/>
  <c r="BX143" i="6"/>
  <c r="BX144" i="6"/>
  <c r="BX145" i="6"/>
  <c r="BX146" i="6"/>
  <c r="BX147" i="6"/>
  <c r="BX148" i="6"/>
  <c r="BX149" i="6"/>
  <c r="BX150" i="6"/>
  <c r="BX151" i="6"/>
  <c r="BX152" i="6"/>
  <c r="BX153" i="6"/>
  <c r="BX154" i="6"/>
  <c r="BX155" i="6"/>
  <c r="BX156" i="6"/>
  <c r="BT90" i="6"/>
  <c r="BT91" i="6"/>
  <c r="BT92" i="6"/>
  <c r="BT93" i="6"/>
  <c r="BT94" i="6"/>
  <c r="BT95" i="6"/>
  <c r="BT96" i="6"/>
  <c r="BT97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T112" i="6"/>
  <c r="BT113" i="6"/>
  <c r="BT114" i="6"/>
  <c r="BT115" i="6"/>
  <c r="BT116" i="6"/>
  <c r="BT117" i="6"/>
  <c r="BT118" i="6"/>
  <c r="BT119" i="6"/>
  <c r="BT120" i="6"/>
  <c r="BT121" i="6"/>
  <c r="BT122" i="6"/>
  <c r="BT123" i="6"/>
  <c r="BT124" i="6"/>
  <c r="BT125" i="6"/>
  <c r="BT126" i="6"/>
  <c r="BT127" i="6"/>
  <c r="BT128" i="6"/>
  <c r="BT129" i="6"/>
  <c r="BT130" i="6"/>
  <c r="BT131" i="6"/>
  <c r="BT132" i="6"/>
  <c r="BT133" i="6"/>
  <c r="BT134" i="6"/>
  <c r="BT135" i="6"/>
  <c r="BT136" i="6"/>
  <c r="BT137" i="6"/>
  <c r="BT138" i="6"/>
  <c r="BT139" i="6"/>
  <c r="BT140" i="6"/>
  <c r="BT141" i="6"/>
  <c r="BT142" i="6"/>
  <c r="BT143" i="6"/>
  <c r="BT144" i="6"/>
  <c r="BT145" i="6"/>
  <c r="BT146" i="6"/>
  <c r="BT147" i="6"/>
  <c r="BT148" i="6"/>
  <c r="BT149" i="6"/>
  <c r="BT150" i="6"/>
  <c r="BT151" i="6"/>
  <c r="BT152" i="6"/>
  <c r="BT153" i="6"/>
  <c r="BT154" i="6"/>
  <c r="BT156" i="6"/>
  <c r="BT89" i="6"/>
  <c r="D27" i="16"/>
  <c r="F27" i="16"/>
  <c r="G27" i="16"/>
  <c r="H27" i="16"/>
  <c r="I27" i="16"/>
  <c r="C27" i="16"/>
  <c r="J27" i="16"/>
  <c r="C20" i="16"/>
  <c r="R59" i="17"/>
  <c r="W59" i="17"/>
  <c r="AB59" i="17"/>
  <c r="AG59" i="17"/>
  <c r="AL59" i="17"/>
  <c r="AQ59" i="17"/>
  <c r="AV59" i="17"/>
  <c r="E7" i="17"/>
  <c r="F7" i="17"/>
  <c r="G7" i="17"/>
  <c r="H7" i="17"/>
  <c r="I7" i="17"/>
  <c r="J7" i="17"/>
  <c r="K7" i="17"/>
  <c r="D8" i="17"/>
  <c r="E8" i="17"/>
  <c r="F8" i="17"/>
  <c r="G8" i="17"/>
  <c r="H8" i="17"/>
  <c r="I8" i="17"/>
  <c r="J8" i="17"/>
  <c r="K8" i="17"/>
  <c r="E9" i="17"/>
  <c r="I9" i="17"/>
  <c r="D10" i="17"/>
  <c r="E10" i="17"/>
  <c r="F10" i="17"/>
  <c r="G10" i="17"/>
  <c r="H10" i="17"/>
  <c r="I10" i="17"/>
  <c r="J10" i="17"/>
  <c r="K10" i="17"/>
  <c r="D12" i="17"/>
  <c r="E12" i="17"/>
  <c r="F12" i="17"/>
  <c r="G12" i="17"/>
  <c r="H12" i="17"/>
  <c r="I12" i="17"/>
  <c r="J12" i="17"/>
  <c r="K12" i="17"/>
  <c r="D13" i="17"/>
  <c r="E13" i="17"/>
  <c r="F13" i="17"/>
  <c r="G13" i="17"/>
  <c r="H13" i="17"/>
  <c r="I13" i="17"/>
  <c r="J13" i="17"/>
  <c r="K13" i="17"/>
  <c r="M68" i="17"/>
  <c r="D14" i="17"/>
  <c r="R68" i="17"/>
  <c r="E14" i="17"/>
  <c r="W68" i="17"/>
  <c r="F14" i="17"/>
  <c r="AB68" i="17"/>
  <c r="G14" i="17"/>
  <c r="AG68" i="17"/>
  <c r="H14" i="17"/>
  <c r="AL68" i="17"/>
  <c r="I14" i="17"/>
  <c r="AQ68" i="17"/>
  <c r="J14" i="17"/>
  <c r="AV68" i="17"/>
  <c r="K14" i="17"/>
  <c r="D15" i="17"/>
  <c r="E15" i="17"/>
  <c r="F15" i="17"/>
  <c r="G15" i="17"/>
  <c r="H15" i="17"/>
  <c r="I15" i="17"/>
  <c r="J15" i="17"/>
  <c r="K15" i="17"/>
  <c r="D17" i="17"/>
  <c r="E17" i="17"/>
  <c r="F17" i="17"/>
  <c r="G17" i="17"/>
  <c r="H17" i="17"/>
  <c r="I17" i="17"/>
  <c r="J17" i="17"/>
  <c r="K17" i="17"/>
  <c r="D18" i="17"/>
  <c r="E18" i="17"/>
  <c r="F18" i="17"/>
  <c r="G18" i="17"/>
  <c r="H18" i="17"/>
  <c r="I18" i="17"/>
  <c r="J18" i="17"/>
  <c r="K18" i="17"/>
  <c r="M85" i="17"/>
  <c r="D29" i="17"/>
  <c r="R85" i="17"/>
  <c r="E29" i="17"/>
  <c r="W85" i="17"/>
  <c r="F29" i="17"/>
  <c r="AB85" i="17"/>
  <c r="G29" i="17"/>
  <c r="AG85" i="17"/>
  <c r="H29" i="17"/>
  <c r="AL85" i="17"/>
  <c r="I29" i="17"/>
  <c r="AQ85" i="17"/>
  <c r="J29" i="17"/>
  <c r="AV85" i="17"/>
  <c r="K29" i="17"/>
  <c r="D30" i="17"/>
  <c r="E30" i="17"/>
  <c r="F30" i="17"/>
  <c r="G30" i="17"/>
  <c r="H30" i="17"/>
  <c r="I30" i="17"/>
  <c r="J30" i="17"/>
  <c r="K30" i="17"/>
  <c r="M87" i="17"/>
  <c r="D31" i="17"/>
  <c r="R87" i="17"/>
  <c r="E31" i="17"/>
  <c r="W87" i="17"/>
  <c r="F31" i="17"/>
  <c r="AB87" i="17"/>
  <c r="G31" i="17"/>
  <c r="AG87" i="17"/>
  <c r="H31" i="17"/>
  <c r="AL87" i="17"/>
  <c r="I31" i="17"/>
  <c r="AQ87" i="17"/>
  <c r="J31" i="17"/>
  <c r="AV87" i="17"/>
  <c r="K31" i="17"/>
  <c r="D34" i="17"/>
  <c r="E34" i="17"/>
  <c r="F34" i="17"/>
  <c r="G34" i="17"/>
  <c r="H34" i="17"/>
  <c r="I34" i="17"/>
  <c r="J34" i="17"/>
  <c r="K34" i="17"/>
  <c r="M91" i="17"/>
  <c r="D35" i="17"/>
  <c r="R91" i="17"/>
  <c r="E35" i="17"/>
  <c r="W91" i="17"/>
  <c r="F35" i="17"/>
  <c r="AB91" i="17"/>
  <c r="G35" i="17"/>
  <c r="AG91" i="17"/>
  <c r="H35" i="17"/>
  <c r="AL91" i="17"/>
  <c r="I35" i="17"/>
  <c r="AQ91" i="17"/>
  <c r="J35" i="17"/>
  <c r="AV91" i="17"/>
  <c r="K35" i="17"/>
  <c r="D36" i="17"/>
  <c r="E36" i="17"/>
  <c r="F36" i="17"/>
  <c r="G36" i="17"/>
  <c r="H36" i="17"/>
  <c r="I36" i="17"/>
  <c r="J36" i="17"/>
  <c r="K36" i="17"/>
  <c r="M93" i="17"/>
  <c r="D37" i="17"/>
  <c r="R93" i="17"/>
  <c r="E37" i="17"/>
  <c r="W93" i="17"/>
  <c r="F37" i="17"/>
  <c r="AB93" i="17"/>
  <c r="G37" i="17"/>
  <c r="AG93" i="17"/>
  <c r="H37" i="17"/>
  <c r="AL93" i="17"/>
  <c r="I37" i="17"/>
  <c r="AQ93" i="17"/>
  <c r="J37" i="17"/>
  <c r="AV93" i="17"/>
  <c r="K37" i="17"/>
  <c r="D5" i="17"/>
  <c r="D40" i="17"/>
  <c r="E63" i="17"/>
  <c r="F63" i="17"/>
  <c r="G63" i="17"/>
  <c r="H63" i="17"/>
  <c r="I63" i="17"/>
  <c r="AW63" i="17"/>
  <c r="AX63" i="17"/>
  <c r="AY63" i="17"/>
  <c r="AZ63" i="17"/>
  <c r="BA63" i="17"/>
  <c r="BB63" i="17"/>
  <c r="BC63" i="17"/>
  <c r="BD63" i="17"/>
  <c r="BE63" i="17"/>
  <c r="BF63" i="17"/>
  <c r="D63" i="17"/>
  <c r="E68" i="17"/>
  <c r="E5" i="17"/>
  <c r="E40" i="17"/>
  <c r="F5" i="17"/>
  <c r="F40" i="17"/>
  <c r="G5" i="17"/>
  <c r="G40" i="17"/>
  <c r="H5" i="17"/>
  <c r="H40" i="17"/>
  <c r="I5" i="17"/>
  <c r="I40" i="17"/>
  <c r="J5" i="17"/>
  <c r="J40" i="17"/>
  <c r="K5" i="17"/>
  <c r="K40" i="17"/>
  <c r="K9" i="21"/>
  <c r="K8" i="21"/>
  <c r="K7" i="21"/>
  <c r="K6" i="21"/>
  <c r="K5" i="21"/>
  <c r="P59" i="17"/>
  <c r="Q59" i="17"/>
  <c r="S59" i="17"/>
  <c r="T59" i="17"/>
  <c r="U59" i="17"/>
  <c r="V59" i="17"/>
  <c r="X59" i="17"/>
  <c r="Y59" i="17"/>
  <c r="Z59" i="17"/>
  <c r="AA59" i="17"/>
  <c r="AC59" i="17"/>
  <c r="AD59" i="17"/>
  <c r="AE59" i="17"/>
  <c r="AF59" i="17"/>
  <c r="AH59" i="17"/>
  <c r="AI59" i="17"/>
  <c r="AJ59" i="17"/>
  <c r="AK59" i="17"/>
  <c r="AM59" i="17"/>
  <c r="AN59" i="17"/>
  <c r="AO59" i="17"/>
  <c r="AP59" i="17"/>
  <c r="AR59" i="17"/>
  <c r="AS59" i="17"/>
  <c r="AT59" i="17"/>
  <c r="AU59" i="17"/>
  <c r="AW59" i="17"/>
  <c r="AX59" i="17"/>
  <c r="AY59" i="17"/>
  <c r="AZ59" i="17"/>
  <c r="BA59" i="17"/>
  <c r="BB59" i="17"/>
  <c r="BC59" i="17"/>
  <c r="BD59" i="17"/>
  <c r="BE59" i="17"/>
  <c r="BF59" i="17"/>
  <c r="I93" i="17"/>
  <c r="J93" i="17"/>
  <c r="K93" i="17"/>
  <c r="L93" i="17"/>
  <c r="N93" i="17"/>
  <c r="O93" i="17"/>
  <c r="P93" i="17"/>
  <c r="Q93" i="17"/>
  <c r="S93" i="17"/>
  <c r="T93" i="17"/>
  <c r="U93" i="17"/>
  <c r="V93" i="17"/>
  <c r="X93" i="17"/>
  <c r="Y93" i="17"/>
  <c r="Z93" i="17"/>
  <c r="AA93" i="17"/>
  <c r="AC93" i="17"/>
  <c r="AD93" i="17"/>
  <c r="AE93" i="17"/>
  <c r="AF93" i="17"/>
  <c r="AH93" i="17"/>
  <c r="AI93" i="17"/>
  <c r="AJ93" i="17"/>
  <c r="AK93" i="17"/>
  <c r="AM93" i="17"/>
  <c r="AN93" i="17"/>
  <c r="AO93" i="17"/>
  <c r="AP93" i="17"/>
  <c r="AR93" i="17"/>
  <c r="AS93" i="17"/>
  <c r="AT93" i="17"/>
  <c r="AU93" i="17"/>
  <c r="I91" i="17"/>
  <c r="J91" i="17"/>
  <c r="K91" i="17"/>
  <c r="L91" i="17"/>
  <c r="N91" i="17"/>
  <c r="O91" i="17"/>
  <c r="P91" i="17"/>
  <c r="Q91" i="17"/>
  <c r="S91" i="17"/>
  <c r="T91" i="17"/>
  <c r="U91" i="17"/>
  <c r="V91" i="17"/>
  <c r="X91" i="17"/>
  <c r="Y91" i="17"/>
  <c r="Z91" i="17"/>
  <c r="AA91" i="17"/>
  <c r="AC91" i="17"/>
  <c r="AD91" i="17"/>
  <c r="AE91" i="17"/>
  <c r="AF91" i="17"/>
  <c r="AH91" i="17"/>
  <c r="AI91" i="17"/>
  <c r="AJ91" i="17"/>
  <c r="AK91" i="17"/>
  <c r="AM91" i="17"/>
  <c r="AN91" i="17"/>
  <c r="AO91" i="17"/>
  <c r="AP91" i="17"/>
  <c r="AR91" i="17"/>
  <c r="AS91" i="17"/>
  <c r="AT91" i="17"/>
  <c r="AU91" i="17"/>
  <c r="H93" i="17"/>
  <c r="H85" i="17"/>
  <c r="F68" i="17"/>
  <c r="G68" i="17"/>
  <c r="H68" i="17"/>
  <c r="I68" i="17"/>
  <c r="J68" i="17"/>
  <c r="K68" i="17"/>
  <c r="L68" i="17"/>
  <c r="N68" i="17"/>
  <c r="O68" i="17"/>
  <c r="P68" i="17"/>
  <c r="Q68" i="17"/>
  <c r="S68" i="17"/>
  <c r="T68" i="17"/>
  <c r="U68" i="17"/>
  <c r="V68" i="17"/>
  <c r="X68" i="17"/>
  <c r="Y68" i="17"/>
  <c r="Z68" i="17"/>
  <c r="AA68" i="17"/>
  <c r="AC68" i="17"/>
  <c r="AD68" i="17"/>
  <c r="AE68" i="17"/>
  <c r="AF68" i="17"/>
  <c r="AH68" i="17"/>
  <c r="AI68" i="17"/>
  <c r="AJ68" i="17"/>
  <c r="AK68" i="17"/>
  <c r="AM68" i="17"/>
  <c r="AN68" i="17"/>
  <c r="AO68" i="17"/>
  <c r="AP68" i="17"/>
  <c r="AR68" i="17"/>
  <c r="AS68" i="17"/>
  <c r="AT68" i="17"/>
  <c r="AU68" i="17"/>
  <c r="AW68" i="17"/>
  <c r="AX68" i="17"/>
  <c r="AY68" i="17"/>
  <c r="AZ68" i="17"/>
  <c r="BA68" i="17"/>
  <c r="BB68" i="17"/>
  <c r="BC68" i="17"/>
  <c r="BD68" i="17"/>
  <c r="BE68" i="17"/>
  <c r="BF68" i="17"/>
  <c r="D68" i="17"/>
  <c r="S78" i="18"/>
  <c r="F80" i="18"/>
  <c r="F81" i="18"/>
  <c r="AU87" i="17"/>
  <c r="AT87" i="17"/>
  <c r="AS87" i="17"/>
  <c r="AR87" i="17"/>
  <c r="AP87" i="17"/>
  <c r="AO87" i="17"/>
  <c r="AN87" i="17"/>
  <c r="AM87" i="17"/>
  <c r="AK87" i="17"/>
  <c r="AJ87" i="17"/>
  <c r="AI87" i="17"/>
  <c r="AH87" i="17"/>
  <c r="AF87" i="17"/>
  <c r="AE87" i="17"/>
  <c r="AD87" i="17"/>
  <c r="AC87" i="17"/>
  <c r="AA87" i="17"/>
  <c r="Z87" i="17"/>
  <c r="Y87" i="17"/>
  <c r="X87" i="17"/>
  <c r="V87" i="17"/>
  <c r="U87" i="17"/>
  <c r="T87" i="17"/>
  <c r="S87" i="17"/>
  <c r="Q87" i="17"/>
  <c r="P87" i="17"/>
  <c r="O87" i="17"/>
  <c r="N87" i="17"/>
  <c r="L87" i="17"/>
  <c r="K87" i="17"/>
  <c r="J87" i="17"/>
  <c r="I87" i="17"/>
  <c r="H87" i="17"/>
  <c r="I85" i="17"/>
  <c r="J85" i="17"/>
  <c r="K85" i="17"/>
  <c r="L85" i="17"/>
  <c r="N85" i="17"/>
  <c r="O85" i="17"/>
  <c r="P85" i="17"/>
  <c r="Q85" i="17"/>
  <c r="S85" i="17"/>
  <c r="T85" i="17"/>
  <c r="U85" i="17"/>
  <c r="V85" i="17"/>
  <c r="X85" i="17"/>
  <c r="Y85" i="17"/>
  <c r="Z85" i="17"/>
  <c r="AA85" i="17"/>
  <c r="AC85" i="17"/>
  <c r="AD85" i="17"/>
  <c r="AE85" i="17"/>
  <c r="AF85" i="17"/>
  <c r="AH85" i="17"/>
  <c r="AI85" i="17"/>
  <c r="AJ85" i="17"/>
  <c r="AK85" i="17"/>
  <c r="AM85" i="17"/>
  <c r="AN85" i="17"/>
  <c r="AO85" i="17"/>
  <c r="AP85" i="17"/>
  <c r="AR85" i="17"/>
  <c r="AS85" i="17"/>
  <c r="AT85" i="17"/>
  <c r="AU85" i="17"/>
  <c r="E78" i="17"/>
  <c r="F78" i="17"/>
  <c r="G78" i="17"/>
  <c r="H78" i="17"/>
  <c r="I78" i="17"/>
  <c r="E79" i="17"/>
  <c r="F79" i="17"/>
  <c r="G79" i="17"/>
  <c r="H79" i="17"/>
  <c r="I79" i="17"/>
  <c r="D78" i="17"/>
  <c r="D79" i="17"/>
  <c r="D95" i="16"/>
  <c r="E95" i="16"/>
  <c r="F95" i="16"/>
  <c r="G95" i="16"/>
  <c r="H95" i="16"/>
  <c r="I95" i="16"/>
  <c r="C95" i="16"/>
  <c r="L522" i="22"/>
  <c r="K522" i="22"/>
  <c r="J522" i="22"/>
  <c r="I522" i="22"/>
  <c r="H522" i="22"/>
  <c r="G522" i="22"/>
  <c r="F522" i="22"/>
  <c r="E522" i="22"/>
  <c r="L553" i="22"/>
  <c r="K553" i="22"/>
  <c r="J553" i="22"/>
  <c r="I553" i="22"/>
  <c r="H553" i="22"/>
  <c r="G553" i="22"/>
  <c r="F553" i="22"/>
  <c r="E553" i="22"/>
  <c r="J552" i="22"/>
  <c r="J549" i="22"/>
  <c r="J45" i="32"/>
  <c r="G60" i="32"/>
  <c r="H601" i="22"/>
  <c r="F42" i="32"/>
  <c r="G25" i="32"/>
  <c r="K25" i="32"/>
  <c r="K66" i="32"/>
  <c r="L613" i="22"/>
  <c r="G64" i="32"/>
  <c r="H608" i="22"/>
  <c r="G42" i="32"/>
  <c r="K45" i="32"/>
  <c r="G78" i="32"/>
  <c r="H637" i="22"/>
  <c r="K79" i="32"/>
  <c r="L641" i="22"/>
  <c r="K78" i="32"/>
  <c r="L637" i="22"/>
  <c r="K62" i="32"/>
  <c r="L606" i="22"/>
  <c r="K61" i="32"/>
  <c r="L605" i="22"/>
  <c r="K81" i="32"/>
  <c r="K76" i="32"/>
  <c r="L635" i="22"/>
  <c r="K64" i="32"/>
  <c r="L608" i="22"/>
  <c r="E61" i="32"/>
  <c r="F605" i="22"/>
  <c r="G61" i="32"/>
  <c r="H605" i="22"/>
  <c r="F81" i="32"/>
  <c r="K77" i="32"/>
  <c r="L636" i="22"/>
  <c r="K80" i="32"/>
  <c r="L643" i="22"/>
  <c r="L642" i="22"/>
  <c r="K60" i="32"/>
  <c r="I66" i="32"/>
  <c r="D60" i="32"/>
  <c r="E601" i="22"/>
  <c r="G75" i="32"/>
  <c r="H634" i="22"/>
  <c r="E62" i="32"/>
  <c r="F606" i="22"/>
  <c r="H65" i="32"/>
  <c r="I612" i="22"/>
  <c r="H75" i="32"/>
  <c r="I634" i="22"/>
  <c r="H81" i="32"/>
  <c r="E67" i="32"/>
  <c r="E63" i="32"/>
  <c r="F607" i="22"/>
  <c r="J74" i="32"/>
  <c r="J79" i="32"/>
  <c r="K641" i="22"/>
  <c r="J76" i="32"/>
  <c r="K635" i="22"/>
  <c r="J77" i="32"/>
  <c r="K636" i="22"/>
  <c r="E552" i="22"/>
  <c r="G552" i="22"/>
  <c r="I552" i="22"/>
  <c r="K552" i="22"/>
  <c r="J213" i="34"/>
  <c r="K194" i="22" s="1"/>
  <c r="J219" i="34"/>
  <c r="K202" i="22" s="1"/>
  <c r="J215" i="34"/>
  <c r="K198" i="22" s="1"/>
  <c r="J226" i="34"/>
  <c r="K209" i="22"/>
  <c r="F196" i="22"/>
  <c r="J196" i="22"/>
  <c r="I206" i="34"/>
  <c r="J187" i="22"/>
  <c r="E206" i="34"/>
  <c r="F187" i="22"/>
  <c r="E204" i="34"/>
  <c r="F185" i="22"/>
  <c r="E205" i="34"/>
  <c r="F186" i="22"/>
  <c r="J64" i="32"/>
  <c r="K608" i="22"/>
  <c r="F76" i="32"/>
  <c r="G635" i="22"/>
  <c r="F77" i="32"/>
  <c r="G636" i="22"/>
  <c r="F78" i="32"/>
  <c r="G637" i="22"/>
  <c r="J81" i="32"/>
  <c r="J75" i="32"/>
  <c r="K634" i="22"/>
  <c r="J65" i="32"/>
  <c r="K612" i="22"/>
  <c r="H77" i="32"/>
  <c r="I636" i="22"/>
  <c r="H79" i="32"/>
  <c r="I641" i="22"/>
  <c r="D67" i="32"/>
  <c r="F74" i="32"/>
  <c r="G630" i="22"/>
  <c r="K63" i="32"/>
  <c r="L607" i="22"/>
  <c r="F79" i="32"/>
  <c r="G641" i="22"/>
  <c r="G62" i="32"/>
  <c r="H606" i="22"/>
  <c r="K67" i="32"/>
  <c r="J61" i="32"/>
  <c r="K605" i="22"/>
  <c r="J62" i="32"/>
  <c r="K606" i="22"/>
  <c r="H80" i="32"/>
  <c r="I642" i="22"/>
  <c r="H78" i="32"/>
  <c r="I637" i="22"/>
  <c r="F75" i="32"/>
  <c r="G634" i="22"/>
  <c r="F60" i="32"/>
  <c r="G601" i="22"/>
  <c r="J80" i="32"/>
  <c r="D66" i="32"/>
  <c r="H76" i="32"/>
  <c r="I635" i="22"/>
  <c r="I63" i="32"/>
  <c r="J607" i="22"/>
  <c r="E74" i="32"/>
  <c r="F630" i="22"/>
  <c r="G67" i="32"/>
  <c r="G65" i="32"/>
  <c r="H612" i="22"/>
  <c r="I62" i="32"/>
  <c r="J606" i="22"/>
  <c r="K642" i="22"/>
  <c r="K643" i="22"/>
  <c r="K644" i="22"/>
  <c r="G644" i="22"/>
  <c r="E66" i="32"/>
  <c r="J614" i="22"/>
  <c r="K630" i="22"/>
  <c r="L601" i="22"/>
  <c r="L614" i="22"/>
  <c r="L644" i="22"/>
  <c r="H643" i="22"/>
  <c r="F88" i="22"/>
  <c r="F47" i="21"/>
  <c r="D134" i="27"/>
  <c r="F552" i="22"/>
  <c r="H552" i="22"/>
  <c r="F135" i="27"/>
  <c r="J556" i="22"/>
  <c r="L552" i="22"/>
  <c r="F615" i="22"/>
  <c r="H88" i="22"/>
  <c r="E88" i="22"/>
  <c r="E117" i="22"/>
  <c r="G88" i="22"/>
  <c r="F117" i="22"/>
  <c r="I88" i="22"/>
  <c r="J88" i="22"/>
  <c r="G117" i="22"/>
  <c r="K88" i="22"/>
  <c r="H116" i="22"/>
  <c r="H117" i="22"/>
  <c r="I117" i="22"/>
  <c r="J87" i="22"/>
  <c r="J117" i="22"/>
  <c r="L117" i="22"/>
  <c r="K117" i="22"/>
  <c r="J233" i="34"/>
  <c r="K216" i="22" s="1"/>
  <c r="K206" i="34"/>
  <c r="L187" i="22"/>
  <c r="I231" i="34"/>
  <c r="J214" i="22" s="1"/>
  <c r="G205" i="34"/>
  <c r="H186" i="22"/>
  <c r="G204" i="34"/>
  <c r="H185" i="22"/>
  <c r="H232" i="34"/>
  <c r="I215" i="22" s="1"/>
  <c r="D205" i="34"/>
  <c r="E186" i="22"/>
  <c r="D204" i="34"/>
  <c r="E185" i="22"/>
  <c r="F387" i="6"/>
  <c r="G387" i="6"/>
  <c r="O387" i="6"/>
  <c r="W387" i="6"/>
  <c r="AE387" i="6"/>
  <c r="AM387" i="6"/>
  <c r="AU387" i="6"/>
  <c r="BC387" i="6"/>
  <c r="BK387" i="6"/>
  <c r="K387" i="6"/>
  <c r="S387" i="6"/>
  <c r="AA387" i="6"/>
  <c r="AI387" i="6"/>
  <c r="AQ387" i="6"/>
  <c r="AY387" i="6"/>
  <c r="BG387" i="6"/>
  <c r="BO387" i="6"/>
  <c r="I387" i="6"/>
  <c r="Q387" i="6"/>
  <c r="Y387" i="6"/>
  <c r="AG387" i="6"/>
  <c r="AO387" i="6"/>
  <c r="AW387" i="6"/>
  <c r="BE387" i="6"/>
  <c r="BM387" i="6"/>
  <c r="AC387" i="6"/>
  <c r="BI387" i="6"/>
  <c r="M387" i="6"/>
  <c r="U387" i="6"/>
  <c r="AK387" i="6"/>
  <c r="BQ387" i="6"/>
  <c r="AS387" i="6"/>
  <c r="BA387" i="6"/>
  <c r="V79" i="18"/>
  <c r="V80" i="18"/>
  <c r="V81" i="18"/>
  <c r="C8" i="16"/>
  <c r="F79" i="18"/>
  <c r="C5" i="16"/>
  <c r="D79" i="18"/>
  <c r="G79" i="18"/>
  <c r="C6" i="16"/>
  <c r="D80" i="18"/>
  <c r="G80" i="18"/>
  <c r="E75" i="32"/>
  <c r="F634" i="22"/>
  <c r="E78" i="32"/>
  <c r="F637" i="22"/>
  <c r="E79" i="32"/>
  <c r="F641" i="22"/>
  <c r="E77" i="32"/>
  <c r="F636" i="22"/>
  <c r="E80" i="32"/>
  <c r="I232" i="6"/>
  <c r="H299" i="6"/>
  <c r="H283" i="6"/>
  <c r="I216" i="6"/>
  <c r="E615" i="22"/>
  <c r="E614" i="22"/>
  <c r="D61" i="32"/>
  <c r="E605" i="22"/>
  <c r="D65" i="32"/>
  <c r="E612" i="22"/>
  <c r="D62" i="32"/>
  <c r="E606" i="22"/>
  <c r="D64" i="32"/>
  <c r="E608" i="22"/>
  <c r="H61" i="32"/>
  <c r="I605" i="22"/>
  <c r="H64" i="32"/>
  <c r="I608" i="22"/>
  <c r="H66" i="32"/>
  <c r="H67" i="32"/>
  <c r="D75" i="32"/>
  <c r="E634" i="22"/>
  <c r="D77" i="32"/>
  <c r="E636" i="22"/>
  <c r="D78" i="32"/>
  <c r="E637" i="22"/>
  <c r="D80" i="32"/>
  <c r="D74" i="32"/>
  <c r="E630" i="22"/>
  <c r="D81" i="32"/>
  <c r="D79" i="32"/>
  <c r="E641" i="22"/>
  <c r="A436" i="6"/>
  <c r="A446" i="6"/>
  <c r="A456" i="6"/>
  <c r="A466" i="6"/>
  <c r="A476" i="6"/>
  <c r="A486" i="6"/>
  <c r="A496" i="6"/>
  <c r="A506" i="6"/>
  <c r="A516" i="6"/>
  <c r="A526" i="6"/>
  <c r="E76" i="32"/>
  <c r="F635" i="22"/>
  <c r="H62" i="32"/>
  <c r="I606" i="22"/>
  <c r="F63" i="32"/>
  <c r="G607" i="22"/>
  <c r="F67" i="32"/>
  <c r="F65" i="32"/>
  <c r="G612" i="22"/>
  <c r="F64" i="32"/>
  <c r="G608" i="22"/>
  <c r="F61" i="32"/>
  <c r="G605" i="22"/>
  <c r="I60" i="32"/>
  <c r="J601" i="22"/>
  <c r="I61" i="32"/>
  <c r="J605" i="22"/>
  <c r="I67" i="32"/>
  <c r="C11" i="16"/>
  <c r="E79" i="18"/>
  <c r="I77" i="32"/>
  <c r="J636" i="22"/>
  <c r="I79" i="32"/>
  <c r="J641" i="22"/>
  <c r="I81" i="32"/>
  <c r="I78" i="32"/>
  <c r="J637" i="22"/>
  <c r="I75" i="32"/>
  <c r="J634" i="22"/>
  <c r="I76" i="32"/>
  <c r="J635" i="22"/>
  <c r="J29" i="16"/>
  <c r="C22" i="16"/>
  <c r="D81" i="18"/>
  <c r="F89" i="32"/>
  <c r="F613" i="22"/>
  <c r="F614" i="22"/>
  <c r="E613" i="22"/>
  <c r="I644" i="22"/>
  <c r="I643" i="22"/>
  <c r="F62" i="32"/>
  <c r="G606" i="22"/>
  <c r="I74" i="32"/>
  <c r="J630" i="22"/>
  <c r="J613" i="22"/>
  <c r="J615" i="22"/>
  <c r="H60" i="32"/>
  <c r="I601" i="22"/>
  <c r="H63" i="32"/>
  <c r="I607" i="22"/>
  <c r="E81" i="18"/>
  <c r="C12" i="16"/>
  <c r="E80" i="18"/>
  <c r="F378" i="6" a="1"/>
  <c r="F396" i="6" a="1"/>
  <c r="P396" i="6"/>
  <c r="I135" i="27"/>
  <c r="H642" i="22"/>
  <c r="H644" i="22"/>
  <c r="H42" i="32"/>
  <c r="H25" i="32"/>
  <c r="D63" i="32"/>
  <c r="E607" i="22"/>
  <c r="G642" i="22"/>
  <c r="G643" i="22"/>
  <c r="I301" i="6"/>
  <c r="J234" i="6"/>
  <c r="J302" i="6"/>
  <c r="H285" i="6"/>
  <c r="I218" i="6"/>
  <c r="BR172" i="6"/>
  <c r="BR240" i="6"/>
  <c r="BQ239" i="6"/>
  <c r="K296" i="6"/>
  <c r="L229" i="6"/>
  <c r="K295" i="6"/>
  <c r="L228" i="6"/>
  <c r="I295" i="6"/>
  <c r="J228" i="6"/>
  <c r="G287" i="6"/>
  <c r="H220" i="6"/>
  <c r="H219" i="6"/>
  <c r="G286" i="6"/>
  <c r="E65" i="32"/>
  <c r="F612" i="22"/>
  <c r="I65" i="32"/>
  <c r="J612" i="22"/>
  <c r="G77" i="32"/>
  <c r="H636" i="22"/>
  <c r="E60" i="32"/>
  <c r="F601" i="22"/>
  <c r="I64" i="32"/>
  <c r="J608" i="22"/>
  <c r="G297" i="6"/>
  <c r="H230" i="6"/>
  <c r="N229" i="6"/>
  <c r="M296" i="6"/>
  <c r="I45" i="32"/>
  <c r="E25" i="32"/>
  <c r="I25" i="32"/>
  <c r="J66" i="32"/>
  <c r="L615" i="22"/>
  <c r="J63" i="32"/>
  <c r="K607" i="22"/>
  <c r="G81" i="32"/>
  <c r="G76" i="32"/>
  <c r="H635" i="22"/>
  <c r="G79" i="32"/>
  <c r="H641" i="22"/>
  <c r="J60" i="32"/>
  <c r="K601" i="22"/>
  <c r="D42" i="32"/>
  <c r="D45" i="32"/>
  <c r="D92" i="32"/>
  <c r="G301" i="6"/>
  <c r="H234" i="6"/>
  <c r="H302" i="6"/>
  <c r="G294" i="6"/>
  <c r="H227" i="6"/>
  <c r="I292" i="6"/>
  <c r="BQ240" i="6"/>
  <c r="BN240" i="6"/>
  <c r="H300" i="6"/>
  <c r="H228" i="6"/>
  <c r="I294" i="6"/>
  <c r="H293" i="6"/>
  <c r="G292" i="6"/>
  <c r="H222" i="6"/>
  <c r="H289" i="6"/>
  <c r="G288" i="6"/>
  <c r="K219" i="6"/>
  <c r="I219" i="6"/>
  <c r="G281" i="6"/>
  <c r="H214" i="6"/>
  <c r="H277" i="6"/>
  <c r="I210" i="6"/>
  <c r="I281" i="6"/>
  <c r="J214" i="6"/>
  <c r="I208" i="6"/>
  <c r="H275" i="6"/>
  <c r="I280" i="6"/>
  <c r="J213" i="6"/>
  <c r="G280" i="6"/>
  <c r="H213" i="6"/>
  <c r="H278" i="6"/>
  <c r="I211" i="6"/>
  <c r="H276" i="6"/>
  <c r="I209" i="6"/>
  <c r="M275" i="6"/>
  <c r="N208" i="6"/>
  <c r="K274" i="6"/>
  <c r="L207" i="6"/>
  <c r="H233" i="6"/>
  <c r="G299" i="6"/>
  <c r="H229" i="6"/>
  <c r="J223" i="6"/>
  <c r="I285" i="6"/>
  <c r="G285" i="6"/>
  <c r="G283" i="6"/>
  <c r="J208" i="6"/>
  <c r="H268" i="6"/>
  <c r="I201" i="6"/>
  <c r="I194" i="6"/>
  <c r="AM173" i="6"/>
  <c r="AL240" i="6"/>
  <c r="I206" i="6"/>
  <c r="I196" i="6"/>
  <c r="H263" i="6"/>
  <c r="H272" i="6"/>
  <c r="I205" i="6"/>
  <c r="G253" i="6"/>
  <c r="H186" i="6"/>
  <c r="I270" i="6"/>
  <c r="J203" i="6"/>
  <c r="G273" i="6"/>
  <c r="H266" i="6"/>
  <c r="I199" i="6"/>
  <c r="H265" i="6"/>
  <c r="I198" i="6"/>
  <c r="H264" i="6"/>
  <c r="I197" i="6"/>
  <c r="G255" i="6"/>
  <c r="K187" i="6"/>
  <c r="J254" i="6"/>
  <c r="G242" i="6"/>
  <c r="H175" i="6"/>
  <c r="H258" i="6"/>
  <c r="I191" i="6"/>
  <c r="G256" i="6"/>
  <c r="H189" i="6"/>
  <c r="I250" i="6"/>
  <c r="J183" i="6"/>
  <c r="Q239" i="6"/>
  <c r="R172" i="6"/>
  <c r="O239" i="6"/>
  <c r="P172" i="6"/>
  <c r="J272" i="6"/>
  <c r="G267" i="6"/>
  <c r="H199" i="6"/>
  <c r="G266" i="6"/>
  <c r="I192" i="6"/>
  <c r="G254" i="6"/>
  <c r="H187" i="6"/>
  <c r="AT240" i="6"/>
  <c r="AU173" i="6"/>
  <c r="AC240" i="6"/>
  <c r="AD173" i="6"/>
  <c r="U240" i="6"/>
  <c r="V173" i="6"/>
  <c r="BE239" i="6"/>
  <c r="BF172" i="6"/>
  <c r="BC239" i="6"/>
  <c r="BD172" i="6"/>
  <c r="AN239" i="6"/>
  <c r="AO172" i="6"/>
  <c r="AL239" i="6"/>
  <c r="AM172" i="6"/>
  <c r="AF239" i="6"/>
  <c r="AG172" i="6"/>
  <c r="AD239" i="6"/>
  <c r="AE172" i="6"/>
  <c r="I271" i="6"/>
  <c r="H270" i="6"/>
  <c r="G268" i="6"/>
  <c r="G264" i="6"/>
  <c r="G263" i="6"/>
  <c r="H262" i="6"/>
  <c r="G261" i="6"/>
  <c r="G260" i="6"/>
  <c r="G259" i="6"/>
  <c r="H192" i="6"/>
  <c r="BL239" i="6"/>
  <c r="BM172" i="6"/>
  <c r="BJ239" i="6"/>
  <c r="BK172" i="6"/>
  <c r="Y239" i="6"/>
  <c r="Z172" i="6"/>
  <c r="W239" i="6"/>
  <c r="X172" i="6"/>
  <c r="H239" i="6"/>
  <c r="I172" i="6"/>
  <c r="G272" i="6"/>
  <c r="G269" i="6"/>
  <c r="G265" i="6"/>
  <c r="I195" i="6"/>
  <c r="J185" i="6"/>
  <c r="H185" i="6"/>
  <c r="BI240" i="6"/>
  <c r="BJ173" i="6"/>
  <c r="BA240" i="6"/>
  <c r="BB173" i="6"/>
  <c r="N240" i="6"/>
  <c r="O173" i="6"/>
  <c r="L240" i="6"/>
  <c r="M173" i="6"/>
  <c r="AW239" i="6"/>
  <c r="AX172" i="6"/>
  <c r="AU239" i="6"/>
  <c r="AV172" i="6"/>
  <c r="H188" i="6"/>
  <c r="G247" i="6"/>
  <c r="H180" i="6"/>
  <c r="I243" i="6"/>
  <c r="J176" i="6"/>
  <c r="G243" i="6"/>
  <c r="H176" i="6"/>
  <c r="H244" i="6"/>
  <c r="BJ240" i="6"/>
  <c r="BK173" i="6"/>
  <c r="AS240" i="6"/>
  <c r="AT173" i="6"/>
  <c r="AD240" i="6"/>
  <c r="AE173" i="6"/>
  <c r="M240" i="6"/>
  <c r="N173" i="6"/>
  <c r="K240" i="6"/>
  <c r="L173" i="6"/>
  <c r="BD239" i="6"/>
  <c r="BE172" i="6"/>
  <c r="BB239" i="6"/>
  <c r="BC172" i="6"/>
  <c r="AO239" i="6"/>
  <c r="AP172" i="6"/>
  <c r="AM239" i="6"/>
  <c r="AN172" i="6"/>
  <c r="X239" i="6"/>
  <c r="Y172" i="6"/>
  <c r="V239" i="6"/>
  <c r="W172" i="6"/>
  <c r="I239" i="6"/>
  <c r="J172" i="6"/>
  <c r="G239" i="6"/>
  <c r="H172" i="6"/>
  <c r="AD43" i="34"/>
  <c r="J199" i="34"/>
  <c r="K180" i="22" s="1"/>
  <c r="F199" i="34"/>
  <c r="G180" i="22" s="1"/>
  <c r="E226" i="34"/>
  <c r="F209" i="22" s="1"/>
  <c r="D226" i="34"/>
  <c r="E209" i="22" s="1"/>
  <c r="G257" i="6"/>
  <c r="I253" i="6"/>
  <c r="BC173" i="6"/>
  <c r="BB240" i="6"/>
  <c r="AK240" i="6"/>
  <c r="AL173" i="6"/>
  <c r="W173" i="6"/>
  <c r="V240" i="6"/>
  <c r="BK239" i="6"/>
  <c r="BL172" i="6"/>
  <c r="AV239" i="6"/>
  <c r="AW172" i="6"/>
  <c r="AT239" i="6"/>
  <c r="AU172" i="6"/>
  <c r="AG239" i="6"/>
  <c r="AH172" i="6"/>
  <c r="AE239" i="6"/>
  <c r="AF172" i="6"/>
  <c r="P239" i="6"/>
  <c r="Q172" i="6"/>
  <c r="N239" i="6"/>
  <c r="O172" i="6"/>
  <c r="P173" i="6"/>
  <c r="P241" i="6"/>
  <c r="K216" i="34"/>
  <c r="L199" i="22" s="1"/>
  <c r="H224" i="34"/>
  <c r="I207" i="22" s="1"/>
  <c r="H213" i="34"/>
  <c r="I194" i="22" s="1"/>
  <c r="H216" i="34"/>
  <c r="I199" i="22" s="1"/>
  <c r="E199" i="34"/>
  <c r="F180" i="22" s="1"/>
  <c r="E198" i="34"/>
  <c r="F179" i="22" s="1"/>
  <c r="E195" i="34"/>
  <c r="F176" i="22" s="1"/>
  <c r="I197" i="34"/>
  <c r="J178" i="22" s="1"/>
  <c r="I194" i="34"/>
  <c r="J175" i="22" s="1"/>
  <c r="I198" i="34"/>
  <c r="J179" i="22" s="1"/>
  <c r="G251" i="6"/>
  <c r="G250" i="6"/>
  <c r="H247" i="6"/>
  <c r="H246" i="6"/>
  <c r="G245" i="6"/>
  <c r="BG239" i="6"/>
  <c r="AZ239" i="6"/>
  <c r="AX239" i="6"/>
  <c r="AQ239" i="6"/>
  <c r="AJ239" i="6"/>
  <c r="AH239" i="6"/>
  <c r="AA239" i="6"/>
  <c r="T239" i="6"/>
  <c r="R239" i="6"/>
  <c r="K239" i="6"/>
  <c r="H251" i="6"/>
  <c r="H249" i="6"/>
  <c r="G248" i="6"/>
  <c r="I247" i="6"/>
  <c r="G246" i="6"/>
  <c r="G244" i="6"/>
  <c r="G240" i="6"/>
  <c r="BH239" i="6"/>
  <c r="BF239" i="6"/>
  <c r="AY239" i="6"/>
  <c r="AR239" i="6"/>
  <c r="AP239" i="6"/>
  <c r="AI239" i="6"/>
  <c r="AB239" i="6"/>
  <c r="Z239" i="6"/>
  <c r="S239" i="6"/>
  <c r="L239" i="6"/>
  <c r="J239" i="6"/>
  <c r="K222" i="34"/>
  <c r="L205" i="22" s="1"/>
  <c r="K214" i="34"/>
  <c r="L196" i="22" s="1"/>
  <c r="H220" i="34"/>
  <c r="I203" i="22" s="1"/>
  <c r="H206" i="34"/>
  <c r="I187" i="22"/>
  <c r="H205" i="34"/>
  <c r="I186" i="22"/>
  <c r="I226" i="34"/>
  <c r="J209" i="22" s="1"/>
  <c r="I218" i="34"/>
  <c r="J201" i="22" s="1"/>
  <c r="H226" i="34"/>
  <c r="I209" i="22" s="1"/>
  <c r="H222" i="34"/>
  <c r="I205" i="22" s="1"/>
  <c r="H223" i="34"/>
  <c r="I206" i="22" s="1"/>
  <c r="F205" i="34"/>
  <c r="G186" i="22"/>
  <c r="F206" i="34"/>
  <c r="G187" i="22"/>
  <c r="D199" i="34"/>
  <c r="E180" i="22" s="1"/>
  <c r="H74" i="31"/>
  <c r="H115" i="31"/>
  <c r="I449" i="22"/>
  <c r="H92" i="31"/>
  <c r="K75" i="27"/>
  <c r="K49" i="27"/>
  <c r="G75" i="27"/>
  <c r="G49" i="27"/>
  <c r="J205" i="34"/>
  <c r="K186" i="22"/>
  <c r="J206" i="34"/>
  <c r="K187" i="22"/>
  <c r="J204" i="34"/>
  <c r="K185" i="22"/>
  <c r="D206" i="34"/>
  <c r="E187" i="22"/>
  <c r="F204" i="34"/>
  <c r="G185" i="22"/>
  <c r="K98" i="31"/>
  <c r="E75" i="27"/>
  <c r="E227" i="34"/>
  <c r="F210" i="22" s="1"/>
  <c r="J216" i="34"/>
  <c r="K199" i="22" s="1"/>
  <c r="I62" i="31"/>
  <c r="I101" i="31"/>
  <c r="J416" i="22"/>
  <c r="G92" i="31"/>
  <c r="I227" i="34"/>
  <c r="J210" i="22" s="1"/>
  <c r="E62" i="31"/>
  <c r="E92" i="31"/>
  <c r="I92" i="31"/>
  <c r="I112" i="31"/>
  <c r="J444" i="22"/>
  <c r="BR173" i="6"/>
  <c r="BR241" i="6"/>
  <c r="BO173" i="6"/>
  <c r="BP172" i="6"/>
  <c r="BO172" i="6"/>
  <c r="G249" i="6"/>
  <c r="H182" i="6"/>
  <c r="J248" i="6"/>
  <c r="K181" i="6"/>
  <c r="I248" i="6"/>
  <c r="J181" i="6"/>
  <c r="I177" i="6"/>
  <c r="H177" i="6"/>
  <c r="Q174" i="6"/>
  <c r="I174" i="6"/>
  <c r="BI173" i="6"/>
  <c r="BH173" i="6"/>
  <c r="BA173" i="6"/>
  <c r="AZ173" i="6"/>
  <c r="AS173" i="6"/>
  <c r="AR173" i="6"/>
  <c r="AK173" i="6"/>
  <c r="AJ173" i="6"/>
  <c r="AC173" i="6"/>
  <c r="AB173" i="6"/>
  <c r="U173" i="6"/>
  <c r="T173" i="6"/>
  <c r="O240" i="6"/>
  <c r="BR378" i="6"/>
  <c r="BL378" i="6"/>
  <c r="BJ378" i="6"/>
  <c r="BD378" i="6"/>
  <c r="BB378" i="6"/>
  <c r="AV378" i="6"/>
  <c r="AT378" i="6"/>
  <c r="AN378" i="6"/>
  <c r="AL378" i="6"/>
  <c r="AF378" i="6"/>
  <c r="AD378" i="6"/>
  <c r="X378" i="6"/>
  <c r="V378" i="6"/>
  <c r="P378" i="6"/>
  <c r="N378" i="6"/>
  <c r="H378" i="6"/>
  <c r="BR387" i="6"/>
  <c r="BP387" i="6"/>
  <c r="BN387" i="6"/>
  <c r="BL387" i="6"/>
  <c r="BJ387" i="6"/>
  <c r="BH387" i="6"/>
  <c r="BF387" i="6"/>
  <c r="BD387" i="6"/>
  <c r="BB387" i="6"/>
  <c r="AZ387" i="6"/>
  <c r="AX387" i="6"/>
  <c r="AV387" i="6"/>
  <c r="AT387" i="6"/>
  <c r="AR387" i="6"/>
  <c r="AP387" i="6"/>
  <c r="AN387" i="6"/>
  <c r="AL387" i="6"/>
  <c r="AJ387" i="6"/>
  <c r="AH387" i="6"/>
  <c r="AF387" i="6"/>
  <c r="AD387" i="6"/>
  <c r="AB387" i="6"/>
  <c r="Z387" i="6"/>
  <c r="X387" i="6"/>
  <c r="V387" i="6"/>
  <c r="T387" i="6"/>
  <c r="R387" i="6"/>
  <c r="P387" i="6"/>
  <c r="N387" i="6"/>
  <c r="L387" i="6"/>
  <c r="J387" i="6"/>
  <c r="H387" i="6"/>
  <c r="BR396" i="6"/>
  <c r="BJ396" i="6"/>
  <c r="BB396" i="6"/>
  <c r="AT396" i="6"/>
  <c r="AL396" i="6"/>
  <c r="AD396" i="6"/>
  <c r="V396" i="6"/>
  <c r="N396" i="6"/>
  <c r="F28" i="32"/>
  <c r="G28" i="32"/>
  <c r="D68" i="32"/>
  <c r="E616" i="22"/>
  <c r="F66" i="32"/>
  <c r="G68" i="32"/>
  <c r="H616" i="22"/>
  <c r="I68" i="32"/>
  <c r="J616" i="22"/>
  <c r="J68" i="32"/>
  <c r="K616" i="22"/>
  <c r="K65" i="32"/>
  <c r="L612" i="22"/>
  <c r="J42" i="32"/>
  <c r="D76" i="32"/>
  <c r="E635" i="22"/>
  <c r="E81" i="32"/>
  <c r="F82" i="32"/>
  <c r="G645" i="22"/>
  <c r="H74" i="32"/>
  <c r="I82" i="32"/>
  <c r="J645" i="22"/>
  <c r="K82" i="32"/>
  <c r="L645" i="22"/>
  <c r="H28" i="32"/>
  <c r="I28" i="32"/>
  <c r="E68" i="32"/>
  <c r="F616" i="22"/>
  <c r="F68" i="32"/>
  <c r="G616" i="22"/>
  <c r="G66" i="32"/>
  <c r="H68" i="32"/>
  <c r="I616" i="22"/>
  <c r="K68" i="32"/>
  <c r="L616" i="22"/>
  <c r="D82" i="32"/>
  <c r="E645" i="22"/>
  <c r="E82" i="32"/>
  <c r="F645" i="22"/>
  <c r="G82" i="32"/>
  <c r="H645" i="22"/>
  <c r="H82" i="32"/>
  <c r="I645" i="22"/>
  <c r="I80" i="32"/>
  <c r="J82" i="32"/>
  <c r="K645" i="22"/>
  <c r="B183" i="21" a="1"/>
  <c r="B192" i="21"/>
  <c r="D227" i="21"/>
  <c r="K201" i="21" a="1"/>
  <c r="K75" i="17"/>
  <c r="L75" i="17"/>
  <c r="M75" i="17"/>
  <c r="D80" i="17"/>
  <c r="I80" i="17"/>
  <c r="G80" i="17"/>
  <c r="E80" i="17"/>
  <c r="F74" i="31"/>
  <c r="I74" i="31"/>
  <c r="K44" i="31"/>
  <c r="K102" i="31"/>
  <c r="L419" i="22"/>
  <c r="G44" i="31"/>
  <c r="G105" i="31"/>
  <c r="H428" i="22"/>
  <c r="J115" i="31"/>
  <c r="K449" i="22"/>
  <c r="G74" i="31"/>
  <c r="H101" i="31"/>
  <c r="I416" i="22"/>
  <c r="K74" i="31"/>
  <c r="K117" i="31"/>
  <c r="K105" i="31"/>
  <c r="L428" i="22"/>
  <c r="E115" i="31"/>
  <c r="F449" i="22"/>
  <c r="E112" i="31"/>
  <c r="F444" i="22"/>
  <c r="E111" i="31"/>
  <c r="F443" i="22"/>
  <c r="G100" i="31"/>
  <c r="H415" i="22"/>
  <c r="D100" i="31"/>
  <c r="E415" i="22"/>
  <c r="D111" i="31"/>
  <c r="E443" i="22"/>
  <c r="J113" i="31"/>
  <c r="K445" i="22"/>
  <c r="D101" i="31"/>
  <c r="E416" i="22"/>
  <c r="F44" i="31"/>
  <c r="F98" i="31"/>
  <c r="G413" i="22"/>
  <c r="J44" i="31"/>
  <c r="J99" i="31"/>
  <c r="K414" i="22"/>
  <c r="K62" i="31"/>
  <c r="E114" i="31"/>
  <c r="F448" i="22"/>
  <c r="I113" i="31"/>
  <c r="J445" i="22"/>
  <c r="E110" i="31"/>
  <c r="F442" i="22"/>
  <c r="D105" i="31"/>
  <c r="E428" i="22"/>
  <c r="F110" i="31"/>
  <c r="G442" i="22"/>
  <c r="D114" i="31"/>
  <c r="E448" i="22"/>
  <c r="F112" i="31"/>
  <c r="G444" i="22"/>
  <c r="H113" i="31"/>
  <c r="I445" i="22"/>
  <c r="H110" i="31"/>
  <c r="I442" i="22"/>
  <c r="H102" i="31"/>
  <c r="I419" i="22"/>
  <c r="D113" i="31"/>
  <c r="E445" i="22"/>
  <c r="D110" i="31"/>
  <c r="E442" i="22"/>
  <c r="D117" i="31"/>
  <c r="E457" i="22"/>
  <c r="H105" i="31"/>
  <c r="I428" i="22"/>
  <c r="J111" i="31"/>
  <c r="K443" i="22"/>
  <c r="J110" i="31"/>
  <c r="K442" i="22"/>
  <c r="D99" i="31"/>
  <c r="E414" i="22"/>
  <c r="H98" i="31"/>
  <c r="I413" i="22"/>
  <c r="D102" i="31"/>
  <c r="E419" i="22"/>
  <c r="J117" i="31"/>
  <c r="K457" i="22"/>
  <c r="I281" i="22"/>
  <c r="J281" i="22"/>
  <c r="F278" i="22"/>
  <c r="G278" i="22"/>
  <c r="E278" i="22"/>
  <c r="L283" i="22"/>
  <c r="I280" i="22"/>
  <c r="J280" i="22"/>
  <c r="I279" i="22"/>
  <c r="J279" i="22"/>
  <c r="F279" i="22"/>
  <c r="E279" i="22"/>
  <c r="H278" i="22"/>
  <c r="H281" i="22"/>
  <c r="E283" i="22"/>
  <c r="I283" i="22"/>
  <c r="K281" i="22"/>
  <c r="F280" i="22"/>
  <c r="G280" i="22"/>
  <c r="E280" i="22"/>
  <c r="F283" i="22"/>
  <c r="J283" i="22"/>
  <c r="K280" i="22"/>
  <c r="H279" i="22"/>
  <c r="L281" i="22"/>
  <c r="G281" i="22"/>
  <c r="L278" i="22"/>
  <c r="H280" i="22"/>
  <c r="G283" i="22"/>
  <c r="K283" i="22"/>
  <c r="K369" i="22"/>
  <c r="F309" i="22"/>
  <c r="E117" i="31"/>
  <c r="F457" i="22"/>
  <c r="G110" i="31"/>
  <c r="H442" i="22"/>
  <c r="F114" i="31"/>
  <c r="G448" i="22"/>
  <c r="F115" i="31"/>
  <c r="G449" i="22"/>
  <c r="I111" i="31"/>
  <c r="J443" i="22"/>
  <c r="D115" i="31"/>
  <c r="E449" i="22"/>
  <c r="D112" i="31"/>
  <c r="E444" i="22"/>
  <c r="H103" i="31"/>
  <c r="I420" i="22"/>
  <c r="H100" i="31"/>
  <c r="I415" i="22"/>
  <c r="E102" i="31"/>
  <c r="F419" i="22"/>
  <c r="E105" i="31"/>
  <c r="F428" i="22"/>
  <c r="E103" i="31"/>
  <c r="F420" i="22"/>
  <c r="E101" i="31"/>
  <c r="F416" i="22"/>
  <c r="G99" i="31"/>
  <c r="H414" i="22"/>
  <c r="E98" i="31"/>
  <c r="F413" i="22"/>
  <c r="E113" i="31"/>
  <c r="F445" i="22"/>
  <c r="G47" i="21"/>
  <c r="F200" i="34"/>
  <c r="G181" i="22" s="1"/>
  <c r="J200" i="34"/>
  <c r="K181" i="22" s="1"/>
  <c r="D103" i="31"/>
  <c r="E420" i="22"/>
  <c r="D98" i="31"/>
  <c r="E413" i="22"/>
  <c r="E99" i="31"/>
  <c r="F414" i="22"/>
  <c r="E100" i="31"/>
  <c r="F415" i="22"/>
  <c r="H99" i="31"/>
  <c r="I414" i="22"/>
  <c r="J112" i="31"/>
  <c r="K444" i="22"/>
  <c r="J114" i="31"/>
  <c r="K448" i="22"/>
  <c r="K101" i="31"/>
  <c r="L416" i="22"/>
  <c r="D49" i="21"/>
  <c r="K49" i="21"/>
  <c r="J49" i="21"/>
  <c r="I49" i="21"/>
  <c r="H49" i="21"/>
  <c r="G49" i="21"/>
  <c r="F49" i="21"/>
  <c r="E49" i="21"/>
  <c r="H80" i="17"/>
  <c r="F80" i="17"/>
  <c r="J80" i="17"/>
  <c r="K80" i="17"/>
  <c r="L80" i="17"/>
  <c r="M80" i="17"/>
  <c r="D24" i="17"/>
  <c r="N15" i="18"/>
  <c r="D25" i="17"/>
  <c r="L369" i="22"/>
  <c r="L370" i="22"/>
  <c r="F281" i="22"/>
  <c r="E207" i="30"/>
  <c r="F276" i="22" s="1"/>
  <c r="E281" i="22"/>
  <c r="G308" i="22"/>
  <c r="H283" i="22"/>
  <c r="G371" i="22"/>
  <c r="I189" i="30"/>
  <c r="J258" i="22" s="1"/>
  <c r="E308" i="22"/>
  <c r="K278" i="22"/>
  <c r="I269" i="30"/>
  <c r="J359" i="22" s="1"/>
  <c r="J371" i="22"/>
  <c r="H221" i="30"/>
  <c r="I297" i="22" s="1"/>
  <c r="I308" i="22"/>
  <c r="E264" i="30"/>
  <c r="F354" i="22" s="1"/>
  <c r="G370" i="22"/>
  <c r="E370" i="22"/>
  <c r="K313" i="22"/>
  <c r="J223" i="30"/>
  <c r="K299" i="22" s="1"/>
  <c r="J225" i="30"/>
  <c r="K301" i="22" s="1"/>
  <c r="J278" i="22"/>
  <c r="G368" i="22"/>
  <c r="E368" i="22"/>
  <c r="I373" i="22"/>
  <c r="I278" i="22"/>
  <c r="K373" i="22"/>
  <c r="F370" i="22"/>
  <c r="G279" i="22"/>
  <c r="J308" i="22"/>
  <c r="K309" i="22"/>
  <c r="F311" i="22"/>
  <c r="L280" i="22"/>
  <c r="I99" i="31"/>
  <c r="J414" i="22"/>
  <c r="AX240" i="6"/>
  <c r="AY173" i="6"/>
  <c r="O241" i="6"/>
  <c r="P174" i="6"/>
  <c r="BJ241" i="6"/>
  <c r="BK174" i="6"/>
  <c r="I263" i="6"/>
  <c r="J196" i="6"/>
  <c r="I240" i="6"/>
  <c r="J173" i="6"/>
  <c r="BM240" i="6"/>
  <c r="BN173" i="6"/>
  <c r="AM240" i="6"/>
  <c r="AN173" i="6"/>
  <c r="BD240" i="6"/>
  <c r="BE173" i="6"/>
  <c r="V241" i="6"/>
  <c r="W174" i="6"/>
  <c r="AU241" i="6"/>
  <c r="AV174" i="6"/>
  <c r="I260" i="6"/>
  <c r="J193" i="6"/>
  <c r="I265" i="6"/>
  <c r="J198" i="6"/>
  <c r="I267" i="6"/>
  <c r="J200" i="6"/>
  <c r="H301" i="6"/>
  <c r="I234" i="6"/>
  <c r="I302" i="6"/>
  <c r="L275" i="6"/>
  <c r="M208" i="6"/>
  <c r="I277" i="6"/>
  <c r="J210" i="6"/>
  <c r="H281" i="6"/>
  <c r="I214" i="6"/>
  <c r="I278" i="6"/>
  <c r="J211" i="6"/>
  <c r="I287" i="6"/>
  <c r="J220" i="6"/>
  <c r="H290" i="6"/>
  <c r="I223" i="6"/>
  <c r="H296" i="6"/>
  <c r="I229" i="6"/>
  <c r="J296" i="6"/>
  <c r="K229" i="6"/>
  <c r="L297" i="6"/>
  <c r="M230" i="6"/>
  <c r="F378" i="6"/>
  <c r="M378" i="6"/>
  <c r="U378" i="6"/>
  <c r="AC378" i="6"/>
  <c r="AK378" i="6"/>
  <c r="AS378" i="6"/>
  <c r="BA378" i="6"/>
  <c r="BI378" i="6"/>
  <c r="BQ378" i="6"/>
  <c r="I378" i="6"/>
  <c r="Q378" i="6"/>
  <c r="Y378" i="6"/>
  <c r="AG378" i="6"/>
  <c r="AO378" i="6"/>
  <c r="AW378" i="6"/>
  <c r="BE378" i="6"/>
  <c r="BM378" i="6"/>
  <c r="G378" i="6"/>
  <c r="O378" i="6"/>
  <c r="W378" i="6"/>
  <c r="AE378" i="6"/>
  <c r="AM378" i="6"/>
  <c r="AU378" i="6"/>
  <c r="BC378" i="6"/>
  <c r="BK378" i="6"/>
  <c r="AA378" i="6"/>
  <c r="BG378" i="6"/>
  <c r="K378" i="6"/>
  <c r="S378" i="6"/>
  <c r="AI378" i="6"/>
  <c r="BO378" i="6"/>
  <c r="AQ378" i="6"/>
  <c r="AY378" i="6"/>
  <c r="I284" i="6"/>
  <c r="J217" i="6"/>
  <c r="F644" i="22"/>
  <c r="F643" i="22"/>
  <c r="F642" i="22"/>
  <c r="AQ173" i="6"/>
  <c r="AP240" i="6"/>
  <c r="I181" i="6"/>
  <c r="H248" i="6"/>
  <c r="J253" i="6"/>
  <c r="K186" i="6"/>
  <c r="R240" i="6"/>
  <c r="S173" i="6"/>
  <c r="J271" i="6"/>
  <c r="K204" i="6"/>
  <c r="I274" i="6"/>
  <c r="J207" i="6"/>
  <c r="H295" i="6"/>
  <c r="I228" i="6"/>
  <c r="F396" i="6"/>
  <c r="I396" i="6"/>
  <c r="Q396" i="6"/>
  <c r="Y396" i="6"/>
  <c r="AG396" i="6"/>
  <c r="AO396" i="6"/>
  <c r="AW396" i="6"/>
  <c r="BE396" i="6"/>
  <c r="BM396" i="6"/>
  <c r="M396" i="6"/>
  <c r="U396" i="6"/>
  <c r="AC396" i="6"/>
  <c r="AK396" i="6"/>
  <c r="AS396" i="6"/>
  <c r="BA396" i="6"/>
  <c r="BI396" i="6"/>
  <c r="BQ396" i="6"/>
  <c r="K396" i="6"/>
  <c r="S396" i="6"/>
  <c r="AA396" i="6"/>
  <c r="AI396" i="6"/>
  <c r="AQ396" i="6"/>
  <c r="AY396" i="6"/>
  <c r="BG396" i="6"/>
  <c r="BO396" i="6"/>
  <c r="AE396" i="6"/>
  <c r="BK396" i="6"/>
  <c r="AU396" i="6"/>
  <c r="BC396" i="6"/>
  <c r="G396" i="6"/>
  <c r="AM396" i="6"/>
  <c r="O396" i="6"/>
  <c r="W396" i="6"/>
  <c r="I103" i="31"/>
  <c r="J420" i="22"/>
  <c r="H396" i="6"/>
  <c r="AF396" i="6"/>
  <c r="AV396" i="6"/>
  <c r="BL396" i="6"/>
  <c r="Q240" i="6"/>
  <c r="R173" i="6"/>
  <c r="AI173" i="6"/>
  <c r="AH240" i="6"/>
  <c r="AW240" i="6"/>
  <c r="AX173" i="6"/>
  <c r="AE240" i="6"/>
  <c r="AF173" i="6"/>
  <c r="K103" i="31"/>
  <c r="L420" i="22"/>
  <c r="G101" i="31"/>
  <c r="H416" i="22"/>
  <c r="I98" i="31"/>
  <c r="J413" i="22"/>
  <c r="I105" i="31"/>
  <c r="J428" i="22"/>
  <c r="H114" i="31"/>
  <c r="I448" i="22"/>
  <c r="F102" i="31"/>
  <c r="G419" i="22"/>
  <c r="K99" i="31"/>
  <c r="L414" i="22"/>
  <c r="I117" i="31"/>
  <c r="J457" i="22"/>
  <c r="I100" i="31"/>
  <c r="J415" i="22"/>
  <c r="I114" i="31"/>
  <c r="J448" i="22"/>
  <c r="J396" i="6"/>
  <c r="R396" i="6"/>
  <c r="Z396" i="6"/>
  <c r="AH396" i="6"/>
  <c r="AP396" i="6"/>
  <c r="AX396" i="6"/>
  <c r="BF396" i="6"/>
  <c r="BN396" i="6"/>
  <c r="J378" i="6"/>
  <c r="E378" i="6"/>
  <c r="R378" i="6"/>
  <c r="Z378" i="6"/>
  <c r="AH378" i="6"/>
  <c r="AP378" i="6"/>
  <c r="AX378" i="6"/>
  <c r="BF378" i="6"/>
  <c r="BN378" i="6"/>
  <c r="X174" i="6"/>
  <c r="W241" i="6"/>
  <c r="BD174" i="6"/>
  <c r="BC241" i="6"/>
  <c r="H240" i="6"/>
  <c r="I173" i="6"/>
  <c r="W240" i="6"/>
  <c r="X173" i="6"/>
  <c r="AN240" i="6"/>
  <c r="AO173" i="6"/>
  <c r="BC240" i="6"/>
  <c r="BD173" i="6"/>
  <c r="L241" i="6"/>
  <c r="M174" i="6"/>
  <c r="AF174" i="6"/>
  <c r="AE241" i="6"/>
  <c r="BL174" i="6"/>
  <c r="BK241" i="6"/>
  <c r="K177" i="6"/>
  <c r="J244" i="6"/>
  <c r="I189" i="6"/>
  <c r="H256" i="6"/>
  <c r="P240" i="6"/>
  <c r="Q173" i="6"/>
  <c r="J251" i="6"/>
  <c r="K184" i="6"/>
  <c r="I259" i="6"/>
  <c r="J192" i="6"/>
  <c r="H254" i="6"/>
  <c r="I187" i="6"/>
  <c r="AM241" i="6"/>
  <c r="AN174" i="6"/>
  <c r="J276" i="6"/>
  <c r="K209" i="6"/>
  <c r="J291" i="6"/>
  <c r="K224" i="6"/>
  <c r="I276" i="6"/>
  <c r="J209" i="6"/>
  <c r="K287" i="6"/>
  <c r="L220" i="6"/>
  <c r="N297" i="6"/>
  <c r="O230" i="6"/>
  <c r="H287" i="6"/>
  <c r="I220" i="6"/>
  <c r="I286" i="6"/>
  <c r="J219" i="6"/>
  <c r="E644" i="22"/>
  <c r="E643" i="22"/>
  <c r="E642" i="22"/>
  <c r="K173" i="6"/>
  <c r="J240" i="6"/>
  <c r="Y240" i="6"/>
  <c r="Z173" i="6"/>
  <c r="BE240" i="6"/>
  <c r="BF173" i="6"/>
  <c r="N241" i="6"/>
  <c r="O174" i="6"/>
  <c r="AT241" i="6"/>
  <c r="AU174" i="6"/>
  <c r="H257" i="6"/>
  <c r="I190" i="6"/>
  <c r="H243" i="6"/>
  <c r="I176" i="6"/>
  <c r="I273" i="6"/>
  <c r="J206" i="6"/>
  <c r="I269" i="6"/>
  <c r="J202" i="6"/>
  <c r="D93" i="32"/>
  <c r="D83" i="32"/>
  <c r="E647" i="22"/>
  <c r="E92" i="32"/>
  <c r="I136" i="27"/>
  <c r="J558" i="22" s="1"/>
  <c r="J557" i="22"/>
  <c r="G89" i="32"/>
  <c r="H89" i="32"/>
  <c r="I89" i="32"/>
  <c r="J89" i="32"/>
  <c r="K89" i="32"/>
  <c r="I615" i="22"/>
  <c r="I613" i="22"/>
  <c r="I614" i="22"/>
  <c r="J233" i="6"/>
  <c r="I300" i="6"/>
  <c r="G98" i="31"/>
  <c r="H413" i="22"/>
  <c r="I102" i="31"/>
  <c r="J419" i="22"/>
  <c r="H112" i="31"/>
  <c r="I444" i="22"/>
  <c r="G103" i="31"/>
  <c r="H420" i="22"/>
  <c r="X396" i="6"/>
  <c r="AN396" i="6"/>
  <c r="BD396" i="6"/>
  <c r="Z240" i="6"/>
  <c r="AA173" i="6"/>
  <c r="K113" i="31"/>
  <c r="L445" i="22"/>
  <c r="G102" i="31"/>
  <c r="H419" i="22"/>
  <c r="H111" i="31"/>
  <c r="I443" i="22"/>
  <c r="H117" i="31"/>
  <c r="I457" i="22"/>
  <c r="I115" i="31"/>
  <c r="J449" i="22"/>
  <c r="L396" i="6"/>
  <c r="T396" i="6"/>
  <c r="AB396" i="6"/>
  <c r="AJ396" i="6"/>
  <c r="AR396" i="6"/>
  <c r="AZ396" i="6"/>
  <c r="BH396" i="6"/>
  <c r="BP396" i="6"/>
  <c r="L378" i="6"/>
  <c r="T378" i="6"/>
  <c r="AB378" i="6"/>
  <c r="AJ378" i="6"/>
  <c r="AR378" i="6"/>
  <c r="AZ378" i="6"/>
  <c r="BH378" i="6"/>
  <c r="BP378" i="6"/>
  <c r="AF240" i="6"/>
  <c r="AG173" i="6"/>
  <c r="AU240" i="6"/>
  <c r="AV173" i="6"/>
  <c r="BL240" i="6"/>
  <c r="BM173" i="6"/>
  <c r="AL241" i="6"/>
  <c r="AM174" i="6"/>
  <c r="AV240" i="6"/>
  <c r="AW173" i="6"/>
  <c r="M241" i="6"/>
  <c r="N174" i="6"/>
  <c r="BB241" i="6"/>
  <c r="BC174" i="6"/>
  <c r="H253" i="6"/>
  <c r="I186" i="6"/>
  <c r="X240" i="6"/>
  <c r="Y173" i="6"/>
  <c r="BK240" i="6"/>
  <c r="BL173" i="6"/>
  <c r="H260" i="6"/>
  <c r="I193" i="6"/>
  <c r="AG240" i="6"/>
  <c r="AH173" i="6"/>
  <c r="AO240" i="6"/>
  <c r="AP173" i="6"/>
  <c r="BF240" i="6"/>
  <c r="BG173" i="6"/>
  <c r="AD241" i="6"/>
  <c r="AE174" i="6"/>
  <c r="H255" i="6"/>
  <c r="I188" i="6"/>
  <c r="I200" i="6"/>
  <c r="H267" i="6"/>
  <c r="K255" i="6"/>
  <c r="L188" i="6"/>
  <c r="I266" i="6"/>
  <c r="J199" i="6"/>
  <c r="I264" i="6"/>
  <c r="J197" i="6"/>
  <c r="I262" i="6"/>
  <c r="J195" i="6"/>
  <c r="H297" i="6"/>
  <c r="I230" i="6"/>
  <c r="N276" i="6"/>
  <c r="O209" i="6"/>
  <c r="I279" i="6"/>
  <c r="J212" i="6"/>
  <c r="J281" i="6"/>
  <c r="K214" i="6"/>
  <c r="J282" i="6"/>
  <c r="K215" i="6"/>
  <c r="H282" i="6"/>
  <c r="I215" i="6"/>
  <c r="K615" i="22"/>
  <c r="K613" i="22"/>
  <c r="K614" i="22"/>
  <c r="H298" i="6"/>
  <c r="I231" i="6"/>
  <c r="H288" i="6"/>
  <c r="I221" i="6"/>
  <c r="L296" i="6"/>
  <c r="M229" i="6"/>
  <c r="U79" i="18" a="1"/>
  <c r="G81" i="18"/>
  <c r="U241" i="6"/>
  <c r="V174" i="6"/>
  <c r="AC241" i="6"/>
  <c r="AD174" i="6"/>
  <c r="AK241" i="6"/>
  <c r="AL174" i="6"/>
  <c r="AS241" i="6"/>
  <c r="AT174" i="6"/>
  <c r="BA241" i="6"/>
  <c r="BB174" i="6"/>
  <c r="BI241" i="6"/>
  <c r="BJ174" i="6"/>
  <c r="H245" i="6"/>
  <c r="I178" i="6"/>
  <c r="J249" i="6"/>
  <c r="K182" i="6"/>
  <c r="L182" i="6"/>
  <c r="K249" i="6"/>
  <c r="I183" i="6"/>
  <c r="H250" i="6"/>
  <c r="BO240" i="6"/>
  <c r="BP173" i="6"/>
  <c r="BO241" i="6"/>
  <c r="BP174" i="6"/>
  <c r="T241" i="6"/>
  <c r="U174" i="6"/>
  <c r="AB241" i="6"/>
  <c r="AC174" i="6"/>
  <c r="AJ241" i="6"/>
  <c r="AK174" i="6"/>
  <c r="AR241" i="6"/>
  <c r="AS174" i="6"/>
  <c r="AZ241" i="6"/>
  <c r="BA174" i="6"/>
  <c r="BH241" i="6"/>
  <c r="BI174" i="6"/>
  <c r="I242" i="6"/>
  <c r="J175" i="6"/>
  <c r="Q242" i="6"/>
  <c r="R175" i="6"/>
  <c r="J178" i="6"/>
  <c r="I245" i="6"/>
  <c r="BP240" i="6"/>
  <c r="BQ173" i="6"/>
  <c r="E396" i="6"/>
  <c r="E387" i="6"/>
  <c r="J642" i="22"/>
  <c r="J644" i="22"/>
  <c r="J643" i="22"/>
  <c r="G614" i="22"/>
  <c r="G615" i="22"/>
  <c r="G613" i="22"/>
  <c r="H613" i="22"/>
  <c r="H615" i="22"/>
  <c r="H614" i="22"/>
  <c r="I630" i="22"/>
  <c r="D90" i="32"/>
  <c r="D69" i="32"/>
  <c r="E618" i="22"/>
  <c r="E63" i="21"/>
  <c r="E74" i="21"/>
  <c r="E76" i="21"/>
  <c r="G63" i="21"/>
  <c r="G74" i="21"/>
  <c r="G76" i="21"/>
  <c r="I63" i="21"/>
  <c r="I74" i="21"/>
  <c r="I76" i="21"/>
  <c r="K63" i="21"/>
  <c r="K74" i="21"/>
  <c r="K76" i="21"/>
  <c r="F63" i="21"/>
  <c r="F74" i="21"/>
  <c r="F76" i="21"/>
  <c r="H63" i="21"/>
  <c r="H74" i="21"/>
  <c r="H76" i="21"/>
  <c r="J63" i="21"/>
  <c r="J74" i="21"/>
  <c r="J76" i="21"/>
  <c r="D63" i="21"/>
  <c r="D74" i="21"/>
  <c r="D76" i="21"/>
  <c r="B191" i="21"/>
  <c r="B183" i="21"/>
  <c r="B185" i="21"/>
  <c r="B190" i="21"/>
  <c r="B187" i="21"/>
  <c r="B186" i="21"/>
  <c r="B188" i="21"/>
  <c r="B184" i="21"/>
  <c r="K201" i="21"/>
  <c r="K212" i="21"/>
  <c r="K204" i="21"/>
  <c r="K211" i="21"/>
  <c r="K203" i="21"/>
  <c r="K210" i="21"/>
  <c r="K202" i="21"/>
  <c r="K209" i="21"/>
  <c r="K216" i="21"/>
  <c r="K208" i="21"/>
  <c r="K215" i="21"/>
  <c r="K207" i="21"/>
  <c r="K214" i="21"/>
  <c r="K206" i="21"/>
  <c r="K213" i="21"/>
  <c r="K205" i="21"/>
  <c r="B193" i="21"/>
  <c r="B189" i="21"/>
  <c r="D21" i="17"/>
  <c r="N75" i="17"/>
  <c r="O75" i="17"/>
  <c r="P75" i="17"/>
  <c r="Q75" i="17"/>
  <c r="R75" i="17"/>
  <c r="H47" i="21"/>
  <c r="F100" i="31"/>
  <c r="G415" i="22"/>
  <c r="F103" i="31"/>
  <c r="G420" i="22"/>
  <c r="J103" i="31"/>
  <c r="K420" i="22"/>
  <c r="G117" i="31"/>
  <c r="H457" i="22"/>
  <c r="F105" i="31"/>
  <c r="G428" i="22"/>
  <c r="F99" i="31"/>
  <c r="G414" i="22"/>
  <c r="G115" i="31"/>
  <c r="H449" i="22"/>
  <c r="F101" i="31"/>
  <c r="G416" i="22"/>
  <c r="J102" i="31"/>
  <c r="K419" i="22"/>
  <c r="G111" i="31"/>
  <c r="H443" i="22"/>
  <c r="G114" i="31"/>
  <c r="H448" i="22"/>
  <c r="J98" i="31"/>
  <c r="K413" i="22"/>
  <c r="L413" i="22"/>
  <c r="F111" i="31"/>
  <c r="G443" i="22"/>
  <c r="I110" i="31"/>
  <c r="J442" i="22"/>
  <c r="K100" i="31"/>
  <c r="L415" i="22"/>
  <c r="J105" i="31"/>
  <c r="K428" i="22"/>
  <c r="G112" i="31"/>
  <c r="H444" i="22"/>
  <c r="J100" i="31"/>
  <c r="K415" i="22"/>
  <c r="J101" i="31"/>
  <c r="K416" i="22"/>
  <c r="G113" i="31"/>
  <c r="H445" i="22"/>
  <c r="F117" i="31"/>
  <c r="G457" i="22"/>
  <c r="F113" i="31"/>
  <c r="G445" i="22"/>
  <c r="K235" i="30"/>
  <c r="L318" i="22" s="1"/>
  <c r="F241" i="30"/>
  <c r="G324" i="22" s="1"/>
  <c r="G252" i="30"/>
  <c r="H335" i="22" s="1"/>
  <c r="G246" i="30"/>
  <c r="H329" i="22" s="1"/>
  <c r="L457" i="22"/>
  <c r="K114" i="31"/>
  <c r="L448" i="22"/>
  <c r="K110" i="31"/>
  <c r="L442" i="22"/>
  <c r="K115" i="31"/>
  <c r="L449" i="22"/>
  <c r="K112" i="31"/>
  <c r="L444" i="22"/>
  <c r="K111" i="31"/>
  <c r="L443" i="22"/>
  <c r="D42" i="17"/>
  <c r="D43" i="17"/>
  <c r="E122" i="21"/>
  <c r="I47" i="21"/>
  <c r="N80" i="17"/>
  <c r="O80" i="17"/>
  <c r="P80" i="17"/>
  <c r="Q80" i="17"/>
  <c r="R80" i="17"/>
  <c r="E24" i="17"/>
  <c r="E21" i="17"/>
  <c r="S75" i="17"/>
  <c r="T75" i="17"/>
  <c r="U75" i="17"/>
  <c r="V75" i="17"/>
  <c r="W75" i="17"/>
  <c r="D39" i="17"/>
  <c r="D52" i="21"/>
  <c r="E25" i="17"/>
  <c r="I283" i="6"/>
  <c r="J216" i="6"/>
  <c r="K282" i="6"/>
  <c r="L215" i="6"/>
  <c r="O277" i="6"/>
  <c r="P210" i="6"/>
  <c r="J263" i="6"/>
  <c r="K196" i="6"/>
  <c r="J267" i="6"/>
  <c r="K200" i="6"/>
  <c r="AE242" i="6"/>
  <c r="AF175" i="6"/>
  <c r="AP241" i="6"/>
  <c r="AQ174" i="6"/>
  <c r="I261" i="6"/>
  <c r="J194" i="6"/>
  <c r="Y241" i="6"/>
  <c r="Z174" i="6"/>
  <c r="BC242" i="6"/>
  <c r="BD175" i="6"/>
  <c r="AW241" i="6"/>
  <c r="AX174" i="6"/>
  <c r="BM241" i="6"/>
  <c r="BN174" i="6"/>
  <c r="AG241" i="6"/>
  <c r="AH174" i="6"/>
  <c r="F92" i="32"/>
  <c r="E93" i="32"/>
  <c r="E83" i="32"/>
  <c r="F647" i="22"/>
  <c r="J274" i="6"/>
  <c r="K207" i="6"/>
  <c r="I258" i="6"/>
  <c r="J191" i="6"/>
  <c r="P175" i="6"/>
  <c r="O242" i="6"/>
  <c r="Z241" i="6"/>
  <c r="AA174" i="6"/>
  <c r="P231" i="6"/>
  <c r="O298" i="6"/>
  <c r="K210" i="6"/>
  <c r="J277" i="6"/>
  <c r="K277" i="6"/>
  <c r="L210" i="6"/>
  <c r="I255" i="6"/>
  <c r="J188" i="6"/>
  <c r="K252" i="6"/>
  <c r="L185" i="6"/>
  <c r="M242" i="6"/>
  <c r="N175" i="6"/>
  <c r="AO241" i="6"/>
  <c r="AP174" i="6"/>
  <c r="I241" i="6"/>
  <c r="J174" i="6"/>
  <c r="AF241" i="6"/>
  <c r="AG174" i="6"/>
  <c r="J275" i="6"/>
  <c r="K208" i="6"/>
  <c r="S241" i="6"/>
  <c r="T174" i="6"/>
  <c r="I289" i="6"/>
  <c r="J222" i="6"/>
  <c r="I268" i="6"/>
  <c r="J201" i="6"/>
  <c r="I288" i="6"/>
  <c r="J221" i="6"/>
  <c r="I257" i="6"/>
  <c r="J190" i="6"/>
  <c r="BL242" i="6"/>
  <c r="BM175" i="6"/>
  <c r="X242" i="6"/>
  <c r="Y175" i="6"/>
  <c r="AI241" i="6"/>
  <c r="AJ174" i="6"/>
  <c r="I249" i="6"/>
  <c r="J182" i="6"/>
  <c r="J285" i="6"/>
  <c r="K218" i="6"/>
  <c r="K297" i="6"/>
  <c r="L230" i="6"/>
  <c r="I291" i="6"/>
  <c r="J224" i="6"/>
  <c r="J279" i="6"/>
  <c r="K212" i="6"/>
  <c r="J278" i="6"/>
  <c r="K211" i="6"/>
  <c r="J266" i="6"/>
  <c r="K199" i="6"/>
  <c r="AV242" i="6"/>
  <c r="AW175" i="6"/>
  <c r="BE241" i="6"/>
  <c r="BF174" i="6"/>
  <c r="BN241" i="6"/>
  <c r="BO174" i="6"/>
  <c r="J264" i="6"/>
  <c r="K197" i="6"/>
  <c r="P242" i="6"/>
  <c r="Q175" i="6"/>
  <c r="U80" i="18"/>
  <c r="U81" i="18"/>
  <c r="U79" i="18"/>
  <c r="K283" i="6"/>
  <c r="L216" i="6"/>
  <c r="J280" i="6"/>
  <c r="K213" i="6"/>
  <c r="I298" i="6"/>
  <c r="J231" i="6"/>
  <c r="J265" i="6"/>
  <c r="K198" i="6"/>
  <c r="M189" i="6"/>
  <c r="L256" i="6"/>
  <c r="I256" i="6"/>
  <c r="J189" i="6"/>
  <c r="BH174" i="6"/>
  <c r="BG241" i="6"/>
  <c r="AH241" i="6"/>
  <c r="AI174" i="6"/>
  <c r="BL241" i="6"/>
  <c r="BM174" i="6"/>
  <c r="I254" i="6"/>
  <c r="J187" i="6"/>
  <c r="N242" i="6"/>
  <c r="O175" i="6"/>
  <c r="AM242" i="6"/>
  <c r="AN175" i="6"/>
  <c r="AV241" i="6"/>
  <c r="AW174" i="6"/>
  <c r="J270" i="6"/>
  <c r="K203" i="6"/>
  <c r="I244" i="6"/>
  <c r="J177" i="6"/>
  <c r="AU242" i="6"/>
  <c r="AV175" i="6"/>
  <c r="BF241" i="6"/>
  <c r="BG174" i="6"/>
  <c r="L288" i="6"/>
  <c r="M221" i="6"/>
  <c r="K292" i="6"/>
  <c r="L225" i="6"/>
  <c r="AN242" i="6"/>
  <c r="AO175" i="6"/>
  <c r="J260" i="6"/>
  <c r="K193" i="6"/>
  <c r="Q241" i="6"/>
  <c r="R174" i="6"/>
  <c r="BD241" i="6"/>
  <c r="BE174" i="6"/>
  <c r="X241" i="6"/>
  <c r="Y174" i="6"/>
  <c r="AX241" i="6"/>
  <c r="AY174" i="6"/>
  <c r="R241" i="6"/>
  <c r="S174" i="6"/>
  <c r="J229" i="6"/>
  <c r="I296" i="6"/>
  <c r="K272" i="6"/>
  <c r="L205" i="6"/>
  <c r="K254" i="6"/>
  <c r="L187" i="6"/>
  <c r="M297" i="6"/>
  <c r="N230" i="6"/>
  <c r="I299" i="6"/>
  <c r="J232" i="6"/>
  <c r="AB174" i="6"/>
  <c r="AA241" i="6"/>
  <c r="J301" i="6"/>
  <c r="K234" i="6"/>
  <c r="K302" i="6"/>
  <c r="K241" i="6"/>
  <c r="L174" i="6"/>
  <c r="J287" i="6"/>
  <c r="K220" i="6"/>
  <c r="K245" i="6"/>
  <c r="L178" i="6"/>
  <c r="AF242" i="6"/>
  <c r="AG175" i="6"/>
  <c r="BD242" i="6"/>
  <c r="BE175" i="6"/>
  <c r="AR174" i="6"/>
  <c r="AQ241" i="6"/>
  <c r="M298" i="6"/>
  <c r="N231" i="6"/>
  <c r="I297" i="6"/>
  <c r="J230" i="6"/>
  <c r="J288" i="6"/>
  <c r="K221" i="6"/>
  <c r="I282" i="6"/>
  <c r="J215" i="6"/>
  <c r="N209" i="6"/>
  <c r="M276" i="6"/>
  <c r="J268" i="6"/>
  <c r="K201" i="6"/>
  <c r="K194" i="6"/>
  <c r="J261" i="6"/>
  <c r="W242" i="6"/>
  <c r="X175" i="6"/>
  <c r="AN241" i="6"/>
  <c r="AO174" i="6"/>
  <c r="J241" i="6"/>
  <c r="K174" i="6"/>
  <c r="BK242" i="6"/>
  <c r="BL175" i="6"/>
  <c r="AY241" i="6"/>
  <c r="AZ174" i="6"/>
  <c r="K179" i="6"/>
  <c r="J246" i="6"/>
  <c r="BQ241" i="6"/>
  <c r="BR174" i="6"/>
  <c r="BR242" i="6"/>
  <c r="R243" i="6"/>
  <c r="S176" i="6"/>
  <c r="J243" i="6"/>
  <c r="K176" i="6"/>
  <c r="BI242" i="6"/>
  <c r="BJ175" i="6"/>
  <c r="BA242" i="6"/>
  <c r="BB175" i="6"/>
  <c r="AS242" i="6"/>
  <c r="AT175" i="6"/>
  <c r="AK242" i="6"/>
  <c r="AL175" i="6"/>
  <c r="AC242" i="6"/>
  <c r="AD175" i="6"/>
  <c r="U242" i="6"/>
  <c r="V175" i="6"/>
  <c r="BP242" i="6"/>
  <c r="BQ175" i="6"/>
  <c r="BP241" i="6"/>
  <c r="BQ174" i="6"/>
  <c r="K250" i="6"/>
  <c r="L183" i="6"/>
  <c r="I246" i="6"/>
  <c r="J179" i="6"/>
  <c r="BJ242" i="6"/>
  <c r="BK175" i="6"/>
  <c r="BB242" i="6"/>
  <c r="BC175" i="6"/>
  <c r="AT242" i="6"/>
  <c r="AU175" i="6"/>
  <c r="AL242" i="6"/>
  <c r="AM175" i="6"/>
  <c r="AD242" i="6"/>
  <c r="AE175" i="6"/>
  <c r="V242" i="6"/>
  <c r="W175" i="6"/>
  <c r="J184" i="6"/>
  <c r="I251" i="6"/>
  <c r="M183" i="6"/>
  <c r="L250" i="6"/>
  <c r="B194" i="21"/>
  <c r="P40" i="21" s="1"/>
  <c r="E90" i="32"/>
  <c r="E69" i="32"/>
  <c r="F618" i="22"/>
  <c r="E42" i="17"/>
  <c r="E43" i="17"/>
  <c r="F122" i="21"/>
  <c r="J47" i="21"/>
  <c r="S80" i="17"/>
  <c r="T80" i="17"/>
  <c r="U80" i="17"/>
  <c r="V80" i="17"/>
  <c r="W80" i="17"/>
  <c r="F24" i="17"/>
  <c r="F21" i="17"/>
  <c r="X75" i="17"/>
  <c r="Y75" i="17"/>
  <c r="Z75" i="17"/>
  <c r="AA75" i="17"/>
  <c r="AB75" i="17"/>
  <c r="O15" i="18"/>
  <c r="E39" i="17"/>
  <c r="E52" i="21"/>
  <c r="F25" i="17"/>
  <c r="K242" i="6"/>
  <c r="L175" i="6"/>
  <c r="J283" i="6"/>
  <c r="K216" i="6"/>
  <c r="AG243" i="6"/>
  <c r="AH176" i="6"/>
  <c r="M175" i="6"/>
  <c r="L242" i="6"/>
  <c r="L255" i="6"/>
  <c r="M188" i="6"/>
  <c r="BF175" i="6"/>
  <c r="BE242" i="6"/>
  <c r="BG242" i="6"/>
  <c r="BH175" i="6"/>
  <c r="BM242" i="6"/>
  <c r="BN175" i="6"/>
  <c r="K267" i="6"/>
  <c r="L200" i="6"/>
  <c r="AC175" i="6"/>
  <c r="AB242" i="6"/>
  <c r="BI175" i="6"/>
  <c r="BH242" i="6"/>
  <c r="M257" i="6"/>
  <c r="N190" i="6"/>
  <c r="P299" i="6"/>
  <c r="Q232" i="6"/>
  <c r="AA242" i="6"/>
  <c r="AB175" i="6"/>
  <c r="J259" i="6"/>
  <c r="K192" i="6"/>
  <c r="BO175" i="6"/>
  <c r="BN242" i="6"/>
  <c r="BD243" i="6"/>
  <c r="BE176" i="6"/>
  <c r="J262" i="6"/>
  <c r="K195" i="6"/>
  <c r="AF243" i="6"/>
  <c r="AG176" i="6"/>
  <c r="K264" i="6"/>
  <c r="L197" i="6"/>
  <c r="L283" i="6"/>
  <c r="M216" i="6"/>
  <c r="X243" i="6"/>
  <c r="Y176" i="6"/>
  <c r="J298" i="6"/>
  <c r="K231" i="6"/>
  <c r="K288" i="6"/>
  <c r="L221" i="6"/>
  <c r="N298" i="6"/>
  <c r="O231" i="6"/>
  <c r="AY242" i="6"/>
  <c r="AZ175" i="6"/>
  <c r="L293" i="6"/>
  <c r="M226" i="6"/>
  <c r="AW242" i="6"/>
  <c r="AX175" i="6"/>
  <c r="L284" i="6"/>
  <c r="M217" i="6"/>
  <c r="BF242" i="6"/>
  <c r="BG175" i="6"/>
  <c r="K280" i="6"/>
  <c r="L213" i="6"/>
  <c r="J250" i="6"/>
  <c r="K183" i="6"/>
  <c r="Y243" i="6"/>
  <c r="Z176" i="6"/>
  <c r="J258" i="6"/>
  <c r="K191" i="6"/>
  <c r="J269" i="6"/>
  <c r="K202" i="6"/>
  <c r="U175" i="6"/>
  <c r="T242" i="6"/>
  <c r="AG242" i="6"/>
  <c r="AH175" i="6"/>
  <c r="AP242" i="6"/>
  <c r="AQ175" i="6"/>
  <c r="L253" i="6"/>
  <c r="M186" i="6"/>
  <c r="L278" i="6"/>
  <c r="M211" i="6"/>
  <c r="P243" i="6"/>
  <c r="Q176" i="6"/>
  <c r="AS175" i="6"/>
  <c r="AR242" i="6"/>
  <c r="J297" i="6"/>
  <c r="K230" i="6"/>
  <c r="BL243" i="6"/>
  <c r="BM176" i="6"/>
  <c r="AP175" i="6"/>
  <c r="AO242" i="6"/>
  <c r="K289" i="6"/>
  <c r="L222" i="6"/>
  <c r="N299" i="6"/>
  <c r="O232" i="6"/>
  <c r="BF176" i="6"/>
  <c r="BE243" i="6"/>
  <c r="L246" i="6"/>
  <c r="M179" i="6"/>
  <c r="J300" i="6"/>
  <c r="K233" i="6"/>
  <c r="L273" i="6"/>
  <c r="M206" i="6"/>
  <c r="S242" i="6"/>
  <c r="T175" i="6"/>
  <c r="Z175" i="6"/>
  <c r="Y242" i="6"/>
  <c r="S175" i="6"/>
  <c r="R242" i="6"/>
  <c r="AO243" i="6"/>
  <c r="AP176" i="6"/>
  <c r="M289" i="6"/>
  <c r="N222" i="6"/>
  <c r="AV243" i="6"/>
  <c r="AW176" i="6"/>
  <c r="K271" i="6"/>
  <c r="L204" i="6"/>
  <c r="AN243" i="6"/>
  <c r="AO176" i="6"/>
  <c r="J255" i="6"/>
  <c r="K188" i="6"/>
  <c r="AI242" i="6"/>
  <c r="AJ175" i="6"/>
  <c r="J257" i="6"/>
  <c r="K190" i="6"/>
  <c r="K266" i="6"/>
  <c r="L199" i="6"/>
  <c r="K281" i="6"/>
  <c r="L214" i="6"/>
  <c r="Q243" i="6"/>
  <c r="R176" i="6"/>
  <c r="BO242" i="6"/>
  <c r="BP175" i="6"/>
  <c r="AW243" i="6"/>
  <c r="AX176" i="6"/>
  <c r="K279" i="6"/>
  <c r="L212" i="6"/>
  <c r="J292" i="6"/>
  <c r="K225" i="6"/>
  <c r="K286" i="6"/>
  <c r="L219" i="6"/>
  <c r="AK175" i="6"/>
  <c r="AJ242" i="6"/>
  <c r="BM243" i="6"/>
  <c r="BN176" i="6"/>
  <c r="J289" i="6"/>
  <c r="K222" i="6"/>
  <c r="J290" i="6"/>
  <c r="K223" i="6"/>
  <c r="K276" i="6"/>
  <c r="L209" i="6"/>
  <c r="J242" i="6"/>
  <c r="K175" i="6"/>
  <c r="O176" i="6"/>
  <c r="N243" i="6"/>
  <c r="J256" i="6"/>
  <c r="K189" i="6"/>
  <c r="G92" i="32"/>
  <c r="F93" i="32"/>
  <c r="F83" i="32"/>
  <c r="G647" i="22"/>
  <c r="BA175" i="6"/>
  <c r="AZ242" i="6"/>
  <c r="K269" i="6"/>
  <c r="L202" i="6"/>
  <c r="K261" i="6"/>
  <c r="L194" i="6"/>
  <c r="J245" i="6"/>
  <c r="K178" i="6"/>
  <c r="P176" i="6"/>
  <c r="O243" i="6"/>
  <c r="J299" i="6"/>
  <c r="K232" i="6"/>
  <c r="K265" i="6"/>
  <c r="L198" i="6"/>
  <c r="L298" i="6"/>
  <c r="M231" i="6"/>
  <c r="L195" i="6"/>
  <c r="K262" i="6"/>
  <c r="N277" i="6"/>
  <c r="O210" i="6"/>
  <c r="K278" i="6"/>
  <c r="L211" i="6"/>
  <c r="K275" i="6"/>
  <c r="L208" i="6"/>
  <c r="AI175" i="6"/>
  <c r="AH242" i="6"/>
  <c r="AY175" i="6"/>
  <c r="AX242" i="6"/>
  <c r="Z242" i="6"/>
  <c r="AA175" i="6"/>
  <c r="AQ242" i="6"/>
  <c r="AR175" i="6"/>
  <c r="K268" i="6"/>
  <c r="L201" i="6"/>
  <c r="P278" i="6"/>
  <c r="Q211" i="6"/>
  <c r="J284" i="6"/>
  <c r="K217" i="6"/>
  <c r="N184" i="6"/>
  <c r="M251" i="6"/>
  <c r="K185" i="6"/>
  <c r="J252" i="6"/>
  <c r="W243" i="6"/>
  <c r="X176" i="6"/>
  <c r="AE243" i="6"/>
  <c r="AF176" i="6"/>
  <c r="AM243" i="6"/>
  <c r="AN176" i="6"/>
  <c r="AU243" i="6"/>
  <c r="AV176" i="6"/>
  <c r="BC243" i="6"/>
  <c r="BD176" i="6"/>
  <c r="BK243" i="6"/>
  <c r="BL176" i="6"/>
  <c r="J247" i="6"/>
  <c r="K180" i="6"/>
  <c r="L251" i="6"/>
  <c r="M184" i="6"/>
  <c r="BQ242" i="6"/>
  <c r="BR175" i="6"/>
  <c r="BR243" i="6"/>
  <c r="BQ243" i="6"/>
  <c r="BR176" i="6"/>
  <c r="BR244" i="6"/>
  <c r="V243" i="6"/>
  <c r="W176" i="6"/>
  <c r="AD243" i="6"/>
  <c r="AE176" i="6"/>
  <c r="AL243" i="6"/>
  <c r="AM176" i="6"/>
  <c r="AT243" i="6"/>
  <c r="AU176" i="6"/>
  <c r="BB243" i="6"/>
  <c r="BC176" i="6"/>
  <c r="BJ243" i="6"/>
  <c r="BK176" i="6"/>
  <c r="K244" i="6"/>
  <c r="L177" i="6"/>
  <c r="S244" i="6"/>
  <c r="T177" i="6"/>
  <c r="K247" i="6"/>
  <c r="L180" i="6"/>
  <c r="F90" i="32"/>
  <c r="F69" i="32"/>
  <c r="G618" i="22"/>
  <c r="X80" i="17"/>
  <c r="Y80" i="17"/>
  <c r="Z80" i="17"/>
  <c r="AA80" i="17"/>
  <c r="AB80" i="17"/>
  <c r="G24" i="17"/>
  <c r="G39" i="17"/>
  <c r="F42" i="17"/>
  <c r="F43" i="17"/>
  <c r="G122" i="21"/>
  <c r="K47" i="21"/>
  <c r="G52" i="21"/>
  <c r="G21" i="17"/>
  <c r="AC75" i="17"/>
  <c r="AD75" i="17"/>
  <c r="AE75" i="17"/>
  <c r="AF75" i="17"/>
  <c r="AG75" i="17"/>
  <c r="F39" i="17"/>
  <c r="F52" i="21"/>
  <c r="P15" i="18"/>
  <c r="G25" i="17"/>
  <c r="AC80" i="17"/>
  <c r="AD80" i="17"/>
  <c r="AE80" i="17"/>
  <c r="AF80" i="17"/>
  <c r="AG80" i="17"/>
  <c r="H24" i="17"/>
  <c r="Q279" i="6"/>
  <c r="R212" i="6"/>
  <c r="AR243" i="6"/>
  <c r="AS176" i="6"/>
  <c r="L276" i="6"/>
  <c r="M209" i="6"/>
  <c r="P211" i="6"/>
  <c r="O278" i="6"/>
  <c r="M299" i="6"/>
  <c r="N232" i="6"/>
  <c r="K300" i="6"/>
  <c r="L233" i="6"/>
  <c r="K246" i="6"/>
  <c r="L179" i="6"/>
  <c r="L270" i="6"/>
  <c r="M203" i="6"/>
  <c r="L277" i="6"/>
  <c r="M210" i="6"/>
  <c r="L223" i="6"/>
  <c r="K290" i="6"/>
  <c r="K293" i="6"/>
  <c r="L226" i="6"/>
  <c r="AX244" i="6"/>
  <c r="AY177" i="6"/>
  <c r="S177" i="6"/>
  <c r="R244" i="6"/>
  <c r="M200" i="6"/>
  <c r="L267" i="6"/>
  <c r="AJ243" i="6"/>
  <c r="AK176" i="6"/>
  <c r="AO244" i="6"/>
  <c r="AP177" i="6"/>
  <c r="AW244" i="6"/>
  <c r="AX177" i="6"/>
  <c r="AQ177" i="6"/>
  <c r="AP244" i="6"/>
  <c r="M274" i="6"/>
  <c r="N207" i="6"/>
  <c r="L290" i="6"/>
  <c r="M223" i="6"/>
  <c r="BM244" i="6"/>
  <c r="BN177" i="6"/>
  <c r="M279" i="6"/>
  <c r="N212" i="6"/>
  <c r="AQ243" i="6"/>
  <c r="AR176" i="6"/>
  <c r="K259" i="6"/>
  <c r="L192" i="6"/>
  <c r="K251" i="6"/>
  <c r="L184" i="6"/>
  <c r="BG243" i="6"/>
  <c r="BH176" i="6"/>
  <c r="AX243" i="6"/>
  <c r="AY176" i="6"/>
  <c r="AZ243" i="6"/>
  <c r="BA176" i="6"/>
  <c r="L289" i="6"/>
  <c r="M222" i="6"/>
  <c r="Y244" i="6"/>
  <c r="Z177" i="6"/>
  <c r="L265" i="6"/>
  <c r="M198" i="6"/>
  <c r="K263" i="6"/>
  <c r="L196" i="6"/>
  <c r="AB243" i="6"/>
  <c r="AC176" i="6"/>
  <c r="N258" i="6"/>
  <c r="O191" i="6"/>
  <c r="BN243" i="6"/>
  <c r="BO176" i="6"/>
  <c r="K284" i="6"/>
  <c r="L217" i="6"/>
  <c r="AY243" i="6"/>
  <c r="AZ176" i="6"/>
  <c r="H92" i="32"/>
  <c r="G93" i="32"/>
  <c r="G83" i="32"/>
  <c r="H647" i="22"/>
  <c r="P177" i="6"/>
  <c r="O244" i="6"/>
  <c r="AL176" i="6"/>
  <c r="AK243" i="6"/>
  <c r="AA176" i="6"/>
  <c r="Z243" i="6"/>
  <c r="K301" i="6"/>
  <c r="L234" i="6"/>
  <c r="L302" i="6"/>
  <c r="BF244" i="6"/>
  <c r="BG177" i="6"/>
  <c r="AS243" i="6"/>
  <c r="AT176" i="6"/>
  <c r="U243" i="6"/>
  <c r="V176" i="6"/>
  <c r="BO243" i="6"/>
  <c r="BP176" i="6"/>
  <c r="AC243" i="6"/>
  <c r="AD176" i="6"/>
  <c r="BG176" i="6"/>
  <c r="BF243" i="6"/>
  <c r="M243" i="6"/>
  <c r="N176" i="6"/>
  <c r="K285" i="6"/>
  <c r="L218" i="6"/>
  <c r="L269" i="6"/>
  <c r="M202" i="6"/>
  <c r="AA243" i="6"/>
  <c r="AB176" i="6"/>
  <c r="L279" i="6"/>
  <c r="M212" i="6"/>
  <c r="L266" i="6"/>
  <c r="M199" i="6"/>
  <c r="L262" i="6"/>
  <c r="M195" i="6"/>
  <c r="K257" i="6"/>
  <c r="L190" i="6"/>
  <c r="K243" i="6"/>
  <c r="L176" i="6"/>
  <c r="K291" i="6"/>
  <c r="L224" i="6"/>
  <c r="BN244" i="6"/>
  <c r="BO177" i="6"/>
  <c r="M220" i="6"/>
  <c r="L287" i="6"/>
  <c r="L280" i="6"/>
  <c r="M213" i="6"/>
  <c r="BQ176" i="6"/>
  <c r="BP243" i="6"/>
  <c r="L282" i="6"/>
  <c r="M215" i="6"/>
  <c r="L191" i="6"/>
  <c r="K258" i="6"/>
  <c r="K256" i="6"/>
  <c r="L189" i="6"/>
  <c r="L272" i="6"/>
  <c r="M205" i="6"/>
  <c r="N290" i="6"/>
  <c r="O223" i="6"/>
  <c r="T243" i="6"/>
  <c r="U176" i="6"/>
  <c r="M247" i="6"/>
  <c r="N180" i="6"/>
  <c r="O300" i="6"/>
  <c r="P233" i="6"/>
  <c r="L231" i="6"/>
  <c r="K298" i="6"/>
  <c r="Q244" i="6"/>
  <c r="R177" i="6"/>
  <c r="M254" i="6"/>
  <c r="N187" i="6"/>
  <c r="AH243" i="6"/>
  <c r="AI176" i="6"/>
  <c r="K270" i="6"/>
  <c r="L203" i="6"/>
  <c r="AA177" i="6"/>
  <c r="Z244" i="6"/>
  <c r="L281" i="6"/>
  <c r="M214" i="6"/>
  <c r="M285" i="6"/>
  <c r="N218" i="6"/>
  <c r="M294" i="6"/>
  <c r="N227" i="6"/>
  <c r="O299" i="6"/>
  <c r="P232" i="6"/>
  <c r="K299" i="6"/>
  <c r="L232" i="6"/>
  <c r="M284" i="6"/>
  <c r="N217" i="6"/>
  <c r="AG244" i="6"/>
  <c r="AH177" i="6"/>
  <c r="BE244" i="6"/>
  <c r="BF177" i="6"/>
  <c r="K260" i="6"/>
  <c r="L193" i="6"/>
  <c r="Q300" i="6"/>
  <c r="R233" i="6"/>
  <c r="L268" i="6"/>
  <c r="M201" i="6"/>
  <c r="BH243" i="6"/>
  <c r="BI176" i="6"/>
  <c r="M256" i="6"/>
  <c r="N189" i="6"/>
  <c r="AI177" i="6"/>
  <c r="AH244" i="6"/>
  <c r="L243" i="6"/>
  <c r="M176" i="6"/>
  <c r="AI243" i="6"/>
  <c r="AJ176" i="6"/>
  <c r="M196" i="6"/>
  <c r="L263" i="6"/>
  <c r="P244" i="6"/>
  <c r="Q177" i="6"/>
  <c r="BB176" i="6"/>
  <c r="BA243" i="6"/>
  <c r="S243" i="6"/>
  <c r="T176" i="6"/>
  <c r="AP243" i="6"/>
  <c r="AQ176" i="6"/>
  <c r="BJ176" i="6"/>
  <c r="BI243" i="6"/>
  <c r="L248" i="6"/>
  <c r="M181" i="6"/>
  <c r="T245" i="6"/>
  <c r="U178" i="6"/>
  <c r="L245" i="6"/>
  <c r="M178" i="6"/>
  <c r="BK244" i="6"/>
  <c r="BL177" i="6"/>
  <c r="BC244" i="6"/>
  <c r="BD177" i="6"/>
  <c r="AU244" i="6"/>
  <c r="AV177" i="6"/>
  <c r="AM244" i="6"/>
  <c r="AN177" i="6"/>
  <c r="AE244" i="6"/>
  <c r="AF177" i="6"/>
  <c r="W244" i="6"/>
  <c r="X177" i="6"/>
  <c r="M252" i="6"/>
  <c r="N185" i="6"/>
  <c r="K248" i="6"/>
  <c r="L181" i="6"/>
  <c r="BM177" i="6"/>
  <c r="BL244" i="6"/>
  <c r="BE177" i="6"/>
  <c r="BD244" i="6"/>
  <c r="AV244" i="6"/>
  <c r="AW177" i="6"/>
  <c r="AN244" i="6"/>
  <c r="AO177" i="6"/>
  <c r="AF244" i="6"/>
  <c r="AG177" i="6"/>
  <c r="X244" i="6"/>
  <c r="Y177" i="6"/>
  <c r="K253" i="6"/>
  <c r="L186" i="6"/>
  <c r="O185" i="6"/>
  <c r="N252" i="6"/>
  <c r="Q15" i="18"/>
  <c r="G90" i="32"/>
  <c r="G69" i="32"/>
  <c r="H618" i="22"/>
  <c r="L63" i="21"/>
  <c r="L49" i="21"/>
  <c r="G42" i="17"/>
  <c r="G43" i="17"/>
  <c r="H122" i="21"/>
  <c r="R15" i="18"/>
  <c r="H39" i="17"/>
  <c r="H52" i="21"/>
  <c r="H21" i="17"/>
  <c r="AH75" i="17"/>
  <c r="AI75" i="17"/>
  <c r="AJ75" i="17"/>
  <c r="AK75" i="17"/>
  <c r="AL75" i="17"/>
  <c r="AH80" i="17"/>
  <c r="AI80" i="17"/>
  <c r="AJ80" i="17"/>
  <c r="AK80" i="17"/>
  <c r="AL80" i="17"/>
  <c r="I24" i="17"/>
  <c r="H25" i="17"/>
  <c r="M244" i="6"/>
  <c r="N177" i="6"/>
  <c r="AH245" i="6"/>
  <c r="AI178" i="6"/>
  <c r="M282" i="6"/>
  <c r="N215" i="6"/>
  <c r="M283" i="6"/>
  <c r="N216" i="6"/>
  <c r="L244" i="6"/>
  <c r="M177" i="6"/>
  <c r="N197" i="6"/>
  <c r="M264" i="6"/>
  <c r="BF245" i="6"/>
  <c r="BG178" i="6"/>
  <c r="P300" i="6"/>
  <c r="Q233" i="6"/>
  <c r="R245" i="6"/>
  <c r="S178" i="6"/>
  <c r="U244" i="6"/>
  <c r="V177" i="6"/>
  <c r="M273" i="6"/>
  <c r="N206" i="6"/>
  <c r="L292" i="6"/>
  <c r="M225" i="6"/>
  <c r="L258" i="6"/>
  <c r="M191" i="6"/>
  <c r="M267" i="6"/>
  <c r="N200" i="6"/>
  <c r="M270" i="6"/>
  <c r="N203" i="6"/>
  <c r="N244" i="6"/>
  <c r="O177" i="6"/>
  <c r="AD244" i="6"/>
  <c r="AE177" i="6"/>
  <c r="V244" i="6"/>
  <c r="W177" i="6"/>
  <c r="BG245" i="6"/>
  <c r="BH178" i="6"/>
  <c r="N257" i="6"/>
  <c r="O190" i="6"/>
  <c r="L261" i="6"/>
  <c r="M194" i="6"/>
  <c r="L300" i="6"/>
  <c r="M233" i="6"/>
  <c r="L271" i="6"/>
  <c r="M204" i="6"/>
  <c r="O291" i="6"/>
  <c r="P224" i="6"/>
  <c r="M281" i="6"/>
  <c r="N214" i="6"/>
  <c r="M263" i="6"/>
  <c r="N196" i="6"/>
  <c r="BB244" i="6"/>
  <c r="BC177" i="6"/>
  <c r="AJ244" i="6"/>
  <c r="AK177" i="6"/>
  <c r="BI244" i="6"/>
  <c r="BJ177" i="6"/>
  <c r="S234" i="6"/>
  <c r="S302" i="6"/>
  <c r="R301" i="6"/>
  <c r="N285" i="6"/>
  <c r="O218" i="6"/>
  <c r="N286" i="6"/>
  <c r="O219" i="6"/>
  <c r="AI244" i="6"/>
  <c r="AJ177" i="6"/>
  <c r="P301" i="6"/>
  <c r="Q234" i="6"/>
  <c r="Q302" i="6"/>
  <c r="M280" i="6"/>
  <c r="N213" i="6"/>
  <c r="S245" i="6"/>
  <c r="T178" i="6"/>
  <c r="AS244" i="6"/>
  <c r="AT177" i="6"/>
  <c r="T244" i="6"/>
  <c r="U177" i="6"/>
  <c r="R178" i="6"/>
  <c r="Q245" i="6"/>
  <c r="AI245" i="6"/>
  <c r="AJ178" i="6"/>
  <c r="AA245" i="6"/>
  <c r="AB178" i="6"/>
  <c r="L259" i="6"/>
  <c r="M192" i="6"/>
  <c r="BQ244" i="6"/>
  <c r="BR177" i="6"/>
  <c r="BR245" i="6"/>
  <c r="N221" i="6"/>
  <c r="M288" i="6"/>
  <c r="AA244" i="6"/>
  <c r="AB177" i="6"/>
  <c r="P245" i="6"/>
  <c r="Q178" i="6"/>
  <c r="L285" i="6"/>
  <c r="M218" i="6"/>
  <c r="P192" i="6"/>
  <c r="O259" i="6"/>
  <c r="L264" i="6"/>
  <c r="M197" i="6"/>
  <c r="Z245" i="6"/>
  <c r="AA178" i="6"/>
  <c r="BA244" i="6"/>
  <c r="BB177" i="6"/>
  <c r="BI177" i="6"/>
  <c r="BH244" i="6"/>
  <c r="L260" i="6"/>
  <c r="M193" i="6"/>
  <c r="N280" i="6"/>
  <c r="O213" i="6"/>
  <c r="M291" i="6"/>
  <c r="N224" i="6"/>
  <c r="AP245" i="6"/>
  <c r="AQ178" i="6"/>
  <c r="AY245" i="6"/>
  <c r="AZ178" i="6"/>
  <c r="M271" i="6"/>
  <c r="N204" i="6"/>
  <c r="L301" i="6"/>
  <c r="M234" i="6"/>
  <c r="M302" i="6"/>
  <c r="BJ244" i="6"/>
  <c r="BK177" i="6"/>
  <c r="M269" i="6"/>
  <c r="N202" i="6"/>
  <c r="N295" i="6"/>
  <c r="O228" i="6"/>
  <c r="N255" i="6"/>
  <c r="O188" i="6"/>
  <c r="N248" i="6"/>
  <c r="O181" i="6"/>
  <c r="L257" i="6"/>
  <c r="M190" i="6"/>
  <c r="BO245" i="6"/>
  <c r="BP178" i="6"/>
  <c r="AB244" i="6"/>
  <c r="AC177" i="6"/>
  <c r="L286" i="6"/>
  <c r="M219" i="6"/>
  <c r="BP244" i="6"/>
  <c r="BQ177" i="6"/>
  <c r="AT244" i="6"/>
  <c r="AU177" i="6"/>
  <c r="AQ245" i="6"/>
  <c r="AR178" i="6"/>
  <c r="N201" i="6"/>
  <c r="M268" i="6"/>
  <c r="M224" i="6"/>
  <c r="L291" i="6"/>
  <c r="Q212" i="6"/>
  <c r="P279" i="6"/>
  <c r="M277" i="6"/>
  <c r="N210" i="6"/>
  <c r="R280" i="6"/>
  <c r="S213" i="6"/>
  <c r="AQ244" i="6"/>
  <c r="AR177" i="6"/>
  <c r="L299" i="6"/>
  <c r="M232" i="6"/>
  <c r="BG244" i="6"/>
  <c r="BH177" i="6"/>
  <c r="AL244" i="6"/>
  <c r="AM177" i="6"/>
  <c r="I92" i="32"/>
  <c r="H93" i="32"/>
  <c r="H83" i="32"/>
  <c r="I647" i="22"/>
  <c r="BA177" i="6"/>
  <c r="AZ244" i="6"/>
  <c r="BO244" i="6"/>
  <c r="BP177" i="6"/>
  <c r="AC244" i="6"/>
  <c r="AD177" i="6"/>
  <c r="M266" i="6"/>
  <c r="N199" i="6"/>
  <c r="M290" i="6"/>
  <c r="N223" i="6"/>
  <c r="AY244" i="6"/>
  <c r="AZ177" i="6"/>
  <c r="L252" i="6"/>
  <c r="M185" i="6"/>
  <c r="AR244" i="6"/>
  <c r="AS177" i="6"/>
  <c r="BN245" i="6"/>
  <c r="BO178" i="6"/>
  <c r="N275" i="6"/>
  <c r="O208" i="6"/>
  <c r="AX245" i="6"/>
  <c r="AY178" i="6"/>
  <c r="AK244" i="6"/>
  <c r="AL177" i="6"/>
  <c r="L294" i="6"/>
  <c r="M227" i="6"/>
  <c r="M278" i="6"/>
  <c r="N211" i="6"/>
  <c r="L247" i="6"/>
  <c r="M180" i="6"/>
  <c r="N300" i="6"/>
  <c r="O233" i="6"/>
  <c r="L254" i="6"/>
  <c r="M187" i="6"/>
  <c r="O253" i="6"/>
  <c r="P186" i="6"/>
  <c r="Z178" i="6"/>
  <c r="Y245" i="6"/>
  <c r="AH178" i="6"/>
  <c r="AG245" i="6"/>
  <c r="AP178" i="6"/>
  <c r="AO245" i="6"/>
  <c r="AX178" i="6"/>
  <c r="AW245" i="6"/>
  <c r="L249" i="6"/>
  <c r="M182" i="6"/>
  <c r="N253" i="6"/>
  <c r="O186" i="6"/>
  <c r="X245" i="6"/>
  <c r="Y178" i="6"/>
  <c r="AF245" i="6"/>
  <c r="AG178" i="6"/>
  <c r="AN245" i="6"/>
  <c r="AO178" i="6"/>
  <c r="AV245" i="6"/>
  <c r="AW178" i="6"/>
  <c r="BD245" i="6"/>
  <c r="BE178" i="6"/>
  <c r="BL245" i="6"/>
  <c r="BM178" i="6"/>
  <c r="M246" i="6"/>
  <c r="N179" i="6"/>
  <c r="U246" i="6"/>
  <c r="V179" i="6"/>
  <c r="M249" i="6"/>
  <c r="N182" i="6"/>
  <c r="BF178" i="6"/>
  <c r="BE245" i="6"/>
  <c r="BM245" i="6"/>
  <c r="BN178" i="6"/>
  <c r="H90" i="32"/>
  <c r="H69" i="32"/>
  <c r="I618" i="22"/>
  <c r="H42" i="17"/>
  <c r="H43" i="17"/>
  <c r="I122" i="21"/>
  <c r="I52" i="21"/>
  <c r="S15" i="18"/>
  <c r="I39" i="17"/>
  <c r="I21" i="17"/>
  <c r="AM75" i="17"/>
  <c r="AN75" i="17"/>
  <c r="AO75" i="17"/>
  <c r="AP75" i="17"/>
  <c r="AQ75" i="17"/>
  <c r="I25" i="17"/>
  <c r="AM80" i="17"/>
  <c r="AN80" i="17"/>
  <c r="AO80" i="17"/>
  <c r="AP80" i="17"/>
  <c r="AQ80" i="17"/>
  <c r="J24" i="17"/>
  <c r="P234" i="6"/>
  <c r="P302" i="6"/>
  <c r="O301" i="6"/>
  <c r="N279" i="6"/>
  <c r="O212" i="6"/>
  <c r="AL245" i="6"/>
  <c r="AM178" i="6"/>
  <c r="O276" i="6"/>
  <c r="P209" i="6"/>
  <c r="AS245" i="6"/>
  <c r="AT178" i="6"/>
  <c r="BA178" i="6"/>
  <c r="AZ245" i="6"/>
  <c r="N267" i="6"/>
  <c r="O200" i="6"/>
  <c r="BQ178" i="6"/>
  <c r="BP245" i="6"/>
  <c r="BH245" i="6"/>
  <c r="BI178" i="6"/>
  <c r="P182" i="6"/>
  <c r="O249" i="6"/>
  <c r="BK245" i="6"/>
  <c r="BL178" i="6"/>
  <c r="N272" i="6"/>
  <c r="O205" i="6"/>
  <c r="P214" i="6"/>
  <c r="O281" i="6"/>
  <c r="AJ246" i="6"/>
  <c r="AK179" i="6"/>
  <c r="AK245" i="6"/>
  <c r="AL178" i="6"/>
  <c r="N264" i="6"/>
  <c r="O197" i="6"/>
  <c r="P292" i="6"/>
  <c r="Q225" i="6"/>
  <c r="M301" i="6"/>
  <c r="N234" i="6"/>
  <c r="N302" i="6"/>
  <c r="O258" i="6"/>
  <c r="P191" i="6"/>
  <c r="W245" i="6"/>
  <c r="X178" i="6"/>
  <c r="O245" i="6"/>
  <c r="P178" i="6"/>
  <c r="N268" i="6"/>
  <c r="O201" i="6"/>
  <c r="V245" i="6"/>
  <c r="W178" i="6"/>
  <c r="Q301" i="6"/>
  <c r="R234" i="6"/>
  <c r="R302" i="6"/>
  <c r="N284" i="6"/>
  <c r="O217" i="6"/>
  <c r="AI246" i="6"/>
  <c r="AJ179" i="6"/>
  <c r="J92" i="32"/>
  <c r="I93" i="32"/>
  <c r="I83" i="32"/>
  <c r="J647" i="22"/>
  <c r="N233" i="6"/>
  <c r="M300" i="6"/>
  <c r="S281" i="6"/>
  <c r="T214" i="6"/>
  <c r="AU245" i="6"/>
  <c r="AV178" i="6"/>
  <c r="M287" i="6"/>
  <c r="N220" i="6"/>
  <c r="BI245" i="6"/>
  <c r="BJ178" i="6"/>
  <c r="P260" i="6"/>
  <c r="Q193" i="6"/>
  <c r="N289" i="6"/>
  <c r="O222" i="6"/>
  <c r="N265" i="6"/>
  <c r="O198" i="6"/>
  <c r="M248" i="6"/>
  <c r="N181" i="6"/>
  <c r="M295" i="6"/>
  <c r="N228" i="6"/>
  <c r="AY246" i="6"/>
  <c r="AZ179" i="6"/>
  <c r="BO246" i="6"/>
  <c r="BP179" i="6"/>
  <c r="M253" i="6"/>
  <c r="N186" i="6"/>
  <c r="N291" i="6"/>
  <c r="O224" i="6"/>
  <c r="AD245" i="6"/>
  <c r="AE178" i="6"/>
  <c r="AM245" i="6"/>
  <c r="AN178" i="6"/>
  <c r="R213" i="6"/>
  <c r="Q280" i="6"/>
  <c r="N269" i="6"/>
  <c r="O202" i="6"/>
  <c r="M258" i="6"/>
  <c r="N191" i="6"/>
  <c r="P189" i="6"/>
  <c r="O256" i="6"/>
  <c r="N270" i="6"/>
  <c r="O203" i="6"/>
  <c r="AZ246" i="6"/>
  <c r="BA179" i="6"/>
  <c r="N292" i="6"/>
  <c r="O225" i="6"/>
  <c r="M261" i="6"/>
  <c r="N194" i="6"/>
  <c r="BB245" i="6"/>
  <c r="BC178" i="6"/>
  <c r="M265" i="6"/>
  <c r="N198" i="6"/>
  <c r="M286" i="6"/>
  <c r="N219" i="6"/>
  <c r="AB245" i="6"/>
  <c r="AC178" i="6"/>
  <c r="AB246" i="6"/>
  <c r="AC179" i="6"/>
  <c r="AT245" i="6"/>
  <c r="AU178" i="6"/>
  <c r="O214" i="6"/>
  <c r="N281" i="6"/>
  <c r="AK178" i="6"/>
  <c r="AJ245" i="6"/>
  <c r="O286" i="6"/>
  <c r="P219" i="6"/>
  <c r="BJ245" i="6"/>
  <c r="BK178" i="6"/>
  <c r="BC245" i="6"/>
  <c r="BD178" i="6"/>
  <c r="N282" i="6"/>
  <c r="O215" i="6"/>
  <c r="N205" i="6"/>
  <c r="M272" i="6"/>
  <c r="M262" i="6"/>
  <c r="N195" i="6"/>
  <c r="BH246" i="6"/>
  <c r="BI179" i="6"/>
  <c r="AE245" i="6"/>
  <c r="AF178" i="6"/>
  <c r="N271" i="6"/>
  <c r="O204" i="6"/>
  <c r="M259" i="6"/>
  <c r="N192" i="6"/>
  <c r="N274" i="6"/>
  <c r="O207" i="6"/>
  <c r="S246" i="6"/>
  <c r="T179" i="6"/>
  <c r="BG246" i="6"/>
  <c r="BH179" i="6"/>
  <c r="N178" i="6"/>
  <c r="M245" i="6"/>
  <c r="N283" i="6"/>
  <c r="O216" i="6"/>
  <c r="N245" i="6"/>
  <c r="O178" i="6"/>
  <c r="N225" i="6"/>
  <c r="M292" i="6"/>
  <c r="BP246" i="6"/>
  <c r="BQ179" i="6"/>
  <c r="O296" i="6"/>
  <c r="P229" i="6"/>
  <c r="AQ246" i="6"/>
  <c r="AR179" i="6"/>
  <c r="AA246" i="6"/>
  <c r="AB179" i="6"/>
  <c r="Q246" i="6"/>
  <c r="R179" i="6"/>
  <c r="M260" i="6"/>
  <c r="N193" i="6"/>
  <c r="U245" i="6"/>
  <c r="V178" i="6"/>
  <c r="T246" i="6"/>
  <c r="U179" i="6"/>
  <c r="O287" i="6"/>
  <c r="P220" i="6"/>
  <c r="M293" i="6"/>
  <c r="N226" i="6"/>
  <c r="BA245" i="6"/>
  <c r="BB178" i="6"/>
  <c r="AR245" i="6"/>
  <c r="AS178" i="6"/>
  <c r="N278" i="6"/>
  <c r="O211" i="6"/>
  <c r="AR246" i="6"/>
  <c r="AS179" i="6"/>
  <c r="BQ245" i="6"/>
  <c r="BR178" i="6"/>
  <c r="BR246" i="6"/>
  <c r="AC245" i="6"/>
  <c r="AD178" i="6"/>
  <c r="R246" i="6"/>
  <c r="S179" i="6"/>
  <c r="BF246" i="6"/>
  <c r="BG179" i="6"/>
  <c r="BN246" i="6"/>
  <c r="BO179" i="6"/>
  <c r="N250" i="6"/>
  <c r="O183" i="6"/>
  <c r="V247" i="6"/>
  <c r="W180" i="6"/>
  <c r="N247" i="6"/>
  <c r="O180" i="6"/>
  <c r="BM246" i="6"/>
  <c r="BN179" i="6"/>
  <c r="BE246" i="6"/>
  <c r="BF179" i="6"/>
  <c r="AW246" i="6"/>
  <c r="AX179" i="6"/>
  <c r="AO246" i="6"/>
  <c r="AP179" i="6"/>
  <c r="AG246" i="6"/>
  <c r="AH179" i="6"/>
  <c r="Y246" i="6"/>
  <c r="Z179" i="6"/>
  <c r="P187" i="6"/>
  <c r="O254" i="6"/>
  <c r="M250" i="6"/>
  <c r="N183" i="6"/>
  <c r="P254" i="6"/>
  <c r="Q187" i="6"/>
  <c r="M255" i="6"/>
  <c r="N188" i="6"/>
  <c r="AX246" i="6"/>
  <c r="AY179" i="6"/>
  <c r="AP246" i="6"/>
  <c r="AQ179" i="6"/>
  <c r="AH246" i="6"/>
  <c r="AI179" i="6"/>
  <c r="AA179" i="6"/>
  <c r="Z246" i="6"/>
  <c r="I90" i="32"/>
  <c r="I69" i="32"/>
  <c r="J618" i="22"/>
  <c r="I42" i="17"/>
  <c r="I43" i="17"/>
  <c r="J122" i="21"/>
  <c r="J39" i="17"/>
  <c r="J52" i="21"/>
  <c r="T15" i="18"/>
  <c r="J21" i="17"/>
  <c r="AR75" i="17"/>
  <c r="AS75" i="17"/>
  <c r="AT75" i="17"/>
  <c r="AU75" i="17"/>
  <c r="AV75" i="17"/>
  <c r="AR80" i="17"/>
  <c r="AS80" i="17"/>
  <c r="AT80" i="17"/>
  <c r="AU80" i="17"/>
  <c r="AV80" i="17"/>
  <c r="K24" i="17"/>
  <c r="J25" i="17"/>
  <c r="AE179" i="6"/>
  <c r="AD246" i="6"/>
  <c r="AS247" i="6"/>
  <c r="AT180" i="6"/>
  <c r="AS246" i="6"/>
  <c r="AT179" i="6"/>
  <c r="N294" i="6"/>
  <c r="O227" i="6"/>
  <c r="U247" i="6"/>
  <c r="V180" i="6"/>
  <c r="N261" i="6"/>
  <c r="O194" i="6"/>
  <c r="AB247" i="6"/>
  <c r="AC180" i="6"/>
  <c r="P297" i="6"/>
  <c r="Q230" i="6"/>
  <c r="O284" i="6"/>
  <c r="P217" i="6"/>
  <c r="BH247" i="6"/>
  <c r="BI180" i="6"/>
  <c r="P208" i="6"/>
  <c r="O275" i="6"/>
  <c r="O272" i="6"/>
  <c r="P205" i="6"/>
  <c r="BJ180" i="6"/>
  <c r="BI247" i="6"/>
  <c r="BD246" i="6"/>
  <c r="BE179" i="6"/>
  <c r="Q220" i="6"/>
  <c r="P287" i="6"/>
  <c r="AC247" i="6"/>
  <c r="AD180" i="6"/>
  <c r="N287" i="6"/>
  <c r="O220" i="6"/>
  <c r="BC246" i="6"/>
  <c r="BD179" i="6"/>
  <c r="P226" i="6"/>
  <c r="O293" i="6"/>
  <c r="P204" i="6"/>
  <c r="O271" i="6"/>
  <c r="N259" i="6"/>
  <c r="O192" i="6"/>
  <c r="AE246" i="6"/>
  <c r="AF179" i="6"/>
  <c r="O187" i="6"/>
  <c r="N254" i="6"/>
  <c r="AZ247" i="6"/>
  <c r="BA180" i="6"/>
  <c r="N249" i="6"/>
  <c r="O182" i="6"/>
  <c r="P223" i="6"/>
  <c r="O290" i="6"/>
  <c r="BJ246" i="6"/>
  <c r="BK179" i="6"/>
  <c r="AV246" i="6"/>
  <c r="AW179" i="6"/>
  <c r="AJ247" i="6"/>
  <c r="AK180" i="6"/>
  <c r="P202" i="6"/>
  <c r="O269" i="6"/>
  <c r="X246" i="6"/>
  <c r="Y179" i="6"/>
  <c r="P198" i="6"/>
  <c r="O265" i="6"/>
  <c r="AK247" i="6"/>
  <c r="AL180" i="6"/>
  <c r="O273" i="6"/>
  <c r="P206" i="6"/>
  <c r="P277" i="6"/>
  <c r="Q210" i="6"/>
  <c r="O280" i="6"/>
  <c r="P213" i="6"/>
  <c r="O226" i="6"/>
  <c r="N293" i="6"/>
  <c r="N273" i="6"/>
  <c r="O206" i="6"/>
  <c r="O282" i="6"/>
  <c r="P215" i="6"/>
  <c r="S214" i="6"/>
  <c r="R281" i="6"/>
  <c r="O234" i="6"/>
  <c r="O302" i="6"/>
  <c r="N301" i="6"/>
  <c r="P250" i="6"/>
  <c r="Q183" i="6"/>
  <c r="BR179" i="6"/>
  <c r="BR247" i="6"/>
  <c r="BQ246" i="6"/>
  <c r="BA246" i="6"/>
  <c r="BB179" i="6"/>
  <c r="S247" i="6"/>
  <c r="T180" i="6"/>
  <c r="O279" i="6"/>
  <c r="P212" i="6"/>
  <c r="BB246" i="6"/>
  <c r="BC179" i="6"/>
  <c r="P288" i="6"/>
  <c r="Q221" i="6"/>
  <c r="W179" i="6"/>
  <c r="V246" i="6"/>
  <c r="R247" i="6"/>
  <c r="S180" i="6"/>
  <c r="AR247" i="6"/>
  <c r="AS180" i="6"/>
  <c r="BQ247" i="6"/>
  <c r="BR180" i="6"/>
  <c r="BR248" i="6"/>
  <c r="P179" i="6"/>
  <c r="O246" i="6"/>
  <c r="T247" i="6"/>
  <c r="U180" i="6"/>
  <c r="N260" i="6"/>
  <c r="O193" i="6"/>
  <c r="AF246" i="6"/>
  <c r="AG179" i="6"/>
  <c r="N263" i="6"/>
  <c r="O196" i="6"/>
  <c r="O283" i="6"/>
  <c r="P216" i="6"/>
  <c r="BK246" i="6"/>
  <c r="BL179" i="6"/>
  <c r="AU246" i="6"/>
  <c r="AV179" i="6"/>
  <c r="AC246" i="6"/>
  <c r="AD179" i="6"/>
  <c r="N266" i="6"/>
  <c r="O199" i="6"/>
  <c r="N262" i="6"/>
  <c r="O195" i="6"/>
  <c r="BB180" i="6"/>
  <c r="BA247" i="6"/>
  <c r="O270" i="6"/>
  <c r="P203" i="6"/>
  <c r="AN246" i="6"/>
  <c r="AO179" i="6"/>
  <c r="O292" i="6"/>
  <c r="P225" i="6"/>
  <c r="BQ180" i="6"/>
  <c r="BP247" i="6"/>
  <c r="N296" i="6"/>
  <c r="O229" i="6"/>
  <c r="O266" i="6"/>
  <c r="P199" i="6"/>
  <c r="Q261" i="6"/>
  <c r="R194" i="6"/>
  <c r="N288" i="6"/>
  <c r="O221" i="6"/>
  <c r="T282" i="6"/>
  <c r="U215" i="6"/>
  <c r="P218" i="6"/>
  <c r="O285" i="6"/>
  <c r="W246" i="6"/>
  <c r="X179" i="6"/>
  <c r="P246" i="6"/>
  <c r="Q179" i="6"/>
  <c r="Q192" i="6"/>
  <c r="P259" i="6"/>
  <c r="Q293" i="6"/>
  <c r="R226" i="6"/>
  <c r="AL246" i="6"/>
  <c r="AM179" i="6"/>
  <c r="BL246" i="6"/>
  <c r="BM179" i="6"/>
  <c r="BI246" i="6"/>
  <c r="BJ179" i="6"/>
  <c r="O268" i="6"/>
  <c r="P201" i="6"/>
  <c r="AT246" i="6"/>
  <c r="AU179" i="6"/>
  <c r="AM246" i="6"/>
  <c r="AN179" i="6"/>
  <c r="O179" i="6"/>
  <c r="N246" i="6"/>
  <c r="AK246" i="6"/>
  <c r="AL179" i="6"/>
  <c r="P257" i="6"/>
  <c r="Q190" i="6"/>
  <c r="K92" i="32"/>
  <c r="K93" i="32"/>
  <c r="K83" i="32"/>
  <c r="L647" i="22"/>
  <c r="J93" i="32"/>
  <c r="J83" i="32"/>
  <c r="K647" i="22"/>
  <c r="P282" i="6"/>
  <c r="Q215" i="6"/>
  <c r="AI247" i="6"/>
  <c r="AJ180" i="6"/>
  <c r="AQ247" i="6"/>
  <c r="AR180" i="6"/>
  <c r="AY247" i="6"/>
  <c r="AZ180" i="6"/>
  <c r="AA247" i="6"/>
  <c r="AB180" i="6"/>
  <c r="N256" i="6"/>
  <c r="O189" i="6"/>
  <c r="Q255" i="6"/>
  <c r="R188" i="6"/>
  <c r="N251" i="6"/>
  <c r="O184" i="6"/>
  <c r="Z247" i="6"/>
  <c r="AA180" i="6"/>
  <c r="AH247" i="6"/>
  <c r="AI180" i="6"/>
  <c r="AP247" i="6"/>
  <c r="AQ180" i="6"/>
  <c r="AX247" i="6"/>
  <c r="AY180" i="6"/>
  <c r="BF247" i="6"/>
  <c r="BG180" i="6"/>
  <c r="BN247" i="6"/>
  <c r="BO180" i="6"/>
  <c r="P181" i="6"/>
  <c r="O248" i="6"/>
  <c r="W248" i="6"/>
  <c r="X181" i="6"/>
  <c r="O251" i="6"/>
  <c r="P184" i="6"/>
  <c r="BO247" i="6"/>
  <c r="BP180" i="6"/>
  <c r="BH180" i="6"/>
  <c r="BG247" i="6"/>
  <c r="P255" i="6"/>
  <c r="Q188" i="6"/>
  <c r="J90" i="32"/>
  <c r="J69" i="32"/>
  <c r="K618" i="22"/>
  <c r="K90" i="32"/>
  <c r="K69" i="32"/>
  <c r="L618" i="22"/>
  <c r="J42" i="17"/>
  <c r="J43" i="17"/>
  <c r="K122" i="21"/>
  <c r="K52" i="21"/>
  <c r="U15" i="18"/>
  <c r="K39" i="17"/>
  <c r="K21" i="17"/>
  <c r="AW75" i="17"/>
  <c r="AX75" i="17"/>
  <c r="AY75" i="17"/>
  <c r="AZ75" i="17"/>
  <c r="BA75" i="17"/>
  <c r="BB75" i="17"/>
  <c r="BC75" i="17"/>
  <c r="BD75" i="17"/>
  <c r="BE75" i="17"/>
  <c r="BF75" i="17"/>
  <c r="K25" i="17"/>
  <c r="AW80" i="17"/>
  <c r="AX80" i="17"/>
  <c r="AY80" i="17"/>
  <c r="AZ80" i="17"/>
  <c r="BA80" i="17"/>
  <c r="BB80" i="17"/>
  <c r="BC80" i="17"/>
  <c r="BD80" i="17"/>
  <c r="BE80" i="17"/>
  <c r="BF80" i="17"/>
  <c r="AL247" i="6"/>
  <c r="AM180" i="6"/>
  <c r="AN247" i="6"/>
  <c r="AO180" i="6"/>
  <c r="P269" i="6"/>
  <c r="Q202" i="6"/>
  <c r="BM247" i="6"/>
  <c r="BN180" i="6"/>
  <c r="R294" i="6"/>
  <c r="S227" i="6"/>
  <c r="Q247" i="6"/>
  <c r="R180" i="6"/>
  <c r="P222" i="6"/>
  <c r="O289" i="6"/>
  <c r="P267" i="6"/>
  <c r="Q200" i="6"/>
  <c r="AO247" i="6"/>
  <c r="AP180" i="6"/>
  <c r="P200" i="6"/>
  <c r="O267" i="6"/>
  <c r="AV247" i="6"/>
  <c r="AW180" i="6"/>
  <c r="P284" i="6"/>
  <c r="Q217" i="6"/>
  <c r="AG247" i="6"/>
  <c r="AH180" i="6"/>
  <c r="U248" i="6"/>
  <c r="V181" i="6"/>
  <c r="S248" i="6"/>
  <c r="T181" i="6"/>
  <c r="Q289" i="6"/>
  <c r="R222" i="6"/>
  <c r="P280" i="6"/>
  <c r="Q213" i="6"/>
  <c r="BB247" i="6"/>
  <c r="BC180" i="6"/>
  <c r="R184" i="6"/>
  <c r="Q251" i="6"/>
  <c r="O274" i="6"/>
  <c r="P207" i="6"/>
  <c r="P281" i="6"/>
  <c r="Q214" i="6"/>
  <c r="P274" i="6"/>
  <c r="Q207" i="6"/>
  <c r="AW247" i="6"/>
  <c r="AX180" i="6"/>
  <c r="BA248" i="6"/>
  <c r="BB181" i="6"/>
  <c r="AF247" i="6"/>
  <c r="AG180" i="6"/>
  <c r="BD247" i="6"/>
  <c r="BE180" i="6"/>
  <c r="AD248" i="6"/>
  <c r="AE181" i="6"/>
  <c r="BE247" i="6"/>
  <c r="BF180" i="6"/>
  <c r="P273" i="6"/>
  <c r="Q206" i="6"/>
  <c r="BJ181" i="6"/>
  <c r="BI248" i="6"/>
  <c r="Q298" i="6"/>
  <c r="R231" i="6"/>
  <c r="O262" i="6"/>
  <c r="P195" i="6"/>
  <c r="O295" i="6"/>
  <c r="P228" i="6"/>
  <c r="AT248" i="6"/>
  <c r="AU181" i="6"/>
  <c r="P286" i="6"/>
  <c r="Q219" i="6"/>
  <c r="P270" i="6"/>
  <c r="Q203" i="6"/>
  <c r="P272" i="6"/>
  <c r="Q205" i="6"/>
  <c r="Q283" i="6"/>
  <c r="R216" i="6"/>
  <c r="Q258" i="6"/>
  <c r="R191" i="6"/>
  <c r="AU247" i="6"/>
  <c r="AV180" i="6"/>
  <c r="BJ247" i="6"/>
  <c r="BK180" i="6"/>
  <c r="AM247" i="6"/>
  <c r="AN180" i="6"/>
  <c r="X247" i="6"/>
  <c r="Y180" i="6"/>
  <c r="U283" i="6"/>
  <c r="V216" i="6"/>
  <c r="R262" i="6"/>
  <c r="S195" i="6"/>
  <c r="P230" i="6"/>
  <c r="O297" i="6"/>
  <c r="P293" i="6"/>
  <c r="Q226" i="6"/>
  <c r="P271" i="6"/>
  <c r="Q204" i="6"/>
  <c r="P196" i="6"/>
  <c r="O263" i="6"/>
  <c r="AD247" i="6"/>
  <c r="AE180" i="6"/>
  <c r="BL247" i="6"/>
  <c r="BM180" i="6"/>
  <c r="O264" i="6"/>
  <c r="P197" i="6"/>
  <c r="P194" i="6"/>
  <c r="O261" i="6"/>
  <c r="AS248" i="6"/>
  <c r="AT181" i="6"/>
  <c r="BD180" i="6"/>
  <c r="BC247" i="6"/>
  <c r="T248" i="6"/>
  <c r="U181" i="6"/>
  <c r="P283" i="6"/>
  <c r="Q216" i="6"/>
  <c r="Q278" i="6"/>
  <c r="R211" i="6"/>
  <c r="AL248" i="6"/>
  <c r="AM181" i="6"/>
  <c r="Y247" i="6"/>
  <c r="Z180" i="6"/>
  <c r="AK248" i="6"/>
  <c r="AL181" i="6"/>
  <c r="BL180" i="6"/>
  <c r="BK247" i="6"/>
  <c r="P183" i="6"/>
  <c r="O250" i="6"/>
  <c r="O260" i="6"/>
  <c r="P193" i="6"/>
  <c r="O288" i="6"/>
  <c r="P221" i="6"/>
  <c r="P285" i="6"/>
  <c r="Q218" i="6"/>
  <c r="AC248" i="6"/>
  <c r="AD181" i="6"/>
  <c r="V248" i="6"/>
  <c r="W181" i="6"/>
  <c r="AT247" i="6"/>
  <c r="AU180" i="6"/>
  <c r="BQ248" i="6"/>
  <c r="BR181" i="6"/>
  <c r="BR249" i="6"/>
  <c r="BC181" i="6"/>
  <c r="BB248" i="6"/>
  <c r="T215" i="6"/>
  <c r="S282" i="6"/>
  <c r="P266" i="6"/>
  <c r="Q199" i="6"/>
  <c r="Q224" i="6"/>
  <c r="P291" i="6"/>
  <c r="O247" i="6"/>
  <c r="P180" i="6"/>
  <c r="R193" i="6"/>
  <c r="Q260" i="6"/>
  <c r="P247" i="6"/>
  <c r="Q180" i="6"/>
  <c r="W247" i="6"/>
  <c r="X180" i="6"/>
  <c r="O294" i="6"/>
  <c r="P227" i="6"/>
  <c r="P188" i="6"/>
  <c r="O255" i="6"/>
  <c r="P294" i="6"/>
  <c r="Q227" i="6"/>
  <c r="R221" i="6"/>
  <c r="Q288" i="6"/>
  <c r="BJ248" i="6"/>
  <c r="BK181" i="6"/>
  <c r="P276" i="6"/>
  <c r="Q209" i="6"/>
  <c r="AE247" i="6"/>
  <c r="AF180" i="6"/>
  <c r="Q256" i="6"/>
  <c r="R189" i="6"/>
  <c r="BP248" i="6"/>
  <c r="BQ181" i="6"/>
  <c r="P252" i="6"/>
  <c r="Q185" i="6"/>
  <c r="X249" i="6"/>
  <c r="Y182" i="6"/>
  <c r="BO248" i="6"/>
  <c r="BP181" i="6"/>
  <c r="BG248" i="6"/>
  <c r="BH181" i="6"/>
  <c r="AY248" i="6"/>
  <c r="AZ181" i="6"/>
  <c r="AQ248" i="6"/>
  <c r="AR181" i="6"/>
  <c r="AI248" i="6"/>
  <c r="AJ181" i="6"/>
  <c r="AA248" i="6"/>
  <c r="AB181" i="6"/>
  <c r="P185" i="6"/>
  <c r="O252" i="6"/>
  <c r="R256" i="6"/>
  <c r="S189" i="6"/>
  <c r="P190" i="6"/>
  <c r="O257" i="6"/>
  <c r="AB248" i="6"/>
  <c r="AC181" i="6"/>
  <c r="AZ248" i="6"/>
  <c r="BA181" i="6"/>
  <c r="AR248" i="6"/>
  <c r="AS181" i="6"/>
  <c r="AJ248" i="6"/>
  <c r="AK181" i="6"/>
  <c r="BH248" i="6"/>
  <c r="BI181" i="6"/>
  <c r="P249" i="6"/>
  <c r="Q182" i="6"/>
  <c r="K42" i="17"/>
  <c r="K43" i="17"/>
  <c r="L122" i="21"/>
  <c r="Q277" i="6"/>
  <c r="R210" i="6"/>
  <c r="Q286" i="6"/>
  <c r="R219" i="6"/>
  <c r="R279" i="6"/>
  <c r="S212" i="6"/>
  <c r="AT249" i="6"/>
  <c r="AU182" i="6"/>
  <c r="AE248" i="6"/>
  <c r="AF181" i="6"/>
  <c r="AN248" i="6"/>
  <c r="AO181" i="6"/>
  <c r="R284" i="6"/>
  <c r="S217" i="6"/>
  <c r="AU249" i="6"/>
  <c r="AV182" i="6"/>
  <c r="BE248" i="6"/>
  <c r="BF181" i="6"/>
  <c r="Q275" i="6"/>
  <c r="R208" i="6"/>
  <c r="BD181" i="6"/>
  <c r="BC248" i="6"/>
  <c r="V249" i="6"/>
  <c r="W182" i="6"/>
  <c r="S181" i="6"/>
  <c r="R248" i="6"/>
  <c r="Q189" i="6"/>
  <c r="P256" i="6"/>
  <c r="R261" i="6"/>
  <c r="S194" i="6"/>
  <c r="T283" i="6"/>
  <c r="U216" i="6"/>
  <c r="AF248" i="6"/>
  <c r="AG181" i="6"/>
  <c r="BL182" i="6"/>
  <c r="BK249" i="6"/>
  <c r="Q295" i="6"/>
  <c r="R228" i="6"/>
  <c r="Q228" i="6"/>
  <c r="P295" i="6"/>
  <c r="R181" i="6"/>
  <c r="Q248" i="6"/>
  <c r="Q181" i="6"/>
  <c r="P248" i="6"/>
  <c r="Q267" i="6"/>
  <c r="R200" i="6"/>
  <c r="AU248" i="6"/>
  <c r="AV181" i="6"/>
  <c r="AD249" i="6"/>
  <c r="AE182" i="6"/>
  <c r="P289" i="6"/>
  <c r="Q222" i="6"/>
  <c r="AL249" i="6"/>
  <c r="AM182" i="6"/>
  <c r="AM249" i="6"/>
  <c r="AN182" i="6"/>
  <c r="R217" i="6"/>
  <c r="Q284" i="6"/>
  <c r="BM248" i="6"/>
  <c r="BN181" i="6"/>
  <c r="Q294" i="6"/>
  <c r="R227" i="6"/>
  <c r="S263" i="6"/>
  <c r="T196" i="6"/>
  <c r="Z181" i="6"/>
  <c r="Y248" i="6"/>
  <c r="BK248" i="6"/>
  <c r="BL181" i="6"/>
  <c r="R259" i="6"/>
  <c r="S192" i="6"/>
  <c r="Q273" i="6"/>
  <c r="R206" i="6"/>
  <c r="Q287" i="6"/>
  <c r="R220" i="6"/>
  <c r="P296" i="6"/>
  <c r="Q229" i="6"/>
  <c r="R299" i="6"/>
  <c r="S232" i="6"/>
  <c r="Q274" i="6"/>
  <c r="R207" i="6"/>
  <c r="AE249" i="6"/>
  <c r="AF182" i="6"/>
  <c r="AG248" i="6"/>
  <c r="AH181" i="6"/>
  <c r="AY181" i="6"/>
  <c r="AX248" i="6"/>
  <c r="Q282" i="6"/>
  <c r="R215" i="6"/>
  <c r="Q281" i="6"/>
  <c r="R214" i="6"/>
  <c r="T249" i="6"/>
  <c r="U182" i="6"/>
  <c r="AI181" i="6"/>
  <c r="AH248" i="6"/>
  <c r="AX181" i="6"/>
  <c r="AW248" i="6"/>
  <c r="AP248" i="6"/>
  <c r="AQ181" i="6"/>
  <c r="S295" i="6"/>
  <c r="T228" i="6"/>
  <c r="Q270" i="6"/>
  <c r="R203" i="6"/>
  <c r="AM248" i="6"/>
  <c r="AN181" i="6"/>
  <c r="X248" i="6"/>
  <c r="Y181" i="6"/>
  <c r="W249" i="6"/>
  <c r="X182" i="6"/>
  <c r="P261" i="6"/>
  <c r="Q194" i="6"/>
  <c r="AA181" i="6"/>
  <c r="Z248" i="6"/>
  <c r="V182" i="6"/>
  <c r="U249" i="6"/>
  <c r="P265" i="6"/>
  <c r="Q198" i="6"/>
  <c r="Q272" i="6"/>
  <c r="R205" i="6"/>
  <c r="V284" i="6"/>
  <c r="W217" i="6"/>
  <c r="AW181" i="6"/>
  <c r="AV248" i="6"/>
  <c r="Q271" i="6"/>
  <c r="R204" i="6"/>
  <c r="P263" i="6"/>
  <c r="Q196" i="6"/>
  <c r="BG181" i="6"/>
  <c r="BF248" i="6"/>
  <c r="BB249" i="6"/>
  <c r="BC182" i="6"/>
  <c r="P275" i="6"/>
  <c r="Q208" i="6"/>
  <c r="R290" i="6"/>
  <c r="S223" i="6"/>
  <c r="Q285" i="6"/>
  <c r="R218" i="6"/>
  <c r="R201" i="6"/>
  <c r="Q268" i="6"/>
  <c r="BN248" i="6"/>
  <c r="BO181" i="6"/>
  <c r="AP181" i="6"/>
  <c r="AO248" i="6"/>
  <c r="S222" i="6"/>
  <c r="R289" i="6"/>
  <c r="R225" i="6"/>
  <c r="Q292" i="6"/>
  <c r="BL248" i="6"/>
  <c r="BM181" i="6"/>
  <c r="P298" i="6"/>
  <c r="Q231" i="6"/>
  <c r="BJ249" i="6"/>
  <c r="BK182" i="6"/>
  <c r="P268" i="6"/>
  <c r="Q201" i="6"/>
  <c r="BD182" i="6"/>
  <c r="BC249" i="6"/>
  <c r="P251" i="6"/>
  <c r="Q184" i="6"/>
  <c r="BD248" i="6"/>
  <c r="BE181" i="6"/>
  <c r="P262" i="6"/>
  <c r="Q195" i="6"/>
  <c r="P264" i="6"/>
  <c r="Q197" i="6"/>
  <c r="R252" i="6"/>
  <c r="S185" i="6"/>
  <c r="P290" i="6"/>
  <c r="Q223" i="6"/>
  <c r="Q250" i="6"/>
  <c r="R183" i="6"/>
  <c r="BI249" i="6"/>
  <c r="BJ182" i="6"/>
  <c r="AK249" i="6"/>
  <c r="AL182" i="6"/>
  <c r="AS249" i="6"/>
  <c r="AT182" i="6"/>
  <c r="BA249" i="6"/>
  <c r="BB182" i="6"/>
  <c r="AC249" i="6"/>
  <c r="AD182" i="6"/>
  <c r="S257" i="6"/>
  <c r="T190" i="6"/>
  <c r="AB249" i="6"/>
  <c r="AC182" i="6"/>
  <c r="AJ249" i="6"/>
  <c r="AK182" i="6"/>
  <c r="AR249" i="6"/>
  <c r="AS182" i="6"/>
  <c r="AZ249" i="6"/>
  <c r="BA182" i="6"/>
  <c r="BH249" i="6"/>
  <c r="BI182" i="6"/>
  <c r="BP249" i="6"/>
  <c r="BQ182" i="6"/>
  <c r="Y250" i="6"/>
  <c r="Z183" i="6"/>
  <c r="Q253" i="6"/>
  <c r="R186" i="6"/>
  <c r="BQ249" i="6"/>
  <c r="BR182" i="6"/>
  <c r="BR250" i="6"/>
  <c r="S190" i="6"/>
  <c r="R257" i="6"/>
  <c r="P258" i="6"/>
  <c r="Q191" i="6"/>
  <c r="P253" i="6"/>
  <c r="Q186" i="6"/>
  <c r="J194" i="21"/>
  <c r="F194" i="21"/>
  <c r="C194" i="21"/>
  <c r="E194" i="21"/>
  <c r="D194" i="21"/>
  <c r="H194" i="21"/>
  <c r="G194" i="21"/>
  <c r="I194" i="21"/>
  <c r="Q265" i="6"/>
  <c r="R198" i="6"/>
  <c r="BM249" i="6"/>
  <c r="BN182" i="6"/>
  <c r="BP182" i="6"/>
  <c r="BO249" i="6"/>
  <c r="R209" i="6"/>
  <c r="Q276" i="6"/>
  <c r="R272" i="6"/>
  <c r="S205" i="6"/>
  <c r="Q266" i="6"/>
  <c r="R199" i="6"/>
  <c r="Y183" i="6"/>
  <c r="X250" i="6"/>
  <c r="T296" i="6"/>
  <c r="U229" i="6"/>
  <c r="U250" i="6"/>
  <c r="V183" i="6"/>
  <c r="AI182" i="6"/>
  <c r="AH249" i="6"/>
  <c r="Q297" i="6"/>
  <c r="R230" i="6"/>
  <c r="BL249" i="6"/>
  <c r="BM182" i="6"/>
  <c r="BN249" i="6"/>
  <c r="BO182" i="6"/>
  <c r="Q290" i="6"/>
  <c r="R223" i="6"/>
  <c r="R276" i="6"/>
  <c r="S209" i="6"/>
  <c r="AO249" i="6"/>
  <c r="AP182" i="6"/>
  <c r="AU250" i="6"/>
  <c r="AV183" i="6"/>
  <c r="S290" i="6"/>
  <c r="T223" i="6"/>
  <c r="BH182" i="6"/>
  <c r="BG249" i="6"/>
  <c r="AA249" i="6"/>
  <c r="AB182" i="6"/>
  <c r="AY182" i="6"/>
  <c r="AX249" i="6"/>
  <c r="Q296" i="6"/>
  <c r="R229" i="6"/>
  <c r="S253" i="6"/>
  <c r="T186" i="6"/>
  <c r="Q263" i="6"/>
  <c r="R196" i="6"/>
  <c r="Q252" i="6"/>
  <c r="R185" i="6"/>
  <c r="Q269" i="6"/>
  <c r="R202" i="6"/>
  <c r="Q299" i="6"/>
  <c r="R232" i="6"/>
  <c r="S291" i="6"/>
  <c r="T224" i="6"/>
  <c r="BC250" i="6"/>
  <c r="BD183" i="6"/>
  <c r="R197" i="6"/>
  <c r="Q264" i="6"/>
  <c r="R273" i="6"/>
  <c r="S206" i="6"/>
  <c r="Q262" i="6"/>
  <c r="R195" i="6"/>
  <c r="Y249" i="6"/>
  <c r="Z182" i="6"/>
  <c r="R271" i="6"/>
  <c r="S204" i="6"/>
  <c r="AQ249" i="6"/>
  <c r="AR182" i="6"/>
  <c r="R282" i="6"/>
  <c r="S215" i="6"/>
  <c r="AF250" i="6"/>
  <c r="AG183" i="6"/>
  <c r="S300" i="6"/>
  <c r="T233" i="6"/>
  <c r="R288" i="6"/>
  <c r="S221" i="6"/>
  <c r="S260" i="6"/>
  <c r="T193" i="6"/>
  <c r="R295" i="6"/>
  <c r="S228" i="6"/>
  <c r="AM250" i="6"/>
  <c r="AN183" i="6"/>
  <c r="AE250" i="6"/>
  <c r="AF183" i="6"/>
  <c r="R268" i="6"/>
  <c r="S201" i="6"/>
  <c r="R296" i="6"/>
  <c r="S229" i="6"/>
  <c r="AG249" i="6"/>
  <c r="AH182" i="6"/>
  <c r="S262" i="6"/>
  <c r="T195" i="6"/>
  <c r="BG182" i="6"/>
  <c r="BF249" i="6"/>
  <c r="S285" i="6"/>
  <c r="T218" i="6"/>
  <c r="AF249" i="6"/>
  <c r="AG182" i="6"/>
  <c r="S280" i="6"/>
  <c r="T213" i="6"/>
  <c r="R278" i="6"/>
  <c r="S211" i="6"/>
  <c r="Q291" i="6"/>
  <c r="R224" i="6"/>
  <c r="BE249" i="6"/>
  <c r="BF182" i="6"/>
  <c r="BK250" i="6"/>
  <c r="BL183" i="6"/>
  <c r="R286" i="6"/>
  <c r="S219" i="6"/>
  <c r="W285" i="6"/>
  <c r="X218" i="6"/>
  <c r="AN249" i="6"/>
  <c r="AO182" i="6"/>
  <c r="R283" i="6"/>
  <c r="S216" i="6"/>
  <c r="R275" i="6"/>
  <c r="S208" i="6"/>
  <c r="R274" i="6"/>
  <c r="S207" i="6"/>
  <c r="T264" i="6"/>
  <c r="U197" i="6"/>
  <c r="AO183" i="6"/>
  <c r="AN250" i="6"/>
  <c r="AV249" i="6"/>
  <c r="AW182" i="6"/>
  <c r="U284" i="6"/>
  <c r="V217" i="6"/>
  <c r="W250" i="6"/>
  <c r="X183" i="6"/>
  <c r="AV250" i="6"/>
  <c r="AW183" i="6"/>
  <c r="R287" i="6"/>
  <c r="S220" i="6"/>
  <c r="BE183" i="6"/>
  <c r="BD250" i="6"/>
  <c r="Q249" i="6"/>
  <c r="R182" i="6"/>
  <c r="BM183" i="6"/>
  <c r="BL250" i="6"/>
  <c r="Q257" i="6"/>
  <c r="R190" i="6"/>
  <c r="S226" i="6"/>
  <c r="R293" i="6"/>
  <c r="AP249" i="6"/>
  <c r="AQ182" i="6"/>
  <c r="S202" i="6"/>
  <c r="R269" i="6"/>
  <c r="AW249" i="6"/>
  <c r="AX182" i="6"/>
  <c r="V250" i="6"/>
  <c r="W183" i="6"/>
  <c r="AJ182" i="6"/>
  <c r="AI249" i="6"/>
  <c r="AZ182" i="6"/>
  <c r="AY249" i="6"/>
  <c r="Z249" i="6"/>
  <c r="AA182" i="6"/>
  <c r="R285" i="6"/>
  <c r="S218" i="6"/>
  <c r="S182" i="6"/>
  <c r="R249" i="6"/>
  <c r="T182" i="6"/>
  <c r="S249" i="6"/>
  <c r="BD249" i="6"/>
  <c r="BE182" i="6"/>
  <c r="Q254" i="6"/>
  <c r="R187" i="6"/>
  <c r="Q259" i="6"/>
  <c r="R192" i="6"/>
  <c r="S187" i="6"/>
  <c r="R254" i="6"/>
  <c r="Z251" i="6"/>
  <c r="AA184" i="6"/>
  <c r="BQ250" i="6"/>
  <c r="BR183" i="6"/>
  <c r="BR251" i="6"/>
  <c r="BI250" i="6"/>
  <c r="BJ183" i="6"/>
  <c r="BA250" i="6"/>
  <c r="BB183" i="6"/>
  <c r="AS250" i="6"/>
  <c r="AT183" i="6"/>
  <c r="AK250" i="6"/>
  <c r="AL183" i="6"/>
  <c r="AC250" i="6"/>
  <c r="AD183" i="6"/>
  <c r="T258" i="6"/>
  <c r="U191" i="6"/>
  <c r="AD250" i="6"/>
  <c r="AE183" i="6"/>
  <c r="BB250" i="6"/>
  <c r="BC183" i="6"/>
  <c r="AT250" i="6"/>
  <c r="AU183" i="6"/>
  <c r="AL250" i="6"/>
  <c r="AM183" i="6"/>
  <c r="BJ250" i="6"/>
  <c r="BK183" i="6"/>
  <c r="R251" i="6"/>
  <c r="S184" i="6"/>
  <c r="T191" i="6"/>
  <c r="S258" i="6"/>
  <c r="B217" i="21"/>
  <c r="K217" i="21"/>
  <c r="O201" i="21" s="1"/>
  <c r="BF183" i="6"/>
  <c r="BE250" i="6"/>
  <c r="AA250" i="6"/>
  <c r="AB183" i="6"/>
  <c r="AX250" i="6"/>
  <c r="AY183" i="6"/>
  <c r="R258" i="6"/>
  <c r="S191" i="6"/>
  <c r="S288" i="6"/>
  <c r="T221" i="6"/>
  <c r="AW250" i="6"/>
  <c r="AX183" i="6"/>
  <c r="S276" i="6"/>
  <c r="T209" i="6"/>
  <c r="S287" i="6"/>
  <c r="T220" i="6"/>
  <c r="BF250" i="6"/>
  <c r="BG183" i="6"/>
  <c r="AG250" i="6"/>
  <c r="AH183" i="6"/>
  <c r="AH250" i="6"/>
  <c r="AI183" i="6"/>
  <c r="AN251" i="6"/>
  <c r="AO184" i="6"/>
  <c r="T301" i="6"/>
  <c r="U234" i="6"/>
  <c r="U302" i="6"/>
  <c r="S272" i="6"/>
  <c r="T205" i="6"/>
  <c r="R270" i="6"/>
  <c r="S203" i="6"/>
  <c r="R297" i="6"/>
  <c r="S230" i="6"/>
  <c r="AC183" i="6"/>
  <c r="AB250" i="6"/>
  <c r="T291" i="6"/>
  <c r="U224" i="6"/>
  <c r="AP250" i="6"/>
  <c r="AQ183" i="6"/>
  <c r="BM250" i="6"/>
  <c r="BN183" i="6"/>
  <c r="U297" i="6"/>
  <c r="V230" i="6"/>
  <c r="R267" i="6"/>
  <c r="S200" i="6"/>
  <c r="BN250" i="6"/>
  <c r="BO183" i="6"/>
  <c r="T219" i="6"/>
  <c r="S286" i="6"/>
  <c r="X184" i="6"/>
  <c r="W251" i="6"/>
  <c r="AX184" i="6"/>
  <c r="AW251" i="6"/>
  <c r="W218" i="6"/>
  <c r="V285" i="6"/>
  <c r="S275" i="6"/>
  <c r="T208" i="6"/>
  <c r="S284" i="6"/>
  <c r="T217" i="6"/>
  <c r="X286" i="6"/>
  <c r="Y219" i="6"/>
  <c r="BM184" i="6"/>
  <c r="BL251" i="6"/>
  <c r="R292" i="6"/>
  <c r="S225" i="6"/>
  <c r="T281" i="6"/>
  <c r="U214" i="6"/>
  <c r="T286" i="6"/>
  <c r="U219" i="6"/>
  <c r="U196" i="6"/>
  <c r="T263" i="6"/>
  <c r="S297" i="6"/>
  <c r="T230" i="6"/>
  <c r="AF251" i="6"/>
  <c r="AG184" i="6"/>
  <c r="S296" i="6"/>
  <c r="T229" i="6"/>
  <c r="S289" i="6"/>
  <c r="T222" i="6"/>
  <c r="AG251" i="6"/>
  <c r="AH184" i="6"/>
  <c r="AS183" i="6"/>
  <c r="AR250" i="6"/>
  <c r="AA183" i="6"/>
  <c r="Z250" i="6"/>
  <c r="S274" i="6"/>
  <c r="T207" i="6"/>
  <c r="BD251" i="6"/>
  <c r="BE184" i="6"/>
  <c r="R300" i="6"/>
  <c r="S233" i="6"/>
  <c r="R253" i="6"/>
  <c r="S186" i="6"/>
  <c r="T254" i="6"/>
  <c r="U187" i="6"/>
  <c r="AV251" i="6"/>
  <c r="AW184" i="6"/>
  <c r="S277" i="6"/>
  <c r="T210" i="6"/>
  <c r="BO250" i="6"/>
  <c r="BP183" i="6"/>
  <c r="R298" i="6"/>
  <c r="S231" i="6"/>
  <c r="V251" i="6"/>
  <c r="W184" i="6"/>
  <c r="S273" i="6"/>
  <c r="T206" i="6"/>
  <c r="R266" i="6"/>
  <c r="S199" i="6"/>
  <c r="AQ250" i="6"/>
  <c r="AR183" i="6"/>
  <c r="R250" i="6"/>
  <c r="S183" i="6"/>
  <c r="X251" i="6"/>
  <c r="Y184" i="6"/>
  <c r="U265" i="6"/>
  <c r="V198" i="6"/>
  <c r="AO250" i="6"/>
  <c r="AP183" i="6"/>
  <c r="S279" i="6"/>
  <c r="T212" i="6"/>
  <c r="S269" i="6"/>
  <c r="T202" i="6"/>
  <c r="T261" i="6"/>
  <c r="U194" i="6"/>
  <c r="S283" i="6"/>
  <c r="T216" i="6"/>
  <c r="R263" i="6"/>
  <c r="S196" i="6"/>
  <c r="T292" i="6"/>
  <c r="U225" i="6"/>
  <c r="R264" i="6"/>
  <c r="S197" i="6"/>
  <c r="R291" i="6"/>
  <c r="S224" i="6"/>
  <c r="S250" i="6"/>
  <c r="T183" i="6"/>
  <c r="AK183" i="6"/>
  <c r="AJ250" i="6"/>
  <c r="BG250" i="6"/>
  <c r="BH183" i="6"/>
  <c r="R265" i="6"/>
  <c r="S198" i="6"/>
  <c r="AI250" i="6"/>
  <c r="AJ183" i="6"/>
  <c r="R277" i="6"/>
  <c r="S210" i="6"/>
  <c r="U183" i="6"/>
  <c r="T250" i="6"/>
  <c r="BA183" i="6"/>
  <c r="AZ250" i="6"/>
  <c r="S270" i="6"/>
  <c r="T203" i="6"/>
  <c r="T227" i="6"/>
  <c r="S294" i="6"/>
  <c r="BN184" i="6"/>
  <c r="BM251" i="6"/>
  <c r="BF184" i="6"/>
  <c r="BE251" i="6"/>
  <c r="AO251" i="6"/>
  <c r="AP184" i="6"/>
  <c r="AZ183" i="6"/>
  <c r="AY250" i="6"/>
  <c r="BH250" i="6"/>
  <c r="BI183" i="6"/>
  <c r="Z184" i="6"/>
  <c r="Y251" i="6"/>
  <c r="BP250" i="6"/>
  <c r="BQ183" i="6"/>
  <c r="S252" i="6"/>
  <c r="T185" i="6"/>
  <c r="BK251" i="6"/>
  <c r="BL184" i="6"/>
  <c r="AM251" i="6"/>
  <c r="AN184" i="6"/>
  <c r="AU251" i="6"/>
  <c r="AV184" i="6"/>
  <c r="BC251" i="6"/>
  <c r="BD184" i="6"/>
  <c r="AE251" i="6"/>
  <c r="AF184" i="6"/>
  <c r="U259" i="6"/>
  <c r="V192" i="6"/>
  <c r="AD251" i="6"/>
  <c r="AE184" i="6"/>
  <c r="AL251" i="6"/>
  <c r="AM184" i="6"/>
  <c r="AT251" i="6"/>
  <c r="AU184" i="6"/>
  <c r="BB251" i="6"/>
  <c r="BC184" i="6"/>
  <c r="BJ251" i="6"/>
  <c r="BK184" i="6"/>
  <c r="AA252" i="6"/>
  <c r="AB185" i="6"/>
  <c r="R260" i="6"/>
  <c r="S193" i="6"/>
  <c r="R255" i="6"/>
  <c r="S188" i="6"/>
  <c r="U192" i="6"/>
  <c r="T259" i="6"/>
  <c r="T188" i="6"/>
  <c r="S255" i="6"/>
  <c r="G54" i="36"/>
  <c r="BQ251" i="6"/>
  <c r="BR184" i="6"/>
  <c r="BR252" i="6"/>
  <c r="BH251" i="6"/>
  <c r="BI184" i="6"/>
  <c r="S265" i="6"/>
  <c r="T198" i="6"/>
  <c r="T280" i="6"/>
  <c r="U213" i="6"/>
  <c r="S267" i="6"/>
  <c r="T200" i="6"/>
  <c r="BP251" i="6"/>
  <c r="BQ184" i="6"/>
  <c r="BE252" i="6"/>
  <c r="BF185" i="6"/>
  <c r="T297" i="6"/>
  <c r="U230" i="6"/>
  <c r="U287" i="6"/>
  <c r="V220" i="6"/>
  <c r="T276" i="6"/>
  <c r="U209" i="6"/>
  <c r="BN251" i="6"/>
  <c r="BO184" i="6"/>
  <c r="U292" i="6"/>
  <c r="V225" i="6"/>
  <c r="S298" i="6"/>
  <c r="T231" i="6"/>
  <c r="AH251" i="6"/>
  <c r="AI184" i="6"/>
  <c r="T288" i="6"/>
  <c r="U221" i="6"/>
  <c r="AX251" i="6"/>
  <c r="AY184" i="6"/>
  <c r="S259" i="6"/>
  <c r="T192" i="6"/>
  <c r="AB251" i="6"/>
  <c r="AC184" i="6"/>
  <c r="BN252" i="6"/>
  <c r="BO185" i="6"/>
  <c r="V184" i="6"/>
  <c r="U251" i="6"/>
  <c r="AA251" i="6"/>
  <c r="AB184" i="6"/>
  <c r="AX252" i="6"/>
  <c r="AY185" i="6"/>
  <c r="T287" i="6"/>
  <c r="U220" i="6"/>
  <c r="AP252" i="6"/>
  <c r="AQ185" i="6"/>
  <c r="S264" i="6"/>
  <c r="T197" i="6"/>
  <c r="V266" i="6"/>
  <c r="W199" i="6"/>
  <c r="W252" i="6"/>
  <c r="X185" i="6"/>
  <c r="S254" i="6"/>
  <c r="T187" i="6"/>
  <c r="AH252" i="6"/>
  <c r="AI185" i="6"/>
  <c r="S293" i="6"/>
  <c r="T226" i="6"/>
  <c r="T273" i="6"/>
  <c r="U206" i="6"/>
  <c r="S278" i="6"/>
  <c r="T211" i="6"/>
  <c r="T199" i="6"/>
  <c r="S266" i="6"/>
  <c r="S292" i="6"/>
  <c r="T225" i="6"/>
  <c r="U293" i="6"/>
  <c r="V226" i="6"/>
  <c r="T284" i="6"/>
  <c r="U217" i="6"/>
  <c r="T270" i="6"/>
  <c r="U203" i="6"/>
  <c r="AP251" i="6"/>
  <c r="AQ184" i="6"/>
  <c r="Y252" i="6"/>
  <c r="Z185" i="6"/>
  <c r="AR251" i="6"/>
  <c r="AS184" i="6"/>
  <c r="T274" i="6"/>
  <c r="U207" i="6"/>
  <c r="S299" i="6"/>
  <c r="T232" i="6"/>
  <c r="T278" i="6"/>
  <c r="U211" i="6"/>
  <c r="U255" i="6"/>
  <c r="V188" i="6"/>
  <c r="S301" i="6"/>
  <c r="T234" i="6"/>
  <c r="T302" i="6"/>
  <c r="U208" i="6"/>
  <c r="T275" i="6"/>
  <c r="T290" i="6"/>
  <c r="U223" i="6"/>
  <c r="AG252" i="6"/>
  <c r="AH185" i="6"/>
  <c r="U282" i="6"/>
  <c r="V215" i="6"/>
  <c r="T285" i="6"/>
  <c r="U218" i="6"/>
  <c r="BO251" i="6"/>
  <c r="BP184" i="6"/>
  <c r="V298" i="6"/>
  <c r="W231" i="6"/>
  <c r="AQ251" i="6"/>
  <c r="AR184" i="6"/>
  <c r="S271" i="6"/>
  <c r="T204" i="6"/>
  <c r="AI251" i="6"/>
  <c r="AJ184" i="6"/>
  <c r="BG251" i="6"/>
  <c r="BH184" i="6"/>
  <c r="T277" i="6"/>
  <c r="U210" i="6"/>
  <c r="T289" i="6"/>
  <c r="U222" i="6"/>
  <c r="AY251" i="6"/>
  <c r="AZ184" i="6"/>
  <c r="BJ184" i="6"/>
  <c r="BI251" i="6"/>
  <c r="T271" i="6"/>
  <c r="U204" i="6"/>
  <c r="AJ251" i="6"/>
  <c r="AK184" i="6"/>
  <c r="T251" i="6"/>
  <c r="U184" i="6"/>
  <c r="U262" i="6"/>
  <c r="V195" i="6"/>
  <c r="T184" i="6"/>
  <c r="S251" i="6"/>
  <c r="AW252" i="6"/>
  <c r="AX185" i="6"/>
  <c r="T298" i="6"/>
  <c r="U231" i="6"/>
  <c r="Y287" i="6"/>
  <c r="Z220" i="6"/>
  <c r="S268" i="6"/>
  <c r="T201" i="6"/>
  <c r="AO252" i="6"/>
  <c r="AP185" i="6"/>
  <c r="Z252" i="6"/>
  <c r="AA185" i="6"/>
  <c r="AZ251" i="6"/>
  <c r="BA184" i="6"/>
  <c r="BF252" i="6"/>
  <c r="BG185" i="6"/>
  <c r="U228" i="6"/>
  <c r="T295" i="6"/>
  <c r="BB184" i="6"/>
  <c r="BA251" i="6"/>
  <c r="AL184" i="6"/>
  <c r="AK251" i="6"/>
  <c r="AT184" i="6"/>
  <c r="AS251" i="6"/>
  <c r="U264" i="6"/>
  <c r="V197" i="6"/>
  <c r="BM252" i="6"/>
  <c r="BN185" i="6"/>
  <c r="X219" i="6"/>
  <c r="W286" i="6"/>
  <c r="X252" i="6"/>
  <c r="Y185" i="6"/>
  <c r="AD184" i="6"/>
  <c r="AC251" i="6"/>
  <c r="BF251" i="6"/>
  <c r="BG184" i="6"/>
  <c r="U189" i="6"/>
  <c r="T256" i="6"/>
  <c r="S256" i="6"/>
  <c r="T189" i="6"/>
  <c r="S261" i="6"/>
  <c r="T194" i="6"/>
  <c r="AB253" i="6"/>
  <c r="AC186" i="6"/>
  <c r="BK252" i="6"/>
  <c r="BL185" i="6"/>
  <c r="BC252" i="6"/>
  <c r="BD185" i="6"/>
  <c r="AU252" i="6"/>
  <c r="AV185" i="6"/>
  <c r="AM252" i="6"/>
  <c r="AN185" i="6"/>
  <c r="AE252" i="6"/>
  <c r="AF185" i="6"/>
  <c r="V260" i="6"/>
  <c r="W193" i="6"/>
  <c r="AF252" i="6"/>
  <c r="AG185" i="6"/>
  <c r="BD252" i="6"/>
  <c r="BE185" i="6"/>
  <c r="AV252" i="6"/>
  <c r="AW185" i="6"/>
  <c r="AN252" i="6"/>
  <c r="AO185" i="6"/>
  <c r="BL252" i="6"/>
  <c r="BM185" i="6"/>
  <c r="T253" i="6"/>
  <c r="U186" i="6"/>
  <c r="U260" i="6"/>
  <c r="V193" i="6"/>
  <c r="I54" i="36"/>
  <c r="D54" i="36"/>
  <c r="E54" i="36"/>
  <c r="K54" i="36"/>
  <c r="F54" i="36"/>
  <c r="H54" i="36"/>
  <c r="J54" i="36"/>
  <c r="BB185" i="6"/>
  <c r="BA252" i="6"/>
  <c r="AP253" i="6"/>
  <c r="AQ186" i="6"/>
  <c r="AX253" i="6"/>
  <c r="AY186" i="6"/>
  <c r="AL185" i="6"/>
  <c r="AK252" i="6"/>
  <c r="U290" i="6"/>
  <c r="V223" i="6"/>
  <c r="T272" i="6"/>
  <c r="U205" i="6"/>
  <c r="U286" i="6"/>
  <c r="V219" i="6"/>
  <c r="T300" i="6"/>
  <c r="U233" i="6"/>
  <c r="AQ252" i="6"/>
  <c r="AR185" i="6"/>
  <c r="T293" i="6"/>
  <c r="U226" i="6"/>
  <c r="T294" i="6"/>
  <c r="U227" i="6"/>
  <c r="W267" i="6"/>
  <c r="X200" i="6"/>
  <c r="AY253" i="6"/>
  <c r="AZ186" i="6"/>
  <c r="AD185" i="6"/>
  <c r="AC252" i="6"/>
  <c r="AI252" i="6"/>
  <c r="AJ185" i="6"/>
  <c r="U277" i="6"/>
  <c r="V210" i="6"/>
  <c r="BR185" i="6"/>
  <c r="BR253" i="6"/>
  <c r="BQ252" i="6"/>
  <c r="U281" i="6"/>
  <c r="V214" i="6"/>
  <c r="X287" i="6"/>
  <c r="Y220" i="6"/>
  <c r="AM185" i="6"/>
  <c r="AL252" i="6"/>
  <c r="U276" i="6"/>
  <c r="V209" i="6"/>
  <c r="BG252" i="6"/>
  <c r="BH185" i="6"/>
  <c r="Z186" i="6"/>
  <c r="Y253" i="6"/>
  <c r="BN253" i="6"/>
  <c r="BO186" i="6"/>
  <c r="BG253" i="6"/>
  <c r="BH186" i="6"/>
  <c r="AB186" i="6"/>
  <c r="AA253" i="6"/>
  <c r="T269" i="6"/>
  <c r="U202" i="6"/>
  <c r="U299" i="6"/>
  <c r="V232" i="6"/>
  <c r="U252" i="6"/>
  <c r="V185" i="6"/>
  <c r="U272" i="6"/>
  <c r="V205" i="6"/>
  <c r="BA185" i="6"/>
  <c r="AZ252" i="6"/>
  <c r="U278" i="6"/>
  <c r="V211" i="6"/>
  <c r="AJ252" i="6"/>
  <c r="AK185" i="6"/>
  <c r="AR252" i="6"/>
  <c r="AS185" i="6"/>
  <c r="BP252" i="6"/>
  <c r="BQ185" i="6"/>
  <c r="V283" i="6"/>
  <c r="W216" i="6"/>
  <c r="U291" i="6"/>
  <c r="V224" i="6"/>
  <c r="U279" i="6"/>
  <c r="V212" i="6"/>
  <c r="U275" i="6"/>
  <c r="V208" i="6"/>
  <c r="Z253" i="6"/>
  <c r="AA186" i="6"/>
  <c r="U271" i="6"/>
  <c r="V204" i="6"/>
  <c r="V294" i="6"/>
  <c r="W227" i="6"/>
  <c r="U274" i="6"/>
  <c r="V207" i="6"/>
  <c r="AI253" i="6"/>
  <c r="AJ186" i="6"/>
  <c r="X253" i="6"/>
  <c r="Y186" i="6"/>
  <c r="T265" i="6"/>
  <c r="U198" i="6"/>
  <c r="U288" i="6"/>
  <c r="V221" i="6"/>
  <c r="AB252" i="6"/>
  <c r="AC185" i="6"/>
  <c r="BO253" i="6"/>
  <c r="BP186" i="6"/>
  <c r="T260" i="6"/>
  <c r="U193" i="6"/>
  <c r="U289" i="6"/>
  <c r="V222" i="6"/>
  <c r="U232" i="6"/>
  <c r="T299" i="6"/>
  <c r="BO252" i="6"/>
  <c r="BP185" i="6"/>
  <c r="V288" i="6"/>
  <c r="W221" i="6"/>
  <c r="BF253" i="6"/>
  <c r="BG186" i="6"/>
  <c r="T268" i="6"/>
  <c r="U201" i="6"/>
  <c r="T266" i="6"/>
  <c r="U199" i="6"/>
  <c r="W198" i="6"/>
  <c r="V265" i="6"/>
  <c r="Z288" i="6"/>
  <c r="AA221" i="6"/>
  <c r="V263" i="6"/>
  <c r="W196" i="6"/>
  <c r="BH252" i="6"/>
  <c r="BI185" i="6"/>
  <c r="W299" i="6"/>
  <c r="X232" i="6"/>
  <c r="AH253" i="6"/>
  <c r="AI186" i="6"/>
  <c r="V256" i="6"/>
  <c r="W189" i="6"/>
  <c r="AT185" i="6"/>
  <c r="AS252" i="6"/>
  <c r="U285" i="6"/>
  <c r="V218" i="6"/>
  <c r="U212" i="6"/>
  <c r="T279" i="6"/>
  <c r="T255" i="6"/>
  <c r="U188" i="6"/>
  <c r="AR186" i="6"/>
  <c r="AQ253" i="6"/>
  <c r="AZ185" i="6"/>
  <c r="AY252" i="6"/>
  <c r="V293" i="6"/>
  <c r="W226" i="6"/>
  <c r="U298" i="6"/>
  <c r="V231" i="6"/>
  <c r="BJ185" i="6"/>
  <c r="BI252" i="6"/>
  <c r="AD252" i="6"/>
  <c r="AE185" i="6"/>
  <c r="U296" i="6"/>
  <c r="V229" i="6"/>
  <c r="BK185" i="6"/>
  <c r="BJ252" i="6"/>
  <c r="V252" i="6"/>
  <c r="W185" i="6"/>
  <c r="AT252" i="6"/>
  <c r="AU185" i="6"/>
  <c r="BB252" i="6"/>
  <c r="BC185" i="6"/>
  <c r="U185" i="6"/>
  <c r="T252" i="6"/>
  <c r="T267" i="6"/>
  <c r="U200" i="6"/>
  <c r="V261" i="6"/>
  <c r="W194" i="6"/>
  <c r="U254" i="6"/>
  <c r="V187" i="6"/>
  <c r="BM253" i="6"/>
  <c r="BN186" i="6"/>
  <c r="AO253" i="6"/>
  <c r="AP186" i="6"/>
  <c r="AW253" i="6"/>
  <c r="AX186" i="6"/>
  <c r="BE253" i="6"/>
  <c r="BF186" i="6"/>
  <c r="AG253" i="6"/>
  <c r="AH186" i="6"/>
  <c r="W261" i="6"/>
  <c r="X194" i="6"/>
  <c r="AF253" i="6"/>
  <c r="AG186" i="6"/>
  <c r="AN253" i="6"/>
  <c r="AO186" i="6"/>
  <c r="AV253" i="6"/>
  <c r="AW186" i="6"/>
  <c r="BD253" i="6"/>
  <c r="BE186" i="6"/>
  <c r="BL253" i="6"/>
  <c r="BM186" i="6"/>
  <c r="AC254" i="6"/>
  <c r="AD187" i="6"/>
  <c r="T262" i="6"/>
  <c r="U195" i="6"/>
  <c r="T257" i="6"/>
  <c r="U190" i="6"/>
  <c r="U257" i="6"/>
  <c r="V190" i="6"/>
  <c r="H56" i="36"/>
  <c r="H62" i="36"/>
  <c r="I720" i="22"/>
  <c r="J62" i="36"/>
  <c r="K720" i="22"/>
  <c r="F52" i="36"/>
  <c r="G52" i="36"/>
  <c r="K62" i="36"/>
  <c r="L720" i="22"/>
  <c r="E52" i="36"/>
  <c r="E62" i="36"/>
  <c r="F720" i="22"/>
  <c r="K52" i="36"/>
  <c r="J52" i="36"/>
  <c r="I62" i="36"/>
  <c r="J720" i="22"/>
  <c r="G62" i="36"/>
  <c r="H720" i="22"/>
  <c r="I52" i="36"/>
  <c r="D56" i="36"/>
  <c r="D62" i="36"/>
  <c r="F62" i="36"/>
  <c r="G720" i="22"/>
  <c r="H52" i="36"/>
  <c r="D52" i="36"/>
  <c r="D55" i="36"/>
  <c r="G55" i="36"/>
  <c r="J56" i="36"/>
  <c r="K56" i="36"/>
  <c r="E56" i="36"/>
  <c r="I56" i="36"/>
  <c r="G56" i="36"/>
  <c r="F56" i="36"/>
  <c r="AU253" i="6"/>
  <c r="AV186" i="6"/>
  <c r="AE253" i="6"/>
  <c r="AF186" i="6"/>
  <c r="V286" i="6"/>
  <c r="W219" i="6"/>
  <c r="X300" i="6"/>
  <c r="Y233" i="6"/>
  <c r="W289" i="6"/>
  <c r="X222" i="6"/>
  <c r="U261" i="6"/>
  <c r="V194" i="6"/>
  <c r="U266" i="6"/>
  <c r="V199" i="6"/>
  <c r="W295" i="6"/>
  <c r="X228" i="6"/>
  <c r="V280" i="6"/>
  <c r="W213" i="6"/>
  <c r="AS253" i="6"/>
  <c r="AT186" i="6"/>
  <c r="V273" i="6"/>
  <c r="W206" i="6"/>
  <c r="V282" i="6"/>
  <c r="W215" i="6"/>
  <c r="AZ253" i="6"/>
  <c r="BA186" i="6"/>
  <c r="U300" i="6"/>
  <c r="V233" i="6"/>
  <c r="AB254" i="6"/>
  <c r="AC187" i="6"/>
  <c r="AD253" i="6"/>
  <c r="AE186" i="6"/>
  <c r="U268" i="6"/>
  <c r="V201" i="6"/>
  <c r="BC253" i="6"/>
  <c r="BD186" i="6"/>
  <c r="W253" i="6"/>
  <c r="X186" i="6"/>
  <c r="V297" i="6"/>
  <c r="W230" i="6"/>
  <c r="W294" i="6"/>
  <c r="X227" i="6"/>
  <c r="AI254" i="6"/>
  <c r="AJ187" i="6"/>
  <c r="BI253" i="6"/>
  <c r="BJ186" i="6"/>
  <c r="AA289" i="6"/>
  <c r="AB222" i="6"/>
  <c r="U267" i="6"/>
  <c r="V200" i="6"/>
  <c r="BG254" i="6"/>
  <c r="BH187" i="6"/>
  <c r="BP253" i="6"/>
  <c r="BQ186" i="6"/>
  <c r="V290" i="6"/>
  <c r="W223" i="6"/>
  <c r="BP254" i="6"/>
  <c r="BQ187" i="6"/>
  <c r="W222" i="6"/>
  <c r="V289" i="6"/>
  <c r="Z187" i="6"/>
  <c r="Y254" i="6"/>
  <c r="V275" i="6"/>
  <c r="W208" i="6"/>
  <c r="V272" i="6"/>
  <c r="W205" i="6"/>
  <c r="V276" i="6"/>
  <c r="W209" i="6"/>
  <c r="V292" i="6"/>
  <c r="W225" i="6"/>
  <c r="BQ253" i="6"/>
  <c r="BR186" i="6"/>
  <c r="BR254" i="6"/>
  <c r="AK253" i="6"/>
  <c r="AL186" i="6"/>
  <c r="V253" i="6"/>
  <c r="W186" i="6"/>
  <c r="U270" i="6"/>
  <c r="V203" i="6"/>
  <c r="BI187" i="6"/>
  <c r="BH254" i="6"/>
  <c r="W210" i="6"/>
  <c r="V277" i="6"/>
  <c r="Y288" i="6"/>
  <c r="Z221" i="6"/>
  <c r="AJ253" i="6"/>
  <c r="AK186" i="6"/>
  <c r="AZ254" i="6"/>
  <c r="BA187" i="6"/>
  <c r="U295" i="6"/>
  <c r="V228" i="6"/>
  <c r="AS186" i="6"/>
  <c r="AR253" i="6"/>
  <c r="V287" i="6"/>
  <c r="W220" i="6"/>
  <c r="V291" i="6"/>
  <c r="W224" i="6"/>
  <c r="AY254" i="6"/>
  <c r="AZ187" i="6"/>
  <c r="V299" i="6"/>
  <c r="W232" i="6"/>
  <c r="U256" i="6"/>
  <c r="V189" i="6"/>
  <c r="W257" i="6"/>
  <c r="X190" i="6"/>
  <c r="W264" i="6"/>
  <c r="X197" i="6"/>
  <c r="U269" i="6"/>
  <c r="V202" i="6"/>
  <c r="AD186" i="6"/>
  <c r="AC253" i="6"/>
  <c r="AJ254" i="6"/>
  <c r="AK187" i="6"/>
  <c r="AA254" i="6"/>
  <c r="AB187" i="6"/>
  <c r="W284" i="6"/>
  <c r="X217" i="6"/>
  <c r="V279" i="6"/>
  <c r="W212" i="6"/>
  <c r="V300" i="6"/>
  <c r="W233" i="6"/>
  <c r="BO254" i="6"/>
  <c r="BP187" i="6"/>
  <c r="BH253" i="6"/>
  <c r="BI186" i="6"/>
  <c r="V278" i="6"/>
  <c r="W211" i="6"/>
  <c r="X268" i="6"/>
  <c r="Y201" i="6"/>
  <c r="U294" i="6"/>
  <c r="V227" i="6"/>
  <c r="U301" i="6"/>
  <c r="V234" i="6"/>
  <c r="V302" i="6"/>
  <c r="U273" i="6"/>
  <c r="V206" i="6"/>
  <c r="AQ254" i="6"/>
  <c r="AR187" i="6"/>
  <c r="U253" i="6"/>
  <c r="V186" i="6"/>
  <c r="BK253" i="6"/>
  <c r="BL186" i="6"/>
  <c r="X199" i="6"/>
  <c r="W266" i="6"/>
  <c r="AM253" i="6"/>
  <c r="AN186" i="6"/>
  <c r="AL253" i="6"/>
  <c r="AM186" i="6"/>
  <c r="BJ253" i="6"/>
  <c r="BK186" i="6"/>
  <c r="AR254" i="6"/>
  <c r="AS187" i="6"/>
  <c r="U280" i="6"/>
  <c r="V213" i="6"/>
  <c r="AT253" i="6"/>
  <c r="AU186" i="6"/>
  <c r="BA253" i="6"/>
  <c r="BB186" i="6"/>
  <c r="AA187" i="6"/>
  <c r="Z254" i="6"/>
  <c r="BB253" i="6"/>
  <c r="BC186" i="6"/>
  <c r="V258" i="6"/>
  <c r="W191" i="6"/>
  <c r="U258" i="6"/>
  <c r="V191" i="6"/>
  <c r="U263" i="6"/>
  <c r="V196" i="6"/>
  <c r="AD255" i="6"/>
  <c r="AE188" i="6"/>
  <c r="BM254" i="6"/>
  <c r="BN187" i="6"/>
  <c r="BE254" i="6"/>
  <c r="BF187" i="6"/>
  <c r="AW254" i="6"/>
  <c r="AX187" i="6"/>
  <c r="AO254" i="6"/>
  <c r="AP187" i="6"/>
  <c r="AG254" i="6"/>
  <c r="AH187" i="6"/>
  <c r="X262" i="6"/>
  <c r="Y195" i="6"/>
  <c r="AI187" i="6"/>
  <c r="AH254" i="6"/>
  <c r="BG187" i="6"/>
  <c r="BF254" i="6"/>
  <c r="AY187" i="6"/>
  <c r="AX254" i="6"/>
  <c r="AQ187" i="6"/>
  <c r="AP254" i="6"/>
  <c r="BN254" i="6"/>
  <c r="BO187" i="6"/>
  <c r="V255" i="6"/>
  <c r="W188" i="6"/>
  <c r="W262" i="6"/>
  <c r="X195" i="6"/>
  <c r="E720" i="22"/>
  <c r="D48" i="36"/>
  <c r="E55" i="36"/>
  <c r="J55" i="36"/>
  <c r="F55" i="36"/>
  <c r="K55" i="36"/>
  <c r="H55" i="36"/>
  <c r="I55" i="36"/>
  <c r="D50" i="36"/>
  <c r="BJ188" i="6"/>
  <c r="BI255" i="6"/>
  <c r="AU254" i="6"/>
  <c r="AV187" i="6"/>
  <c r="AM254" i="6"/>
  <c r="AN187" i="6"/>
  <c r="W187" i="6"/>
  <c r="V254" i="6"/>
  <c r="V295" i="6"/>
  <c r="W228" i="6"/>
  <c r="BQ188" i="6"/>
  <c r="BP255" i="6"/>
  <c r="AB255" i="6"/>
  <c r="AC188" i="6"/>
  <c r="X265" i="6"/>
  <c r="Y198" i="6"/>
  <c r="AZ255" i="6"/>
  <c r="BA188" i="6"/>
  <c r="V296" i="6"/>
  <c r="W229" i="6"/>
  <c r="AM187" i="6"/>
  <c r="AL254" i="6"/>
  <c r="W273" i="6"/>
  <c r="X206" i="6"/>
  <c r="BQ255" i="6"/>
  <c r="BR188" i="6"/>
  <c r="BR256" i="6"/>
  <c r="BQ254" i="6"/>
  <c r="BR187" i="6"/>
  <c r="BR255" i="6"/>
  <c r="BK187" i="6"/>
  <c r="BJ254" i="6"/>
  <c r="X254" i="6"/>
  <c r="Y187" i="6"/>
  <c r="AC255" i="6"/>
  <c r="AD188" i="6"/>
  <c r="W274" i="6"/>
  <c r="X207" i="6"/>
  <c r="V267" i="6"/>
  <c r="W200" i="6"/>
  <c r="AV254" i="6"/>
  <c r="AW187" i="6"/>
  <c r="BC254" i="6"/>
  <c r="BD187" i="6"/>
  <c r="BC187" i="6"/>
  <c r="BB254" i="6"/>
  <c r="V281" i="6"/>
  <c r="W214" i="6"/>
  <c r="BK254" i="6"/>
  <c r="BL187" i="6"/>
  <c r="AN254" i="6"/>
  <c r="AO187" i="6"/>
  <c r="BL254" i="6"/>
  <c r="BM187" i="6"/>
  <c r="AR255" i="6"/>
  <c r="AS188" i="6"/>
  <c r="Y269" i="6"/>
  <c r="Z202" i="6"/>
  <c r="BI254" i="6"/>
  <c r="BJ187" i="6"/>
  <c r="W301" i="6"/>
  <c r="X234" i="6"/>
  <c r="X302" i="6"/>
  <c r="X285" i="6"/>
  <c r="Y218" i="6"/>
  <c r="AK255" i="6"/>
  <c r="AL188" i="6"/>
  <c r="V270" i="6"/>
  <c r="W203" i="6"/>
  <c r="X258" i="6"/>
  <c r="Y191" i="6"/>
  <c r="W300" i="6"/>
  <c r="X233" i="6"/>
  <c r="W292" i="6"/>
  <c r="X225" i="6"/>
  <c r="BA255" i="6"/>
  <c r="BB188" i="6"/>
  <c r="Z289" i="6"/>
  <c r="AA222" i="6"/>
  <c r="W254" i="6"/>
  <c r="X187" i="6"/>
  <c r="W277" i="6"/>
  <c r="X210" i="6"/>
  <c r="W276" i="6"/>
  <c r="X209" i="6"/>
  <c r="W291" i="6"/>
  <c r="X224" i="6"/>
  <c r="BH255" i="6"/>
  <c r="BI188" i="6"/>
  <c r="AB290" i="6"/>
  <c r="AC223" i="6"/>
  <c r="AJ255" i="6"/>
  <c r="AK188" i="6"/>
  <c r="W298" i="6"/>
  <c r="X231" i="6"/>
  <c r="BD254" i="6"/>
  <c r="BE187" i="6"/>
  <c r="AE254" i="6"/>
  <c r="AF187" i="6"/>
  <c r="V301" i="6"/>
  <c r="W234" i="6"/>
  <c r="W302" i="6"/>
  <c r="W283" i="6"/>
  <c r="X216" i="6"/>
  <c r="AU187" i="6"/>
  <c r="AT254" i="6"/>
  <c r="X296" i="6"/>
  <c r="Y229" i="6"/>
  <c r="V262" i="6"/>
  <c r="W195" i="6"/>
  <c r="Y301" i="6"/>
  <c r="Z234" i="6"/>
  <c r="Z302" i="6"/>
  <c r="AF254" i="6"/>
  <c r="AG187" i="6"/>
  <c r="AS254" i="6"/>
  <c r="AT187" i="6"/>
  <c r="W290" i="6"/>
  <c r="X223" i="6"/>
  <c r="AS255" i="6"/>
  <c r="AT188" i="6"/>
  <c r="V274" i="6"/>
  <c r="W207" i="6"/>
  <c r="W279" i="6"/>
  <c r="X212" i="6"/>
  <c r="W280" i="6"/>
  <c r="X213" i="6"/>
  <c r="V257" i="6"/>
  <c r="W190" i="6"/>
  <c r="W288" i="6"/>
  <c r="X221" i="6"/>
  <c r="AK254" i="6"/>
  <c r="AL187" i="6"/>
  <c r="V271" i="6"/>
  <c r="W204" i="6"/>
  <c r="W293" i="6"/>
  <c r="X226" i="6"/>
  <c r="V268" i="6"/>
  <c r="W201" i="6"/>
  <c r="X295" i="6"/>
  <c r="Y228" i="6"/>
  <c r="W202" i="6"/>
  <c r="V269" i="6"/>
  <c r="BA254" i="6"/>
  <c r="BB187" i="6"/>
  <c r="W281" i="6"/>
  <c r="X214" i="6"/>
  <c r="X290" i="6"/>
  <c r="Y223" i="6"/>
  <c r="W287" i="6"/>
  <c r="X220" i="6"/>
  <c r="AB188" i="6"/>
  <c r="AA255" i="6"/>
  <c r="Y200" i="6"/>
  <c r="X267" i="6"/>
  <c r="AE187" i="6"/>
  <c r="AD254" i="6"/>
  <c r="W278" i="6"/>
  <c r="X211" i="6"/>
  <c r="Z255" i="6"/>
  <c r="AA188" i="6"/>
  <c r="X263" i="6"/>
  <c r="Y196" i="6"/>
  <c r="W256" i="6"/>
  <c r="X189" i="6"/>
  <c r="BO255" i="6"/>
  <c r="BP188" i="6"/>
  <c r="Y263" i="6"/>
  <c r="Z196" i="6"/>
  <c r="AH255" i="6"/>
  <c r="AI188" i="6"/>
  <c r="AP255" i="6"/>
  <c r="AQ188" i="6"/>
  <c r="AX255" i="6"/>
  <c r="AY188" i="6"/>
  <c r="BF255" i="6"/>
  <c r="BG188" i="6"/>
  <c r="BN255" i="6"/>
  <c r="BO188" i="6"/>
  <c r="AE256" i="6"/>
  <c r="AF189" i="6"/>
  <c r="V264" i="6"/>
  <c r="W197" i="6"/>
  <c r="V259" i="6"/>
  <c r="W192" i="6"/>
  <c r="W259" i="6"/>
  <c r="X192" i="6"/>
  <c r="AR188" i="6"/>
  <c r="AQ255" i="6"/>
  <c r="AZ188" i="6"/>
  <c r="AY255" i="6"/>
  <c r="BH188" i="6"/>
  <c r="BG255" i="6"/>
  <c r="AJ188" i="6"/>
  <c r="AI255" i="6"/>
  <c r="D114" i="36"/>
  <c r="D107" i="36"/>
  <c r="E702" i="22"/>
  <c r="D111" i="36"/>
  <c r="E706" i="22"/>
  <c r="D108" i="36"/>
  <c r="E703" i="22"/>
  <c r="D115" i="36"/>
  <c r="E710" i="22"/>
  <c r="E697" i="22"/>
  <c r="D106" i="36"/>
  <c r="E701" i="22"/>
  <c r="D113" i="36"/>
  <c r="E708" i="22"/>
  <c r="D116" i="36"/>
  <c r="E711" i="22"/>
  <c r="D104" i="36"/>
  <c r="E699" i="22"/>
  <c r="D117" i="36"/>
  <c r="E712" i="22"/>
  <c r="E694" i="22"/>
  <c r="E709" i="22"/>
  <c r="D109" i="36"/>
  <c r="E704" i="22"/>
  <c r="D112" i="36"/>
  <c r="E707" i="22"/>
  <c r="D110" i="36"/>
  <c r="E705" i="22"/>
  <c r="D103" i="36"/>
  <c r="E698" i="22"/>
  <c r="D101" i="36"/>
  <c r="E696" i="22"/>
  <c r="D105" i="36"/>
  <c r="E700" i="22"/>
  <c r="E695" i="22"/>
  <c r="E50" i="36"/>
  <c r="AF188" i="6"/>
  <c r="AE255" i="6"/>
  <c r="AB256" i="6"/>
  <c r="AC189" i="6"/>
  <c r="BD188" i="6"/>
  <c r="BC255" i="6"/>
  <c r="BQ256" i="6"/>
  <c r="BR189" i="6"/>
  <c r="BR257" i="6"/>
  <c r="W255" i="6"/>
  <c r="X188" i="6"/>
  <c r="AA256" i="6"/>
  <c r="AB189" i="6"/>
  <c r="BB255" i="6"/>
  <c r="BC188" i="6"/>
  <c r="X294" i="6"/>
  <c r="Y227" i="6"/>
  <c r="W258" i="6"/>
  <c r="X191" i="6"/>
  <c r="AT256" i="6"/>
  <c r="AU189" i="6"/>
  <c r="Y297" i="6"/>
  <c r="Z230" i="6"/>
  <c r="AF255" i="6"/>
  <c r="AG188" i="6"/>
  <c r="AC291" i="6"/>
  <c r="AD224" i="6"/>
  <c r="X278" i="6"/>
  <c r="Y211" i="6"/>
  <c r="X293" i="6"/>
  <c r="Y226" i="6"/>
  <c r="Y259" i="6"/>
  <c r="Z192" i="6"/>
  <c r="Z270" i="6"/>
  <c r="AA203" i="6"/>
  <c r="BM255" i="6"/>
  <c r="BN188" i="6"/>
  <c r="BM188" i="6"/>
  <c r="BL255" i="6"/>
  <c r="AX188" i="6"/>
  <c r="AW255" i="6"/>
  <c r="Y208" i="6"/>
  <c r="X275" i="6"/>
  <c r="Y255" i="6"/>
  <c r="Z188" i="6"/>
  <c r="X274" i="6"/>
  <c r="Y207" i="6"/>
  <c r="W297" i="6"/>
  <c r="X230" i="6"/>
  <c r="Y266" i="6"/>
  <c r="Z199" i="6"/>
  <c r="AV255" i="6"/>
  <c r="AW188" i="6"/>
  <c r="X279" i="6"/>
  <c r="Y212" i="6"/>
  <c r="X288" i="6"/>
  <c r="Y221" i="6"/>
  <c r="X282" i="6"/>
  <c r="Y215" i="6"/>
  <c r="W269" i="6"/>
  <c r="X202" i="6"/>
  <c r="W272" i="6"/>
  <c r="X205" i="6"/>
  <c r="X289" i="6"/>
  <c r="Y222" i="6"/>
  <c r="X281" i="6"/>
  <c r="Y214" i="6"/>
  <c r="W275" i="6"/>
  <c r="X208" i="6"/>
  <c r="X291" i="6"/>
  <c r="Y224" i="6"/>
  <c r="AG255" i="6"/>
  <c r="AH188" i="6"/>
  <c r="W263" i="6"/>
  <c r="X196" i="6"/>
  <c r="BE255" i="6"/>
  <c r="BF188" i="6"/>
  <c r="AL189" i="6"/>
  <c r="AK256" i="6"/>
  <c r="BI256" i="6"/>
  <c r="BJ189" i="6"/>
  <c r="X277" i="6"/>
  <c r="Y210" i="6"/>
  <c r="X255" i="6"/>
  <c r="Y188" i="6"/>
  <c r="BB256" i="6"/>
  <c r="BC189" i="6"/>
  <c r="X301" i="6"/>
  <c r="Y234" i="6"/>
  <c r="Y302" i="6"/>
  <c r="W271" i="6"/>
  <c r="X204" i="6"/>
  <c r="Y286" i="6"/>
  <c r="Z219" i="6"/>
  <c r="BJ255" i="6"/>
  <c r="BK188" i="6"/>
  <c r="AS256" i="6"/>
  <c r="AT189" i="6"/>
  <c r="AO255" i="6"/>
  <c r="AP188" i="6"/>
  <c r="W282" i="6"/>
  <c r="X215" i="6"/>
  <c r="BD255" i="6"/>
  <c r="BE188" i="6"/>
  <c r="W268" i="6"/>
  <c r="X201" i="6"/>
  <c r="AD256" i="6"/>
  <c r="AE189" i="6"/>
  <c r="BA256" i="6"/>
  <c r="BB189" i="6"/>
  <c r="AC256" i="6"/>
  <c r="AD189" i="6"/>
  <c r="W296" i="6"/>
  <c r="X229" i="6"/>
  <c r="AN255" i="6"/>
  <c r="AO188" i="6"/>
  <c r="Y291" i="6"/>
  <c r="Z224" i="6"/>
  <c r="Z229" i="6"/>
  <c r="Y296" i="6"/>
  <c r="AL255" i="6"/>
  <c r="AM188" i="6"/>
  <c r="X280" i="6"/>
  <c r="Y213" i="6"/>
  <c r="AT255" i="6"/>
  <c r="AU188" i="6"/>
  <c r="X284" i="6"/>
  <c r="Y217" i="6"/>
  <c r="Y232" i="6"/>
  <c r="X299" i="6"/>
  <c r="X292" i="6"/>
  <c r="Y225" i="6"/>
  <c r="AB223" i="6"/>
  <c r="AA290" i="6"/>
  <c r="AL256" i="6"/>
  <c r="AM189" i="6"/>
  <c r="Y268" i="6"/>
  <c r="Z201" i="6"/>
  <c r="X203" i="6"/>
  <c r="W270" i="6"/>
  <c r="AV188" i="6"/>
  <c r="AU255" i="6"/>
  <c r="BL188" i="6"/>
  <c r="BK255" i="6"/>
  <c r="AN188" i="6"/>
  <c r="AM255" i="6"/>
  <c r="BJ256" i="6"/>
  <c r="BK189" i="6"/>
  <c r="X260" i="6"/>
  <c r="Y193" i="6"/>
  <c r="W260" i="6"/>
  <c r="X193" i="6"/>
  <c r="W265" i="6"/>
  <c r="X198" i="6"/>
  <c r="AF257" i="6"/>
  <c r="AG190" i="6"/>
  <c r="BO256" i="6"/>
  <c r="BP189" i="6"/>
  <c r="BG256" i="6"/>
  <c r="BH189" i="6"/>
  <c r="AY256" i="6"/>
  <c r="AZ189" i="6"/>
  <c r="AQ256" i="6"/>
  <c r="AR189" i="6"/>
  <c r="AI256" i="6"/>
  <c r="AJ189" i="6"/>
  <c r="Z264" i="6"/>
  <c r="AA197" i="6"/>
  <c r="BP256" i="6"/>
  <c r="BQ189" i="6"/>
  <c r="X257" i="6"/>
  <c r="Y190" i="6"/>
  <c r="Y264" i="6"/>
  <c r="Z197" i="6"/>
  <c r="AJ256" i="6"/>
  <c r="AK189" i="6"/>
  <c r="BH256" i="6"/>
  <c r="BI189" i="6"/>
  <c r="AZ256" i="6"/>
  <c r="BA189" i="6"/>
  <c r="AR256" i="6"/>
  <c r="AS189" i="6"/>
  <c r="E48" i="36"/>
  <c r="Z269" i="6"/>
  <c r="AA202" i="6"/>
  <c r="AN189" i="6"/>
  <c r="AM256" i="6"/>
  <c r="X297" i="6"/>
  <c r="Y230" i="6"/>
  <c r="X269" i="6"/>
  <c r="Y202" i="6"/>
  <c r="AT257" i="6"/>
  <c r="AU190" i="6"/>
  <c r="Z287" i="6"/>
  <c r="AA220" i="6"/>
  <c r="Y256" i="6"/>
  <c r="Z189" i="6"/>
  <c r="BF256" i="6"/>
  <c r="BG189" i="6"/>
  <c r="X276" i="6"/>
  <c r="Y209" i="6"/>
  <c r="X270" i="6"/>
  <c r="Y203" i="6"/>
  <c r="AX189" i="6"/>
  <c r="AW256" i="6"/>
  <c r="Z256" i="6"/>
  <c r="AA189" i="6"/>
  <c r="BN256" i="6"/>
  <c r="BO189" i="6"/>
  <c r="Y279" i="6"/>
  <c r="Z212" i="6"/>
  <c r="AC190" i="6"/>
  <c r="AB257" i="6"/>
  <c r="AV256" i="6"/>
  <c r="AW189" i="6"/>
  <c r="AC224" i="6"/>
  <c r="AB291" i="6"/>
  <c r="AX256" i="6"/>
  <c r="AY189" i="6"/>
  <c r="BK257" i="6"/>
  <c r="BL190" i="6"/>
  <c r="AM257" i="6"/>
  <c r="AN190" i="6"/>
  <c r="Y293" i="6"/>
  <c r="Z226" i="6"/>
  <c r="Y285" i="6"/>
  <c r="Z218" i="6"/>
  <c r="Y281" i="6"/>
  <c r="Z214" i="6"/>
  <c r="AP189" i="6"/>
  <c r="AO256" i="6"/>
  <c r="AD257" i="6"/>
  <c r="AE190" i="6"/>
  <c r="AE257" i="6"/>
  <c r="AF190" i="6"/>
  <c r="BF189" i="6"/>
  <c r="BE256" i="6"/>
  <c r="AP256" i="6"/>
  <c r="AQ189" i="6"/>
  <c r="BK256" i="6"/>
  <c r="BL189" i="6"/>
  <c r="X272" i="6"/>
  <c r="Y205" i="6"/>
  <c r="BC257" i="6"/>
  <c r="BD190" i="6"/>
  <c r="Y278" i="6"/>
  <c r="Z211" i="6"/>
  <c r="X264" i="6"/>
  <c r="Y197" i="6"/>
  <c r="Y292" i="6"/>
  <c r="Z225" i="6"/>
  <c r="Y282" i="6"/>
  <c r="Z215" i="6"/>
  <c r="X273" i="6"/>
  <c r="Y206" i="6"/>
  <c r="Y283" i="6"/>
  <c r="Z216" i="6"/>
  <c r="Y280" i="6"/>
  <c r="Z213" i="6"/>
  <c r="Z267" i="6"/>
  <c r="AA200" i="6"/>
  <c r="Y275" i="6"/>
  <c r="Z208" i="6"/>
  <c r="AA271" i="6"/>
  <c r="AB204" i="6"/>
  <c r="Y294" i="6"/>
  <c r="Z227" i="6"/>
  <c r="AD292" i="6"/>
  <c r="AE225" i="6"/>
  <c r="Z298" i="6"/>
  <c r="AA231" i="6"/>
  <c r="Y192" i="6"/>
  <c r="X259" i="6"/>
  <c r="BC256" i="6"/>
  <c r="BD189" i="6"/>
  <c r="Y189" i="6"/>
  <c r="X256" i="6"/>
  <c r="AU256" i="6"/>
  <c r="AV189" i="6"/>
  <c r="Z292" i="6"/>
  <c r="AA225" i="6"/>
  <c r="BB257" i="6"/>
  <c r="BC190" i="6"/>
  <c r="Y216" i="6"/>
  <c r="X283" i="6"/>
  <c r="BK190" i="6"/>
  <c r="BJ257" i="6"/>
  <c r="AH256" i="6"/>
  <c r="AI189" i="6"/>
  <c r="Y290" i="6"/>
  <c r="Z223" i="6"/>
  <c r="Y289" i="6"/>
  <c r="Z222" i="6"/>
  <c r="X298" i="6"/>
  <c r="Y231" i="6"/>
  <c r="Z260" i="6"/>
  <c r="AA193" i="6"/>
  <c r="AH189" i="6"/>
  <c r="AG256" i="6"/>
  <c r="AU257" i="6"/>
  <c r="AV190" i="6"/>
  <c r="Y295" i="6"/>
  <c r="Z228" i="6"/>
  <c r="AC257" i="6"/>
  <c r="AD190" i="6"/>
  <c r="AN256" i="6"/>
  <c r="AO189" i="6"/>
  <c r="Z233" i="6"/>
  <c r="Y300" i="6"/>
  <c r="BM189" i="6"/>
  <c r="BL256" i="6"/>
  <c r="Y204" i="6"/>
  <c r="X271" i="6"/>
  <c r="Z297" i="6"/>
  <c r="AA230" i="6"/>
  <c r="AL257" i="6"/>
  <c r="AM190" i="6"/>
  <c r="Y276" i="6"/>
  <c r="Z209" i="6"/>
  <c r="BM256" i="6"/>
  <c r="BN189" i="6"/>
  <c r="BD256" i="6"/>
  <c r="BE189" i="6"/>
  <c r="AF256" i="6"/>
  <c r="AG189" i="6"/>
  <c r="AS257" i="6"/>
  <c r="AT190" i="6"/>
  <c r="BA257" i="6"/>
  <c r="BB190" i="6"/>
  <c r="BI257" i="6"/>
  <c r="BJ190" i="6"/>
  <c r="AK257" i="6"/>
  <c r="AL190" i="6"/>
  <c r="Z265" i="6"/>
  <c r="AA198" i="6"/>
  <c r="Y258" i="6"/>
  <c r="Z191" i="6"/>
  <c r="BQ257" i="6"/>
  <c r="BR190" i="6"/>
  <c r="BR258" i="6"/>
  <c r="AA265" i="6"/>
  <c r="AB198" i="6"/>
  <c r="AJ257" i="6"/>
  <c r="AK190" i="6"/>
  <c r="AR257" i="6"/>
  <c r="AS190" i="6"/>
  <c r="AZ257" i="6"/>
  <c r="BA190" i="6"/>
  <c r="BH257" i="6"/>
  <c r="BI190" i="6"/>
  <c r="BP257" i="6"/>
  <c r="BQ190" i="6"/>
  <c r="AG258" i="6"/>
  <c r="AH191" i="6"/>
  <c r="X266" i="6"/>
  <c r="Y199" i="6"/>
  <c r="Y194" i="6"/>
  <c r="X261" i="6"/>
  <c r="Y261" i="6"/>
  <c r="Z194" i="6"/>
  <c r="E105" i="36"/>
  <c r="F700" i="22"/>
  <c r="E114" i="36"/>
  <c r="F709" i="22"/>
  <c r="E109" i="36"/>
  <c r="F704" i="22"/>
  <c r="E103" i="36"/>
  <c r="F698" i="22"/>
  <c r="E116" i="36"/>
  <c r="F711" i="22"/>
  <c r="E113" i="36"/>
  <c r="F708" i="22"/>
  <c r="F697" i="22"/>
  <c r="E107" i="36"/>
  <c r="F702" i="22"/>
  <c r="E112" i="36"/>
  <c r="F707" i="22"/>
  <c r="E108" i="36"/>
  <c r="F703" i="22"/>
  <c r="E104" i="36"/>
  <c r="F699" i="22"/>
  <c r="E110" i="36"/>
  <c r="F705" i="22"/>
  <c r="E111" i="36"/>
  <c r="F706" i="22"/>
  <c r="E101" i="36"/>
  <c r="F696" i="22"/>
  <c r="E115" i="36"/>
  <c r="F710" i="22"/>
  <c r="E117" i="36"/>
  <c r="F712" i="22"/>
  <c r="E106" i="36"/>
  <c r="F701" i="22"/>
  <c r="F694" i="22"/>
  <c r="F695" i="22"/>
  <c r="F50" i="36"/>
  <c r="BF190" i="6"/>
  <c r="BE257" i="6"/>
  <c r="AB231" i="6"/>
  <c r="AA298" i="6"/>
  <c r="AO257" i="6"/>
  <c r="AP190" i="6"/>
  <c r="Z291" i="6"/>
  <c r="AA224" i="6"/>
  <c r="BC258" i="6"/>
  <c r="BD191" i="6"/>
  <c r="BD257" i="6"/>
  <c r="BE190" i="6"/>
  <c r="Z295" i="6"/>
  <c r="AA228" i="6"/>
  <c r="Z281" i="6"/>
  <c r="AA214" i="6"/>
  <c r="Z293" i="6"/>
  <c r="AA226" i="6"/>
  <c r="Y273" i="6"/>
  <c r="Z206" i="6"/>
  <c r="AF258" i="6"/>
  <c r="AG191" i="6"/>
  <c r="Z286" i="6"/>
  <c r="AA219" i="6"/>
  <c r="AY257" i="6"/>
  <c r="AZ190" i="6"/>
  <c r="Z280" i="6"/>
  <c r="AA213" i="6"/>
  <c r="Y271" i="6"/>
  <c r="Z204" i="6"/>
  <c r="AA288" i="6"/>
  <c r="AB221" i="6"/>
  <c r="AI190" i="6"/>
  <c r="AH257" i="6"/>
  <c r="AQ190" i="6"/>
  <c r="AP257" i="6"/>
  <c r="AN257" i="6"/>
  <c r="AO190" i="6"/>
  <c r="AG257" i="6"/>
  <c r="AH190" i="6"/>
  <c r="BN257" i="6"/>
  <c r="BO190" i="6"/>
  <c r="AN191" i="6"/>
  <c r="AM258" i="6"/>
  <c r="AD258" i="6"/>
  <c r="AE191" i="6"/>
  <c r="AV258" i="6"/>
  <c r="AW191" i="6"/>
  <c r="AA261" i="6"/>
  <c r="AB194" i="6"/>
  <c r="Z290" i="6"/>
  <c r="AA223" i="6"/>
  <c r="AI257" i="6"/>
  <c r="AJ190" i="6"/>
  <c r="AA293" i="6"/>
  <c r="AB226" i="6"/>
  <c r="AE293" i="6"/>
  <c r="AF226" i="6"/>
  <c r="AB272" i="6"/>
  <c r="AC205" i="6"/>
  <c r="AA268" i="6"/>
  <c r="AB201" i="6"/>
  <c r="Z284" i="6"/>
  <c r="AA217" i="6"/>
  <c r="Z283" i="6"/>
  <c r="AA216" i="6"/>
  <c r="Y265" i="6"/>
  <c r="Z198" i="6"/>
  <c r="BD258" i="6"/>
  <c r="BE191" i="6"/>
  <c r="BL257" i="6"/>
  <c r="BM190" i="6"/>
  <c r="AF191" i="6"/>
  <c r="AE258" i="6"/>
  <c r="Z282" i="6"/>
  <c r="AA215" i="6"/>
  <c r="Z294" i="6"/>
  <c r="AA227" i="6"/>
  <c r="BM191" i="6"/>
  <c r="BL258" i="6"/>
  <c r="BO257" i="6"/>
  <c r="BP190" i="6"/>
  <c r="Y277" i="6"/>
  <c r="Z210" i="6"/>
  <c r="AA190" i="6"/>
  <c r="Z257" i="6"/>
  <c r="AU258" i="6"/>
  <c r="AV191" i="6"/>
  <c r="Y298" i="6"/>
  <c r="Z231" i="6"/>
  <c r="AA270" i="6"/>
  <c r="AB203" i="6"/>
  <c r="AA210" i="6"/>
  <c r="Z277" i="6"/>
  <c r="Z296" i="6"/>
  <c r="AA229" i="6"/>
  <c r="Y299" i="6"/>
  <c r="Z232" i="6"/>
  <c r="AV257" i="6"/>
  <c r="AW190" i="6"/>
  <c r="AA299" i="6"/>
  <c r="AB232" i="6"/>
  <c r="Z276" i="6"/>
  <c r="AA209" i="6"/>
  <c r="Y274" i="6"/>
  <c r="Z207" i="6"/>
  <c r="Z279" i="6"/>
  <c r="AA212" i="6"/>
  <c r="AQ257" i="6"/>
  <c r="AR190" i="6"/>
  <c r="AN258" i="6"/>
  <c r="AO191" i="6"/>
  <c r="AW257" i="6"/>
  <c r="AX190" i="6"/>
  <c r="AA257" i="6"/>
  <c r="AB190" i="6"/>
  <c r="BG257" i="6"/>
  <c r="BH190" i="6"/>
  <c r="Y270" i="6"/>
  <c r="Z203" i="6"/>
  <c r="BN190" i="6"/>
  <c r="BM257" i="6"/>
  <c r="BL191" i="6"/>
  <c r="BK258" i="6"/>
  <c r="Y272" i="6"/>
  <c r="Z205" i="6"/>
  <c r="Z301" i="6"/>
  <c r="AA234" i="6"/>
  <c r="AA302" i="6"/>
  <c r="Y284" i="6"/>
  <c r="Z217" i="6"/>
  <c r="Y257" i="6"/>
  <c r="Z190" i="6"/>
  <c r="Y260" i="6"/>
  <c r="Z193" i="6"/>
  <c r="BG190" i="6"/>
  <c r="BF257" i="6"/>
  <c r="AD225" i="6"/>
  <c r="AC292" i="6"/>
  <c r="AC258" i="6"/>
  <c r="AD191" i="6"/>
  <c r="AY190" i="6"/>
  <c r="AX257" i="6"/>
  <c r="Z262" i="6"/>
  <c r="AA195" i="6"/>
  <c r="Y267" i="6"/>
  <c r="Z200" i="6"/>
  <c r="AH259" i="6"/>
  <c r="AI192" i="6"/>
  <c r="BQ258" i="6"/>
  <c r="BR191" i="6"/>
  <c r="BR259" i="6"/>
  <c r="BI258" i="6"/>
  <c r="BJ191" i="6"/>
  <c r="BA258" i="6"/>
  <c r="BB191" i="6"/>
  <c r="AS258" i="6"/>
  <c r="AT191" i="6"/>
  <c r="AK258" i="6"/>
  <c r="AL191" i="6"/>
  <c r="AB266" i="6"/>
  <c r="AC199" i="6"/>
  <c r="Z259" i="6"/>
  <c r="AA192" i="6"/>
  <c r="AA266" i="6"/>
  <c r="AB199" i="6"/>
  <c r="AL258" i="6"/>
  <c r="AM191" i="6"/>
  <c r="BJ258" i="6"/>
  <c r="BK191" i="6"/>
  <c r="BB258" i="6"/>
  <c r="BC191" i="6"/>
  <c r="AT258" i="6"/>
  <c r="AU191" i="6"/>
  <c r="Z195" i="6"/>
  <c r="Y262" i="6"/>
  <c r="F48" i="36"/>
  <c r="Z271" i="6"/>
  <c r="AA204" i="6"/>
  <c r="AA280" i="6"/>
  <c r="AB213" i="6"/>
  <c r="AA297" i="6"/>
  <c r="AB230" i="6"/>
  <c r="Z278" i="6"/>
  <c r="AA211" i="6"/>
  <c r="BM258" i="6"/>
  <c r="BN191" i="6"/>
  <c r="AC273" i="6"/>
  <c r="AD206" i="6"/>
  <c r="AW259" i="6"/>
  <c r="AX192" i="6"/>
  <c r="AA287" i="6"/>
  <c r="AB220" i="6"/>
  <c r="BE258" i="6"/>
  <c r="BF191" i="6"/>
  <c r="AN259" i="6"/>
  <c r="AO192" i="6"/>
  <c r="AR191" i="6"/>
  <c r="AQ258" i="6"/>
  <c r="AB299" i="6"/>
  <c r="AC232" i="6"/>
  <c r="AO259" i="6"/>
  <c r="AP192" i="6"/>
  <c r="AW258" i="6"/>
  <c r="AX191" i="6"/>
  <c r="AV259" i="6"/>
  <c r="AW192" i="6"/>
  <c r="AA283" i="6"/>
  <c r="AB216" i="6"/>
  <c r="AA285" i="6"/>
  <c r="AB218" i="6"/>
  <c r="AB294" i="6"/>
  <c r="AC227" i="6"/>
  <c r="AB289" i="6"/>
  <c r="AC222" i="6"/>
  <c r="AA282" i="6"/>
  <c r="AB215" i="6"/>
  <c r="BM259" i="6"/>
  <c r="BN192" i="6"/>
  <c r="Z261" i="6"/>
  <c r="AA194" i="6"/>
  <c r="Z285" i="6"/>
  <c r="AA218" i="6"/>
  <c r="Z273" i="6"/>
  <c r="AA206" i="6"/>
  <c r="BI191" i="6"/>
  <c r="BH258" i="6"/>
  <c r="AX258" i="6"/>
  <c r="AY191" i="6"/>
  <c r="AR258" i="6"/>
  <c r="AS191" i="6"/>
  <c r="Z275" i="6"/>
  <c r="AA208" i="6"/>
  <c r="AB300" i="6"/>
  <c r="AC233" i="6"/>
  <c r="Z300" i="6"/>
  <c r="AA233" i="6"/>
  <c r="Z299" i="6"/>
  <c r="AA232" i="6"/>
  <c r="BP258" i="6"/>
  <c r="BQ191" i="6"/>
  <c r="AA295" i="6"/>
  <c r="AB228" i="6"/>
  <c r="BE259" i="6"/>
  <c r="BF192" i="6"/>
  <c r="AA284" i="6"/>
  <c r="AB217" i="6"/>
  <c r="AB269" i="6"/>
  <c r="AC202" i="6"/>
  <c r="AF294" i="6"/>
  <c r="AG227" i="6"/>
  <c r="AK191" i="6"/>
  <c r="AJ258" i="6"/>
  <c r="AB262" i="6"/>
  <c r="AC195" i="6"/>
  <c r="AE259" i="6"/>
  <c r="AF192" i="6"/>
  <c r="BO258" i="6"/>
  <c r="BP191" i="6"/>
  <c r="AO258" i="6"/>
  <c r="AP191" i="6"/>
  <c r="Z272" i="6"/>
  <c r="AA205" i="6"/>
  <c r="AZ258" i="6"/>
  <c r="BA191" i="6"/>
  <c r="AG259" i="6"/>
  <c r="AH192" i="6"/>
  <c r="AA294" i="6"/>
  <c r="AB227" i="6"/>
  <c r="AA296" i="6"/>
  <c r="AB229" i="6"/>
  <c r="BE192" i="6"/>
  <c r="BD259" i="6"/>
  <c r="AP258" i="6"/>
  <c r="AQ191" i="6"/>
  <c r="AD259" i="6"/>
  <c r="AE192" i="6"/>
  <c r="Z258" i="6"/>
  <c r="AA191" i="6"/>
  <c r="AB258" i="6"/>
  <c r="AC191" i="6"/>
  <c r="AA277" i="6"/>
  <c r="AB210" i="6"/>
  <c r="AB271" i="6"/>
  <c r="AC204" i="6"/>
  <c r="Z266" i="6"/>
  <c r="AA199" i="6"/>
  <c r="AA291" i="6"/>
  <c r="AB224" i="6"/>
  <c r="AH258" i="6"/>
  <c r="AI191" i="6"/>
  <c r="AA281" i="6"/>
  <c r="AB214" i="6"/>
  <c r="Z274" i="6"/>
  <c r="AA207" i="6"/>
  <c r="AA292" i="6"/>
  <c r="AB225" i="6"/>
  <c r="BG258" i="6"/>
  <c r="BH191" i="6"/>
  <c r="BL259" i="6"/>
  <c r="BM192" i="6"/>
  <c r="AZ191" i="6"/>
  <c r="AY258" i="6"/>
  <c r="AE226" i="6"/>
  <c r="AD293" i="6"/>
  <c r="BN258" i="6"/>
  <c r="BO191" i="6"/>
  <c r="AA278" i="6"/>
  <c r="AB211" i="6"/>
  <c r="AB191" i="6"/>
  <c r="AA258" i="6"/>
  <c r="AF259" i="6"/>
  <c r="AG192" i="6"/>
  <c r="AJ191" i="6"/>
  <c r="AI258" i="6"/>
  <c r="BF258" i="6"/>
  <c r="BG191" i="6"/>
  <c r="AA196" i="6"/>
  <c r="Z263" i="6"/>
  <c r="AU259" i="6"/>
  <c r="AV192" i="6"/>
  <c r="BC259" i="6"/>
  <c r="BD192" i="6"/>
  <c r="BK259" i="6"/>
  <c r="BL192" i="6"/>
  <c r="AM259" i="6"/>
  <c r="AN192" i="6"/>
  <c r="AB267" i="6"/>
  <c r="AC200" i="6"/>
  <c r="AA260" i="6"/>
  <c r="AB193" i="6"/>
  <c r="AC267" i="6"/>
  <c r="AD200" i="6"/>
  <c r="AL259" i="6"/>
  <c r="AM192" i="6"/>
  <c r="AT259" i="6"/>
  <c r="AU192" i="6"/>
  <c r="BB259" i="6"/>
  <c r="BC192" i="6"/>
  <c r="BJ259" i="6"/>
  <c r="BK192" i="6"/>
  <c r="AI260" i="6"/>
  <c r="AJ193" i="6"/>
  <c r="Z268" i="6"/>
  <c r="AA201" i="6"/>
  <c r="AA263" i="6"/>
  <c r="AB196" i="6"/>
  <c r="G694" i="22"/>
  <c r="F106" i="36"/>
  <c r="G701" i="22"/>
  <c r="F116" i="36"/>
  <c r="G711" i="22"/>
  <c r="F113" i="36"/>
  <c r="G708" i="22"/>
  <c r="F115" i="36"/>
  <c r="G710" i="22"/>
  <c r="F108" i="36"/>
  <c r="G703" i="22"/>
  <c r="F109" i="36"/>
  <c r="G704" i="22"/>
  <c r="F111" i="36"/>
  <c r="G706" i="22"/>
  <c r="G695" i="22"/>
  <c r="F112" i="36"/>
  <c r="G707" i="22"/>
  <c r="F104" i="36"/>
  <c r="G699" i="22"/>
  <c r="F105" i="36"/>
  <c r="G700" i="22"/>
  <c r="F101" i="36"/>
  <c r="G696" i="22"/>
  <c r="F110" i="36"/>
  <c r="G705" i="22"/>
  <c r="F107" i="36"/>
  <c r="G702" i="22"/>
  <c r="F114" i="36"/>
  <c r="G709" i="22"/>
  <c r="G697" i="22"/>
  <c r="F117" i="36"/>
  <c r="G712" i="22"/>
  <c r="F103" i="36"/>
  <c r="G698" i="22"/>
  <c r="G50" i="36"/>
  <c r="H50" i="36"/>
  <c r="AK259" i="6"/>
  <c r="AL192" i="6"/>
  <c r="BG259" i="6"/>
  <c r="BH192" i="6"/>
  <c r="AG260" i="6"/>
  <c r="AH193" i="6"/>
  <c r="AB279" i="6"/>
  <c r="AC212" i="6"/>
  <c r="BM260" i="6"/>
  <c r="BN193" i="6"/>
  <c r="AB293" i="6"/>
  <c r="AC226" i="6"/>
  <c r="AB282" i="6"/>
  <c r="AC215" i="6"/>
  <c r="AB292" i="6"/>
  <c r="AC225" i="6"/>
  <c r="AC272" i="6"/>
  <c r="AD205" i="6"/>
  <c r="AD192" i="6"/>
  <c r="AC259" i="6"/>
  <c r="AE260" i="6"/>
  <c r="AF193" i="6"/>
  <c r="AB295" i="6"/>
  <c r="AC228" i="6"/>
  <c r="BA259" i="6"/>
  <c r="BB192" i="6"/>
  <c r="AP259" i="6"/>
  <c r="AQ192" i="6"/>
  <c r="AF260" i="6"/>
  <c r="AG193" i="6"/>
  <c r="AC270" i="6"/>
  <c r="AD203" i="6"/>
  <c r="BF260" i="6"/>
  <c r="BG193" i="6"/>
  <c r="BR192" i="6"/>
  <c r="BR260" i="6"/>
  <c r="BQ259" i="6"/>
  <c r="AA301" i="6"/>
  <c r="AB234" i="6"/>
  <c r="AB302" i="6"/>
  <c r="AA276" i="6"/>
  <c r="AB209" i="6"/>
  <c r="AZ192" i="6"/>
  <c r="AY259" i="6"/>
  <c r="AA274" i="6"/>
  <c r="AB207" i="6"/>
  <c r="AA262" i="6"/>
  <c r="AB195" i="6"/>
  <c r="AB283" i="6"/>
  <c r="AC216" i="6"/>
  <c r="AC295" i="6"/>
  <c r="AD228" i="6"/>
  <c r="AB284" i="6"/>
  <c r="AC217" i="6"/>
  <c r="AX259" i="6"/>
  <c r="AY192" i="6"/>
  <c r="AD233" i="6"/>
  <c r="AC300" i="6"/>
  <c r="AO260" i="6"/>
  <c r="AP193" i="6"/>
  <c r="AB288" i="6"/>
  <c r="AC221" i="6"/>
  <c r="AD274" i="6"/>
  <c r="AE207" i="6"/>
  <c r="AA279" i="6"/>
  <c r="AB212" i="6"/>
  <c r="AB281" i="6"/>
  <c r="AC214" i="6"/>
  <c r="BO259" i="6"/>
  <c r="BP192" i="6"/>
  <c r="BI192" i="6"/>
  <c r="BH259" i="6"/>
  <c r="AA275" i="6"/>
  <c r="AB208" i="6"/>
  <c r="AI259" i="6"/>
  <c r="AJ192" i="6"/>
  <c r="AA267" i="6"/>
  <c r="AB200" i="6"/>
  <c r="AB278" i="6"/>
  <c r="AC211" i="6"/>
  <c r="AB192" i="6"/>
  <c r="AA259" i="6"/>
  <c r="AQ259" i="6"/>
  <c r="AR192" i="6"/>
  <c r="AB297" i="6"/>
  <c r="AC230" i="6"/>
  <c r="AH260" i="6"/>
  <c r="AI193" i="6"/>
  <c r="AA273" i="6"/>
  <c r="AB206" i="6"/>
  <c r="BP259" i="6"/>
  <c r="BQ192" i="6"/>
  <c r="AC263" i="6"/>
  <c r="AD196" i="6"/>
  <c r="AG295" i="6"/>
  <c r="AH228" i="6"/>
  <c r="AB285" i="6"/>
  <c r="AC218" i="6"/>
  <c r="AB296" i="6"/>
  <c r="AC229" i="6"/>
  <c r="AA300" i="6"/>
  <c r="AB233" i="6"/>
  <c r="AC301" i="6"/>
  <c r="AD234" i="6"/>
  <c r="AD302" i="6"/>
  <c r="AS259" i="6"/>
  <c r="AT192" i="6"/>
  <c r="AA286" i="6"/>
  <c r="AB219" i="6"/>
  <c r="BN260" i="6"/>
  <c r="BO193" i="6"/>
  <c r="AC290" i="6"/>
  <c r="AD223" i="6"/>
  <c r="AB286" i="6"/>
  <c r="AC219" i="6"/>
  <c r="AW260" i="6"/>
  <c r="AX193" i="6"/>
  <c r="AP260" i="6"/>
  <c r="AQ193" i="6"/>
  <c r="BF259" i="6"/>
  <c r="BG192" i="6"/>
  <c r="AX260" i="6"/>
  <c r="AY193" i="6"/>
  <c r="BN259" i="6"/>
  <c r="BO192" i="6"/>
  <c r="AB298" i="6"/>
  <c r="AC231" i="6"/>
  <c r="AA272" i="6"/>
  <c r="AB205" i="6"/>
  <c r="AE294" i="6"/>
  <c r="AF227" i="6"/>
  <c r="BF193" i="6"/>
  <c r="BE260" i="6"/>
  <c r="AK192" i="6"/>
  <c r="AJ259" i="6"/>
  <c r="AB259" i="6"/>
  <c r="AC192" i="6"/>
  <c r="BA192" i="6"/>
  <c r="AZ259" i="6"/>
  <c r="BJ192" i="6"/>
  <c r="BI259" i="6"/>
  <c r="AS192" i="6"/>
  <c r="AR259" i="6"/>
  <c r="AB264" i="6"/>
  <c r="AC197" i="6"/>
  <c r="AA269" i="6"/>
  <c r="AB202" i="6"/>
  <c r="AK194" i="6"/>
  <c r="AJ261" i="6"/>
  <c r="BK260" i="6"/>
  <c r="BL193" i="6"/>
  <c r="BC260" i="6"/>
  <c r="BD193" i="6"/>
  <c r="AU260" i="6"/>
  <c r="AV193" i="6"/>
  <c r="AM260" i="6"/>
  <c r="AN193" i="6"/>
  <c r="AD268" i="6"/>
  <c r="AE201" i="6"/>
  <c r="AC194" i="6"/>
  <c r="AB261" i="6"/>
  <c r="AC268" i="6"/>
  <c r="AD201" i="6"/>
  <c r="AN260" i="6"/>
  <c r="AO193" i="6"/>
  <c r="BL260" i="6"/>
  <c r="BM193" i="6"/>
  <c r="BD260" i="6"/>
  <c r="BE193" i="6"/>
  <c r="AV260" i="6"/>
  <c r="AW193" i="6"/>
  <c r="AB197" i="6"/>
  <c r="AA264" i="6"/>
  <c r="G48" i="36"/>
  <c r="H48" i="36"/>
  <c r="I50" i="36"/>
  <c r="AC299" i="6"/>
  <c r="AD232" i="6"/>
  <c r="AQ261" i="6"/>
  <c r="AR194" i="6"/>
  <c r="BP194" i="6"/>
  <c r="BO261" i="6"/>
  <c r="AB301" i="6"/>
  <c r="AC234" i="6"/>
  <c r="AC302" i="6"/>
  <c r="AD264" i="6"/>
  <c r="AE197" i="6"/>
  <c r="AC298" i="6"/>
  <c r="AD231" i="6"/>
  <c r="AB268" i="6"/>
  <c r="AC201" i="6"/>
  <c r="BP260" i="6"/>
  <c r="BQ193" i="6"/>
  <c r="AC289" i="6"/>
  <c r="AD222" i="6"/>
  <c r="AC285" i="6"/>
  <c r="AD218" i="6"/>
  <c r="AB275" i="6"/>
  <c r="AC208" i="6"/>
  <c r="AR193" i="6"/>
  <c r="AQ260" i="6"/>
  <c r="AC293" i="6"/>
  <c r="AD226" i="6"/>
  <c r="AC294" i="6"/>
  <c r="AD227" i="6"/>
  <c r="BH260" i="6"/>
  <c r="BI193" i="6"/>
  <c r="BA260" i="6"/>
  <c r="BB193" i="6"/>
  <c r="AB260" i="6"/>
  <c r="AC193" i="6"/>
  <c r="AC260" i="6"/>
  <c r="AD193" i="6"/>
  <c r="AB273" i="6"/>
  <c r="AC206" i="6"/>
  <c r="BO260" i="6"/>
  <c r="BP193" i="6"/>
  <c r="BG260" i="6"/>
  <c r="BH193" i="6"/>
  <c r="AY194" i="6"/>
  <c r="AX261" i="6"/>
  <c r="AD291" i="6"/>
  <c r="AE224" i="6"/>
  <c r="AC220" i="6"/>
  <c r="AB287" i="6"/>
  <c r="AC297" i="6"/>
  <c r="AD230" i="6"/>
  <c r="AH296" i="6"/>
  <c r="AI229" i="6"/>
  <c r="BR193" i="6"/>
  <c r="BR261" i="6"/>
  <c r="BQ260" i="6"/>
  <c r="AI261" i="6"/>
  <c r="AJ194" i="6"/>
  <c r="AR260" i="6"/>
  <c r="AS193" i="6"/>
  <c r="AC279" i="6"/>
  <c r="AD212" i="6"/>
  <c r="AJ260" i="6"/>
  <c r="AK193" i="6"/>
  <c r="AC282" i="6"/>
  <c r="AD215" i="6"/>
  <c r="AE275" i="6"/>
  <c r="AF208" i="6"/>
  <c r="AQ194" i="6"/>
  <c r="AP261" i="6"/>
  <c r="AY260" i="6"/>
  <c r="AZ193" i="6"/>
  <c r="AD296" i="6"/>
  <c r="AE229" i="6"/>
  <c r="AB263" i="6"/>
  <c r="AC196" i="6"/>
  <c r="BG261" i="6"/>
  <c r="BH194" i="6"/>
  <c r="AH194" i="6"/>
  <c r="AG261" i="6"/>
  <c r="BB260" i="6"/>
  <c r="BC193" i="6"/>
  <c r="AF261" i="6"/>
  <c r="AG194" i="6"/>
  <c r="AD273" i="6"/>
  <c r="AE206" i="6"/>
  <c r="AC283" i="6"/>
  <c r="AD216" i="6"/>
  <c r="BN261" i="6"/>
  <c r="BO194" i="6"/>
  <c r="AH261" i="6"/>
  <c r="AI194" i="6"/>
  <c r="AL260" i="6"/>
  <c r="AM193" i="6"/>
  <c r="AG228" i="6"/>
  <c r="AF295" i="6"/>
  <c r="AY261" i="6"/>
  <c r="AZ194" i="6"/>
  <c r="AC287" i="6"/>
  <c r="AD220" i="6"/>
  <c r="AT260" i="6"/>
  <c r="AU193" i="6"/>
  <c r="AC286" i="6"/>
  <c r="AD219" i="6"/>
  <c r="AB274" i="6"/>
  <c r="AC207" i="6"/>
  <c r="AB276" i="6"/>
  <c r="AC209" i="6"/>
  <c r="AB280" i="6"/>
  <c r="AC213" i="6"/>
  <c r="AC284" i="6"/>
  <c r="AD217" i="6"/>
  <c r="AB277" i="6"/>
  <c r="AC210" i="6"/>
  <c r="AD271" i="6"/>
  <c r="AE204" i="6"/>
  <c r="AD229" i="6"/>
  <c r="AC296" i="6"/>
  <c r="AC280" i="6"/>
  <c r="AD213" i="6"/>
  <c r="AS260" i="6"/>
  <c r="AT193" i="6"/>
  <c r="AK260" i="6"/>
  <c r="AL193" i="6"/>
  <c r="AE234" i="6"/>
  <c r="AE302" i="6"/>
  <c r="AD301" i="6"/>
  <c r="AD260" i="6"/>
  <c r="AE193" i="6"/>
  <c r="BJ260" i="6"/>
  <c r="BK193" i="6"/>
  <c r="BF261" i="6"/>
  <c r="BG194" i="6"/>
  <c r="BI260" i="6"/>
  <c r="BJ193" i="6"/>
  <c r="AZ260" i="6"/>
  <c r="BA193" i="6"/>
  <c r="AW261" i="6"/>
  <c r="AX194" i="6"/>
  <c r="BE261" i="6"/>
  <c r="BF194" i="6"/>
  <c r="BM261" i="6"/>
  <c r="BN194" i="6"/>
  <c r="AO261" i="6"/>
  <c r="AP194" i="6"/>
  <c r="AD269" i="6"/>
  <c r="AE202" i="6"/>
  <c r="AE269" i="6"/>
  <c r="AF202" i="6"/>
  <c r="AO194" i="6"/>
  <c r="AN261" i="6"/>
  <c r="AW194" i="6"/>
  <c r="AV261" i="6"/>
  <c r="BE194" i="6"/>
  <c r="BD261" i="6"/>
  <c r="BM194" i="6"/>
  <c r="BL261" i="6"/>
  <c r="AB270" i="6"/>
  <c r="AC203" i="6"/>
  <c r="AC265" i="6"/>
  <c r="AD198" i="6"/>
  <c r="AC198" i="6"/>
  <c r="AB265" i="6"/>
  <c r="AD195" i="6"/>
  <c r="AC262" i="6"/>
  <c r="AL195" i="6"/>
  <c r="AK262" i="6"/>
  <c r="I48" i="36"/>
  <c r="H694" i="22"/>
  <c r="G105" i="36"/>
  <c r="H700" i="22"/>
  <c r="G110" i="36"/>
  <c r="H705" i="22"/>
  <c r="G112" i="36"/>
  <c r="H707" i="22"/>
  <c r="G111" i="36"/>
  <c r="H706" i="22"/>
  <c r="H695" i="22"/>
  <c r="G113" i="36"/>
  <c r="H708" i="22"/>
  <c r="G114" i="36"/>
  <c r="H709" i="22"/>
  <c r="G101" i="36"/>
  <c r="H696" i="22"/>
  <c r="G115" i="36"/>
  <c r="H710" i="22"/>
  <c r="G108" i="36"/>
  <c r="H703" i="22"/>
  <c r="G106" i="36"/>
  <c r="H701" i="22"/>
  <c r="G116" i="36"/>
  <c r="H711" i="22"/>
  <c r="G104" i="36"/>
  <c r="H699" i="22"/>
  <c r="G109" i="36"/>
  <c r="H704" i="22"/>
  <c r="G103" i="36"/>
  <c r="H698" i="22"/>
  <c r="H697" i="22"/>
  <c r="G117" i="36"/>
  <c r="H712" i="22"/>
  <c r="G107" i="36"/>
  <c r="H702" i="22"/>
  <c r="H114" i="36"/>
  <c r="I709" i="22"/>
  <c r="I697" i="22"/>
  <c r="H105" i="36"/>
  <c r="I700" i="22"/>
  <c r="I694" i="22"/>
  <c r="H115" i="36"/>
  <c r="I710" i="22"/>
  <c r="H104" i="36"/>
  <c r="I699" i="22"/>
  <c r="H101" i="36"/>
  <c r="I696" i="22"/>
  <c r="H116" i="36"/>
  <c r="I711" i="22"/>
  <c r="H113" i="36"/>
  <c r="I708" i="22"/>
  <c r="H103" i="36"/>
  <c r="I698" i="22"/>
  <c r="H108" i="36"/>
  <c r="I703" i="22"/>
  <c r="H106" i="36"/>
  <c r="I701" i="22"/>
  <c r="H109" i="36"/>
  <c r="I704" i="22"/>
  <c r="H117" i="36"/>
  <c r="I712" i="22"/>
  <c r="H107" i="36"/>
  <c r="I702" i="22"/>
  <c r="H111" i="36"/>
  <c r="I706" i="22"/>
  <c r="I695" i="22"/>
  <c r="H110" i="36"/>
  <c r="I705" i="22"/>
  <c r="H112" i="36"/>
  <c r="I707" i="22"/>
  <c r="AT261" i="6"/>
  <c r="AU194" i="6"/>
  <c r="AE297" i="6"/>
  <c r="AF230" i="6"/>
  <c r="AS194" i="6"/>
  <c r="AR261" i="6"/>
  <c r="AC278" i="6"/>
  <c r="AD211" i="6"/>
  <c r="AC275" i="6"/>
  <c r="AD208" i="6"/>
  <c r="AZ262" i="6"/>
  <c r="BA195" i="6"/>
  <c r="BO262" i="6"/>
  <c r="BP195" i="6"/>
  <c r="BC261" i="6"/>
  <c r="BD194" i="6"/>
  <c r="AD280" i="6"/>
  <c r="AE213" i="6"/>
  <c r="AJ262" i="6"/>
  <c r="AK195" i="6"/>
  <c r="BP261" i="6"/>
  <c r="BQ194" i="6"/>
  <c r="BB261" i="6"/>
  <c r="BC194" i="6"/>
  <c r="BQ261" i="6"/>
  <c r="BR194" i="6"/>
  <c r="BR262" i="6"/>
  <c r="AD299" i="6"/>
  <c r="AE232" i="6"/>
  <c r="AR262" i="6"/>
  <c r="AS195" i="6"/>
  <c r="AE230" i="6"/>
  <c r="AD297" i="6"/>
  <c r="BA261" i="6"/>
  <c r="BB194" i="6"/>
  <c r="BG262" i="6"/>
  <c r="BH195" i="6"/>
  <c r="AE261" i="6"/>
  <c r="AF194" i="6"/>
  <c r="AL261" i="6"/>
  <c r="AM194" i="6"/>
  <c r="AE214" i="6"/>
  <c r="AD281" i="6"/>
  <c r="AE272" i="6"/>
  <c r="AF205" i="6"/>
  <c r="AD285" i="6"/>
  <c r="AE218" i="6"/>
  <c r="AC277" i="6"/>
  <c r="AD210" i="6"/>
  <c r="AD287" i="6"/>
  <c r="AE220" i="6"/>
  <c r="AD288" i="6"/>
  <c r="AE221" i="6"/>
  <c r="AI262" i="6"/>
  <c r="AJ195" i="6"/>
  <c r="AD284" i="6"/>
  <c r="AE217" i="6"/>
  <c r="AH195" i="6"/>
  <c r="AG262" i="6"/>
  <c r="AC264" i="6"/>
  <c r="AD197" i="6"/>
  <c r="BA194" i="6"/>
  <c r="AZ261" i="6"/>
  <c r="AF276" i="6"/>
  <c r="AG209" i="6"/>
  <c r="AL194" i="6"/>
  <c r="AK261" i="6"/>
  <c r="AS261" i="6"/>
  <c r="AT194" i="6"/>
  <c r="AD298" i="6"/>
  <c r="AE231" i="6"/>
  <c r="AE292" i="6"/>
  <c r="AF225" i="6"/>
  <c r="BI194" i="6"/>
  <c r="BH261" i="6"/>
  <c r="AC274" i="6"/>
  <c r="AD207" i="6"/>
  <c r="AD194" i="6"/>
  <c r="AC261" i="6"/>
  <c r="BI261" i="6"/>
  <c r="BJ194" i="6"/>
  <c r="AD294" i="6"/>
  <c r="AE227" i="6"/>
  <c r="AD209" i="6"/>
  <c r="AC276" i="6"/>
  <c r="AD290" i="6"/>
  <c r="AE223" i="6"/>
  <c r="AC269" i="6"/>
  <c r="AD202" i="6"/>
  <c r="AE265" i="6"/>
  <c r="AF198" i="6"/>
  <c r="AD300" i="6"/>
  <c r="AE233" i="6"/>
  <c r="BJ261" i="6"/>
  <c r="BK194" i="6"/>
  <c r="BK261" i="6"/>
  <c r="BL194" i="6"/>
  <c r="AC281" i="6"/>
  <c r="AD214" i="6"/>
  <c r="AU261" i="6"/>
  <c r="AV194" i="6"/>
  <c r="AM261" i="6"/>
  <c r="AN194" i="6"/>
  <c r="AE274" i="6"/>
  <c r="AF207" i="6"/>
  <c r="BH262" i="6"/>
  <c r="BI195" i="6"/>
  <c r="AD283" i="6"/>
  <c r="AE216" i="6"/>
  <c r="AI297" i="6"/>
  <c r="AJ230" i="6"/>
  <c r="AD261" i="6"/>
  <c r="AE194" i="6"/>
  <c r="AD295" i="6"/>
  <c r="AE228" i="6"/>
  <c r="AD286" i="6"/>
  <c r="AE219" i="6"/>
  <c r="AQ262" i="6"/>
  <c r="AR195" i="6"/>
  <c r="AD221" i="6"/>
  <c r="AC288" i="6"/>
  <c r="AY262" i="6"/>
  <c r="AZ195" i="6"/>
  <c r="AG296" i="6"/>
  <c r="AH229" i="6"/>
  <c r="AI195" i="6"/>
  <c r="AH262" i="6"/>
  <c r="BP262" i="6"/>
  <c r="BQ195" i="6"/>
  <c r="AM196" i="6"/>
  <c r="AL263" i="6"/>
  <c r="AE196" i="6"/>
  <c r="AD263" i="6"/>
  <c r="AD199" i="6"/>
  <c r="AC266" i="6"/>
  <c r="BM262" i="6"/>
  <c r="BN195" i="6"/>
  <c r="BF195" i="6"/>
  <c r="BE262" i="6"/>
  <c r="AX195" i="6"/>
  <c r="AW262" i="6"/>
  <c r="AP195" i="6"/>
  <c r="AO262" i="6"/>
  <c r="AD266" i="6"/>
  <c r="AE199" i="6"/>
  <c r="AC271" i="6"/>
  <c r="AD204" i="6"/>
  <c r="AF270" i="6"/>
  <c r="AG203" i="6"/>
  <c r="AE270" i="6"/>
  <c r="AF203" i="6"/>
  <c r="AP262" i="6"/>
  <c r="AQ195" i="6"/>
  <c r="BN262" i="6"/>
  <c r="BO195" i="6"/>
  <c r="BF262" i="6"/>
  <c r="BG195" i="6"/>
  <c r="AX262" i="6"/>
  <c r="AY195" i="6"/>
  <c r="I107" i="36"/>
  <c r="J702" i="22"/>
  <c r="I101" i="36"/>
  <c r="J696" i="22"/>
  <c r="I117" i="36"/>
  <c r="J712" i="22"/>
  <c r="J697" i="22"/>
  <c r="I115" i="36"/>
  <c r="J710" i="22"/>
  <c r="I104" i="36"/>
  <c r="J699" i="22"/>
  <c r="I105" i="36"/>
  <c r="J700" i="22"/>
  <c r="I103" i="36"/>
  <c r="J698" i="22"/>
  <c r="J695" i="22"/>
  <c r="I106" i="36"/>
  <c r="J701" i="22"/>
  <c r="I114" i="36"/>
  <c r="J709" i="22"/>
  <c r="J694" i="22"/>
  <c r="I112" i="36"/>
  <c r="J707" i="22"/>
  <c r="I108" i="36"/>
  <c r="J703" i="22"/>
  <c r="I109" i="36"/>
  <c r="J704" i="22"/>
  <c r="I116" i="36"/>
  <c r="J711" i="22"/>
  <c r="I111" i="36"/>
  <c r="J706" i="22"/>
  <c r="I113" i="36"/>
  <c r="J708" i="22"/>
  <c r="I110" i="36"/>
  <c r="J705" i="22"/>
  <c r="J50" i="36"/>
  <c r="BQ263" i="6"/>
  <c r="BR196" i="6"/>
  <c r="BR264" i="6"/>
  <c r="AE262" i="6"/>
  <c r="AF195" i="6"/>
  <c r="AF275" i="6"/>
  <c r="AG208" i="6"/>
  <c r="AV262" i="6"/>
  <c r="AW195" i="6"/>
  <c r="BL262" i="6"/>
  <c r="BM195" i="6"/>
  <c r="AD270" i="6"/>
  <c r="AE203" i="6"/>
  <c r="BJ262" i="6"/>
  <c r="BK195" i="6"/>
  <c r="AD275" i="6"/>
  <c r="AE208" i="6"/>
  <c r="AF293" i="6"/>
  <c r="AG226" i="6"/>
  <c r="AT262" i="6"/>
  <c r="AU195" i="6"/>
  <c r="AG277" i="6"/>
  <c r="AH210" i="6"/>
  <c r="AD265" i="6"/>
  <c r="AE198" i="6"/>
  <c r="AE285" i="6"/>
  <c r="AF218" i="6"/>
  <c r="AE289" i="6"/>
  <c r="AF222" i="6"/>
  <c r="AD278" i="6"/>
  <c r="AE211" i="6"/>
  <c r="AF273" i="6"/>
  <c r="AG206" i="6"/>
  <c r="AN195" i="6"/>
  <c r="AM262" i="6"/>
  <c r="BH263" i="6"/>
  <c r="BI196" i="6"/>
  <c r="AE300" i="6"/>
  <c r="AF233" i="6"/>
  <c r="BC262" i="6"/>
  <c r="BD195" i="6"/>
  <c r="AK263" i="6"/>
  <c r="AL196" i="6"/>
  <c r="BD262" i="6"/>
  <c r="BE195" i="6"/>
  <c r="BA263" i="6"/>
  <c r="BB196" i="6"/>
  <c r="AD279" i="6"/>
  <c r="AE212" i="6"/>
  <c r="AF298" i="6"/>
  <c r="AG231" i="6"/>
  <c r="AD289" i="6"/>
  <c r="AE222" i="6"/>
  <c r="AD277" i="6"/>
  <c r="AE210" i="6"/>
  <c r="AF231" i="6"/>
  <c r="AE298" i="6"/>
  <c r="BA196" i="6"/>
  <c r="AZ263" i="6"/>
  <c r="AS196" i="6"/>
  <c r="AR263" i="6"/>
  <c r="AE296" i="6"/>
  <c r="AF229" i="6"/>
  <c r="AJ298" i="6"/>
  <c r="AK231" i="6"/>
  <c r="BI263" i="6"/>
  <c r="BJ196" i="6"/>
  <c r="AO195" i="6"/>
  <c r="AN262" i="6"/>
  <c r="AD282" i="6"/>
  <c r="AE215" i="6"/>
  <c r="BL195" i="6"/>
  <c r="BK262" i="6"/>
  <c r="AF266" i="6"/>
  <c r="AG199" i="6"/>
  <c r="AE291" i="6"/>
  <c r="AF224" i="6"/>
  <c r="AE295" i="6"/>
  <c r="AF228" i="6"/>
  <c r="AE299" i="6"/>
  <c r="AF232" i="6"/>
  <c r="AJ263" i="6"/>
  <c r="AK196" i="6"/>
  <c r="AE288" i="6"/>
  <c r="AF221" i="6"/>
  <c r="AE286" i="6"/>
  <c r="AF219" i="6"/>
  <c r="AF262" i="6"/>
  <c r="AG195" i="6"/>
  <c r="BB262" i="6"/>
  <c r="BC195" i="6"/>
  <c r="AS263" i="6"/>
  <c r="AT196" i="6"/>
  <c r="BQ262" i="6"/>
  <c r="BR195" i="6"/>
  <c r="BR263" i="6"/>
  <c r="AE281" i="6"/>
  <c r="AF214" i="6"/>
  <c r="BP263" i="6"/>
  <c r="BQ196" i="6"/>
  <c r="AD276" i="6"/>
  <c r="AE209" i="6"/>
  <c r="AU262" i="6"/>
  <c r="AV195" i="6"/>
  <c r="AH297" i="6"/>
  <c r="AI230" i="6"/>
  <c r="AE287" i="6"/>
  <c r="AF220" i="6"/>
  <c r="AE284" i="6"/>
  <c r="AF217" i="6"/>
  <c r="AE301" i="6"/>
  <c r="AF234" i="6"/>
  <c r="AF302" i="6"/>
  <c r="AI263" i="6"/>
  <c r="AJ196" i="6"/>
  <c r="AE195" i="6"/>
  <c r="AD262" i="6"/>
  <c r="BJ195" i="6"/>
  <c r="BI262" i="6"/>
  <c r="AL262" i="6"/>
  <c r="AM195" i="6"/>
  <c r="BB195" i="6"/>
  <c r="BA262" i="6"/>
  <c r="AH263" i="6"/>
  <c r="AI196" i="6"/>
  <c r="AE282" i="6"/>
  <c r="AF215" i="6"/>
  <c r="AT195" i="6"/>
  <c r="AS262" i="6"/>
  <c r="BN263" i="6"/>
  <c r="BO196" i="6"/>
  <c r="AY263" i="6"/>
  <c r="AZ196" i="6"/>
  <c r="BG263" i="6"/>
  <c r="BH196" i="6"/>
  <c r="BO263" i="6"/>
  <c r="BP196" i="6"/>
  <c r="AQ263" i="6"/>
  <c r="AR196" i="6"/>
  <c r="AF271" i="6"/>
  <c r="AG204" i="6"/>
  <c r="AG271" i="6"/>
  <c r="AH204" i="6"/>
  <c r="AD272" i="6"/>
  <c r="AE205" i="6"/>
  <c r="AE267" i="6"/>
  <c r="AF200" i="6"/>
  <c r="AQ196" i="6"/>
  <c r="AP263" i="6"/>
  <c r="AY196" i="6"/>
  <c r="AX263" i="6"/>
  <c r="BG196" i="6"/>
  <c r="BF263" i="6"/>
  <c r="AE200" i="6"/>
  <c r="AD267" i="6"/>
  <c r="AF197" i="6"/>
  <c r="AE264" i="6"/>
  <c r="AN197" i="6"/>
  <c r="AM264" i="6"/>
  <c r="J48" i="36"/>
  <c r="K50" i="36"/>
  <c r="AJ264" i="6"/>
  <c r="AK197" i="6"/>
  <c r="AI298" i="6"/>
  <c r="AJ231" i="6"/>
  <c r="AF282" i="6"/>
  <c r="AG215" i="6"/>
  <c r="AG263" i="6"/>
  <c r="AH196" i="6"/>
  <c r="AF300" i="6"/>
  <c r="AG233" i="6"/>
  <c r="AK299" i="6"/>
  <c r="AL232" i="6"/>
  <c r="AE280" i="6"/>
  <c r="AF213" i="6"/>
  <c r="BI264" i="6"/>
  <c r="BJ197" i="6"/>
  <c r="AF290" i="6"/>
  <c r="AG223" i="6"/>
  <c r="AV196" i="6"/>
  <c r="AU263" i="6"/>
  <c r="AE271" i="6"/>
  <c r="AF204" i="6"/>
  <c r="AX196" i="6"/>
  <c r="AW263" i="6"/>
  <c r="BK196" i="6"/>
  <c r="BJ263" i="6"/>
  <c r="AF299" i="6"/>
  <c r="AG232" i="6"/>
  <c r="AJ197" i="6"/>
  <c r="AI264" i="6"/>
  <c r="AM263" i="6"/>
  <c r="AN196" i="6"/>
  <c r="AF288" i="6"/>
  <c r="AG221" i="6"/>
  <c r="AW196" i="6"/>
  <c r="AV263" i="6"/>
  <c r="BQ264" i="6"/>
  <c r="BR197" i="6"/>
  <c r="BR265" i="6"/>
  <c r="BC263" i="6"/>
  <c r="BD196" i="6"/>
  <c r="AG220" i="6"/>
  <c r="AF287" i="6"/>
  <c r="AL197" i="6"/>
  <c r="AK264" i="6"/>
  <c r="AF296" i="6"/>
  <c r="AG229" i="6"/>
  <c r="AG267" i="6"/>
  <c r="AH200" i="6"/>
  <c r="AE283" i="6"/>
  <c r="AF216" i="6"/>
  <c r="BJ264" i="6"/>
  <c r="BK197" i="6"/>
  <c r="AF297" i="6"/>
  <c r="AG230" i="6"/>
  <c r="AF211" i="6"/>
  <c r="AE278" i="6"/>
  <c r="AG299" i="6"/>
  <c r="AH232" i="6"/>
  <c r="BB264" i="6"/>
  <c r="BC197" i="6"/>
  <c r="AL264" i="6"/>
  <c r="AM197" i="6"/>
  <c r="AF301" i="6"/>
  <c r="AG234" i="6"/>
  <c r="AG302" i="6"/>
  <c r="AE279" i="6"/>
  <c r="AF212" i="6"/>
  <c r="AF286" i="6"/>
  <c r="AG219" i="6"/>
  <c r="AH278" i="6"/>
  <c r="AI211" i="6"/>
  <c r="AG294" i="6"/>
  <c r="AH227" i="6"/>
  <c r="BK263" i="6"/>
  <c r="BL196" i="6"/>
  <c r="BM263" i="6"/>
  <c r="BN196" i="6"/>
  <c r="AH209" i="6"/>
  <c r="AG276" i="6"/>
  <c r="AF283" i="6"/>
  <c r="AG216" i="6"/>
  <c r="AF285" i="6"/>
  <c r="AG218" i="6"/>
  <c r="AE277" i="6"/>
  <c r="AF210" i="6"/>
  <c r="AT264" i="6"/>
  <c r="AU197" i="6"/>
  <c r="AF289" i="6"/>
  <c r="AG222" i="6"/>
  <c r="AF292" i="6"/>
  <c r="AG225" i="6"/>
  <c r="AF223" i="6"/>
  <c r="AE290" i="6"/>
  <c r="BF196" i="6"/>
  <c r="BE263" i="6"/>
  <c r="BD263" i="6"/>
  <c r="BE196" i="6"/>
  <c r="AG274" i="6"/>
  <c r="AH207" i="6"/>
  <c r="AF199" i="6"/>
  <c r="AE266" i="6"/>
  <c r="AE276" i="6"/>
  <c r="AF209" i="6"/>
  <c r="AF263" i="6"/>
  <c r="AG196" i="6"/>
  <c r="BC196" i="6"/>
  <c r="BB263" i="6"/>
  <c r="BL263" i="6"/>
  <c r="BM196" i="6"/>
  <c r="AO263" i="6"/>
  <c r="AP196" i="6"/>
  <c r="AT197" i="6"/>
  <c r="AS264" i="6"/>
  <c r="AU196" i="6"/>
  <c r="AT263" i="6"/>
  <c r="AE263" i="6"/>
  <c r="AF196" i="6"/>
  <c r="BA264" i="6"/>
  <c r="BB197" i="6"/>
  <c r="AN263" i="6"/>
  <c r="AO196" i="6"/>
  <c r="AO198" i="6"/>
  <c r="AN265" i="6"/>
  <c r="AG198" i="6"/>
  <c r="AF265" i="6"/>
  <c r="AF201" i="6"/>
  <c r="AE268" i="6"/>
  <c r="BH197" i="6"/>
  <c r="BG264" i="6"/>
  <c r="AZ197" i="6"/>
  <c r="AY264" i="6"/>
  <c r="AR197" i="6"/>
  <c r="AQ264" i="6"/>
  <c r="AF268" i="6"/>
  <c r="AG201" i="6"/>
  <c r="AE273" i="6"/>
  <c r="AF206" i="6"/>
  <c r="AH272" i="6"/>
  <c r="AI205" i="6"/>
  <c r="AG272" i="6"/>
  <c r="AH205" i="6"/>
  <c r="AR264" i="6"/>
  <c r="AS197" i="6"/>
  <c r="BP264" i="6"/>
  <c r="BQ197" i="6"/>
  <c r="BH264" i="6"/>
  <c r="BI197" i="6"/>
  <c r="AZ264" i="6"/>
  <c r="BA197" i="6"/>
  <c r="BO264" i="6"/>
  <c r="BP197" i="6"/>
  <c r="K48" i="36"/>
  <c r="J114" i="36"/>
  <c r="K709" i="22"/>
  <c r="J117" i="36"/>
  <c r="K712" i="22"/>
  <c r="J112" i="36"/>
  <c r="K707" i="22"/>
  <c r="J109" i="36"/>
  <c r="K704" i="22"/>
  <c r="J115" i="36"/>
  <c r="K710" i="22"/>
  <c r="K695" i="22"/>
  <c r="J116" i="36"/>
  <c r="K711" i="22"/>
  <c r="J113" i="36"/>
  <c r="K708" i="22"/>
  <c r="K697" i="22"/>
  <c r="J103" i="36"/>
  <c r="K698" i="22"/>
  <c r="J104" i="36"/>
  <c r="K699" i="22"/>
  <c r="K694" i="22"/>
  <c r="J106" i="36"/>
  <c r="K701" i="22"/>
  <c r="J111" i="36"/>
  <c r="K706" i="22"/>
  <c r="J108" i="36"/>
  <c r="K703" i="22"/>
  <c r="J107" i="36"/>
  <c r="K702" i="22"/>
  <c r="J101" i="36"/>
  <c r="K696" i="22"/>
  <c r="J110" i="36"/>
  <c r="K705" i="22"/>
  <c r="J105" i="36"/>
  <c r="K700" i="22"/>
  <c r="AH275" i="6"/>
  <c r="AI208" i="6"/>
  <c r="AG293" i="6"/>
  <c r="AH226" i="6"/>
  <c r="AG286" i="6"/>
  <c r="AH219" i="6"/>
  <c r="BL264" i="6"/>
  <c r="BM197" i="6"/>
  <c r="AI279" i="6"/>
  <c r="AJ212" i="6"/>
  <c r="AF280" i="6"/>
  <c r="AG213" i="6"/>
  <c r="AH300" i="6"/>
  <c r="AI233" i="6"/>
  <c r="AG298" i="6"/>
  <c r="AH231" i="6"/>
  <c r="AF284" i="6"/>
  <c r="AG217" i="6"/>
  <c r="AG297" i="6"/>
  <c r="AH230" i="6"/>
  <c r="AG289" i="6"/>
  <c r="AH222" i="6"/>
  <c r="AF272" i="6"/>
  <c r="AG205" i="6"/>
  <c r="AG291" i="6"/>
  <c r="AH224" i="6"/>
  <c r="AF281" i="6"/>
  <c r="AG214" i="6"/>
  <c r="AG301" i="6"/>
  <c r="AH234" i="6"/>
  <c r="AH302" i="6"/>
  <c r="AG283" i="6"/>
  <c r="AH216" i="6"/>
  <c r="AK265" i="6"/>
  <c r="AL198" i="6"/>
  <c r="AO264" i="6"/>
  <c r="AP197" i="6"/>
  <c r="AG197" i="6"/>
  <c r="AF264" i="6"/>
  <c r="BM264" i="6"/>
  <c r="BN197" i="6"/>
  <c r="AG264" i="6"/>
  <c r="AH197" i="6"/>
  <c r="BE264" i="6"/>
  <c r="BF197" i="6"/>
  <c r="AG290" i="6"/>
  <c r="AH223" i="6"/>
  <c r="AF278" i="6"/>
  <c r="AG211" i="6"/>
  <c r="AG284" i="6"/>
  <c r="AH217" i="6"/>
  <c r="BN264" i="6"/>
  <c r="BO197" i="6"/>
  <c r="AH295" i="6"/>
  <c r="AI228" i="6"/>
  <c r="AG287" i="6"/>
  <c r="AH220" i="6"/>
  <c r="BC265" i="6"/>
  <c r="BD198" i="6"/>
  <c r="BK265" i="6"/>
  <c r="BL198" i="6"/>
  <c r="AH268" i="6"/>
  <c r="AI201" i="6"/>
  <c r="BD264" i="6"/>
  <c r="BE197" i="6"/>
  <c r="AN264" i="6"/>
  <c r="AO197" i="6"/>
  <c r="AG300" i="6"/>
  <c r="AH233" i="6"/>
  <c r="BJ265" i="6"/>
  <c r="BK198" i="6"/>
  <c r="AL300" i="6"/>
  <c r="AM233" i="6"/>
  <c r="AI197" i="6"/>
  <c r="AH264" i="6"/>
  <c r="AK232" i="6"/>
  <c r="AJ299" i="6"/>
  <c r="AT265" i="6"/>
  <c r="AU198" i="6"/>
  <c r="AG200" i="6"/>
  <c r="AF267" i="6"/>
  <c r="AG224" i="6"/>
  <c r="AF291" i="6"/>
  <c r="AG212" i="6"/>
  <c r="AF279" i="6"/>
  <c r="AM198" i="6"/>
  <c r="AL265" i="6"/>
  <c r="AW264" i="6"/>
  <c r="AX197" i="6"/>
  <c r="AX264" i="6"/>
  <c r="AY197" i="6"/>
  <c r="AW197" i="6"/>
  <c r="AV264" i="6"/>
  <c r="BB265" i="6"/>
  <c r="BC198" i="6"/>
  <c r="AP264" i="6"/>
  <c r="AQ197" i="6"/>
  <c r="AF277" i="6"/>
  <c r="AG210" i="6"/>
  <c r="AU265" i="6"/>
  <c r="AV198" i="6"/>
  <c r="AM265" i="6"/>
  <c r="AN198" i="6"/>
  <c r="AV197" i="6"/>
  <c r="AU264" i="6"/>
  <c r="BD197" i="6"/>
  <c r="BC264" i="6"/>
  <c r="BF264" i="6"/>
  <c r="BG197" i="6"/>
  <c r="AH277" i="6"/>
  <c r="AI210" i="6"/>
  <c r="AH221" i="6"/>
  <c r="AG288" i="6"/>
  <c r="AK198" i="6"/>
  <c r="AJ265" i="6"/>
  <c r="BL197" i="6"/>
  <c r="BK264" i="6"/>
  <c r="BP265" i="6"/>
  <c r="BQ198" i="6"/>
  <c r="BA265" i="6"/>
  <c r="BB198" i="6"/>
  <c r="BI265" i="6"/>
  <c r="BJ198" i="6"/>
  <c r="BQ265" i="6"/>
  <c r="BR198" i="6"/>
  <c r="BR266" i="6"/>
  <c r="AS265" i="6"/>
  <c r="AT198" i="6"/>
  <c r="AH273" i="6"/>
  <c r="AI206" i="6"/>
  <c r="AI273" i="6"/>
  <c r="AJ206" i="6"/>
  <c r="AF274" i="6"/>
  <c r="AG207" i="6"/>
  <c r="AG269" i="6"/>
  <c r="AH202" i="6"/>
  <c r="AS198" i="6"/>
  <c r="AR265" i="6"/>
  <c r="BA198" i="6"/>
  <c r="AZ265" i="6"/>
  <c r="BI198" i="6"/>
  <c r="BH265" i="6"/>
  <c r="AG202" i="6"/>
  <c r="AF269" i="6"/>
  <c r="AH199" i="6"/>
  <c r="AG266" i="6"/>
  <c r="AP199" i="6"/>
  <c r="AO266" i="6"/>
  <c r="K105" i="36"/>
  <c r="L700" i="22"/>
  <c r="K109" i="36"/>
  <c r="L704" i="22"/>
  <c r="L697" i="22"/>
  <c r="K108" i="36"/>
  <c r="L703" i="22"/>
  <c r="K111" i="36"/>
  <c r="L706" i="22"/>
  <c r="K115" i="36"/>
  <c r="L710" i="22"/>
  <c r="K113" i="36"/>
  <c r="L708" i="22"/>
  <c r="K106" i="36"/>
  <c r="L701" i="22"/>
  <c r="K116" i="36"/>
  <c r="L711" i="22"/>
  <c r="L694" i="22"/>
  <c r="L695" i="22"/>
  <c r="K101" i="36"/>
  <c r="L696" i="22"/>
  <c r="K104" i="36"/>
  <c r="L699" i="22"/>
  <c r="K117" i="36"/>
  <c r="L712" i="22"/>
  <c r="K110" i="36"/>
  <c r="L705" i="22"/>
  <c r="K103" i="36"/>
  <c r="L698" i="22"/>
  <c r="K114" i="36"/>
  <c r="L709" i="22"/>
  <c r="K112" i="36"/>
  <c r="L707" i="22"/>
  <c r="K107" i="36"/>
  <c r="L702" i="22"/>
  <c r="BG265" i="6"/>
  <c r="BH198" i="6"/>
  <c r="AV266" i="6"/>
  <c r="AW199" i="6"/>
  <c r="AQ265" i="6"/>
  <c r="AR198" i="6"/>
  <c r="AX265" i="6"/>
  <c r="AY198" i="6"/>
  <c r="AM301" i="6"/>
  <c r="AN234" i="6"/>
  <c r="AN302" i="6"/>
  <c r="AI234" i="6"/>
  <c r="AI302" i="6"/>
  <c r="AH301" i="6"/>
  <c r="BE265" i="6"/>
  <c r="BF198" i="6"/>
  <c r="BL266" i="6"/>
  <c r="BM199" i="6"/>
  <c r="AH288" i="6"/>
  <c r="AI221" i="6"/>
  <c r="BO265" i="6"/>
  <c r="BP198" i="6"/>
  <c r="AG279" i="6"/>
  <c r="AH212" i="6"/>
  <c r="BF265" i="6"/>
  <c r="BG198" i="6"/>
  <c r="BN265" i="6"/>
  <c r="BO198" i="6"/>
  <c r="AP265" i="6"/>
  <c r="AQ198" i="6"/>
  <c r="AH284" i="6"/>
  <c r="AI217" i="6"/>
  <c r="AG282" i="6"/>
  <c r="AH215" i="6"/>
  <c r="AG273" i="6"/>
  <c r="AH206" i="6"/>
  <c r="AH298" i="6"/>
  <c r="AI231" i="6"/>
  <c r="AH299" i="6"/>
  <c r="AI232" i="6"/>
  <c r="AG281" i="6"/>
  <c r="AH214" i="6"/>
  <c r="BM265" i="6"/>
  <c r="BN198" i="6"/>
  <c r="AH294" i="6"/>
  <c r="AI227" i="6"/>
  <c r="BM198" i="6"/>
  <c r="BL265" i="6"/>
  <c r="AI222" i="6"/>
  <c r="AH289" i="6"/>
  <c r="AW198" i="6"/>
  <c r="AV265" i="6"/>
  <c r="AW265" i="6"/>
  <c r="AX198" i="6"/>
  <c r="AG280" i="6"/>
  <c r="AH213" i="6"/>
  <c r="AG268" i="6"/>
  <c r="AH201" i="6"/>
  <c r="AK300" i="6"/>
  <c r="AL233" i="6"/>
  <c r="AI278" i="6"/>
  <c r="AJ211" i="6"/>
  <c r="AN266" i="6"/>
  <c r="AO199" i="6"/>
  <c r="AG278" i="6"/>
  <c r="AH211" i="6"/>
  <c r="BC266" i="6"/>
  <c r="BD199" i="6"/>
  <c r="AY265" i="6"/>
  <c r="AZ198" i="6"/>
  <c r="AU266" i="6"/>
  <c r="AV199" i="6"/>
  <c r="BL199" i="6"/>
  <c r="BK266" i="6"/>
  <c r="AO265" i="6"/>
  <c r="AP198" i="6"/>
  <c r="AI269" i="6"/>
  <c r="AJ202" i="6"/>
  <c r="BD266" i="6"/>
  <c r="BE199" i="6"/>
  <c r="AI296" i="6"/>
  <c r="AJ229" i="6"/>
  <c r="AH285" i="6"/>
  <c r="AI218" i="6"/>
  <c r="AH291" i="6"/>
  <c r="AI224" i="6"/>
  <c r="AH265" i="6"/>
  <c r="AI198" i="6"/>
  <c r="AL266" i="6"/>
  <c r="AM199" i="6"/>
  <c r="AH292" i="6"/>
  <c r="AI225" i="6"/>
  <c r="AH290" i="6"/>
  <c r="AI223" i="6"/>
  <c r="AG285" i="6"/>
  <c r="AH218" i="6"/>
  <c r="AI301" i="6"/>
  <c r="AJ234" i="6"/>
  <c r="AJ302" i="6"/>
  <c r="AJ280" i="6"/>
  <c r="AK213" i="6"/>
  <c r="AH287" i="6"/>
  <c r="AI220" i="6"/>
  <c r="AI276" i="6"/>
  <c r="AJ209" i="6"/>
  <c r="AL199" i="6"/>
  <c r="AK266" i="6"/>
  <c r="BE198" i="6"/>
  <c r="BD265" i="6"/>
  <c r="AN199" i="6"/>
  <c r="AM266" i="6"/>
  <c r="AH225" i="6"/>
  <c r="AG292" i="6"/>
  <c r="AI265" i="6"/>
  <c r="AJ198" i="6"/>
  <c r="AG265" i="6"/>
  <c r="AH198" i="6"/>
  <c r="AQ200" i="6"/>
  <c r="AP267" i="6"/>
  <c r="AI200" i="6"/>
  <c r="AH267" i="6"/>
  <c r="AG270" i="6"/>
  <c r="AH203" i="6"/>
  <c r="BJ199" i="6"/>
  <c r="BI266" i="6"/>
  <c r="BB199" i="6"/>
  <c r="BA266" i="6"/>
  <c r="AT199" i="6"/>
  <c r="AS266" i="6"/>
  <c r="AH270" i="6"/>
  <c r="AI203" i="6"/>
  <c r="AG275" i="6"/>
  <c r="AH208" i="6"/>
  <c r="AJ274" i="6"/>
  <c r="AK207" i="6"/>
  <c r="AI274" i="6"/>
  <c r="AJ207" i="6"/>
  <c r="AT266" i="6"/>
  <c r="AU199" i="6"/>
  <c r="BJ266" i="6"/>
  <c r="BK199" i="6"/>
  <c r="BB266" i="6"/>
  <c r="BC199" i="6"/>
  <c r="BQ266" i="6"/>
  <c r="BR199" i="6"/>
  <c r="BR267" i="6"/>
  <c r="AK199" i="6"/>
  <c r="AJ266" i="6"/>
  <c r="AI288" i="6"/>
  <c r="AJ221" i="6"/>
  <c r="AI291" i="6"/>
  <c r="AJ224" i="6"/>
  <c r="AM267" i="6"/>
  <c r="AN200" i="6"/>
  <c r="AI292" i="6"/>
  <c r="AJ225" i="6"/>
  <c r="AJ297" i="6"/>
  <c r="AK230" i="6"/>
  <c r="AJ270" i="6"/>
  <c r="AK203" i="6"/>
  <c r="AZ266" i="6"/>
  <c r="BA199" i="6"/>
  <c r="AH279" i="6"/>
  <c r="AI212" i="6"/>
  <c r="AK212" i="6"/>
  <c r="AJ279" i="6"/>
  <c r="AH269" i="6"/>
  <c r="AI202" i="6"/>
  <c r="AX266" i="6"/>
  <c r="AY199" i="6"/>
  <c r="AI295" i="6"/>
  <c r="AJ228" i="6"/>
  <c r="AH282" i="6"/>
  <c r="AI215" i="6"/>
  <c r="AI299" i="6"/>
  <c r="AJ232" i="6"/>
  <c r="AH283" i="6"/>
  <c r="AI216" i="6"/>
  <c r="AQ266" i="6"/>
  <c r="AR199" i="6"/>
  <c r="BH199" i="6"/>
  <c r="BG266" i="6"/>
  <c r="BP266" i="6"/>
  <c r="BQ199" i="6"/>
  <c r="BM267" i="6"/>
  <c r="BN200" i="6"/>
  <c r="AY266" i="6"/>
  <c r="AZ199" i="6"/>
  <c r="AW267" i="6"/>
  <c r="AX200" i="6"/>
  <c r="AN267" i="6"/>
  <c r="AO200" i="6"/>
  <c r="AM200" i="6"/>
  <c r="AL267" i="6"/>
  <c r="BM200" i="6"/>
  <c r="BL267" i="6"/>
  <c r="AI290" i="6"/>
  <c r="AJ223" i="6"/>
  <c r="AH266" i="6"/>
  <c r="AI199" i="6"/>
  <c r="AJ277" i="6"/>
  <c r="AK210" i="6"/>
  <c r="AK281" i="6"/>
  <c r="AL214" i="6"/>
  <c r="AH286" i="6"/>
  <c r="AI219" i="6"/>
  <c r="AI293" i="6"/>
  <c r="AJ226" i="6"/>
  <c r="AI266" i="6"/>
  <c r="AJ199" i="6"/>
  <c r="AJ219" i="6"/>
  <c r="AI286" i="6"/>
  <c r="BE267" i="6"/>
  <c r="BF200" i="6"/>
  <c r="AP266" i="6"/>
  <c r="AQ199" i="6"/>
  <c r="AV267" i="6"/>
  <c r="AW200" i="6"/>
  <c r="BE200" i="6"/>
  <c r="BD267" i="6"/>
  <c r="AO267" i="6"/>
  <c r="AP200" i="6"/>
  <c r="AL301" i="6"/>
  <c r="AM234" i="6"/>
  <c r="AM302" i="6"/>
  <c r="AI214" i="6"/>
  <c r="AH281" i="6"/>
  <c r="BN266" i="6"/>
  <c r="BO199" i="6"/>
  <c r="AI300" i="6"/>
  <c r="AJ233" i="6"/>
  <c r="AH274" i="6"/>
  <c r="AI207" i="6"/>
  <c r="AI285" i="6"/>
  <c r="AJ218" i="6"/>
  <c r="BO266" i="6"/>
  <c r="BP199" i="6"/>
  <c r="AH280" i="6"/>
  <c r="AI213" i="6"/>
  <c r="AI289" i="6"/>
  <c r="AJ222" i="6"/>
  <c r="BF266" i="6"/>
  <c r="BG199" i="6"/>
  <c r="AR266" i="6"/>
  <c r="AS199" i="6"/>
  <c r="BH266" i="6"/>
  <c r="BI199" i="6"/>
  <c r="AI226" i="6"/>
  <c r="AH293" i="6"/>
  <c r="BF199" i="6"/>
  <c r="BE266" i="6"/>
  <c r="AX199" i="6"/>
  <c r="AW266" i="6"/>
  <c r="BM266" i="6"/>
  <c r="BN199" i="6"/>
  <c r="BC267" i="6"/>
  <c r="BD200" i="6"/>
  <c r="BK267" i="6"/>
  <c r="BL200" i="6"/>
  <c r="AU267" i="6"/>
  <c r="AV200" i="6"/>
  <c r="AJ275" i="6"/>
  <c r="AK208" i="6"/>
  <c r="AK275" i="6"/>
  <c r="AL208" i="6"/>
  <c r="AH276" i="6"/>
  <c r="AI209" i="6"/>
  <c r="AI271" i="6"/>
  <c r="AJ204" i="6"/>
  <c r="AH271" i="6"/>
  <c r="AI204" i="6"/>
  <c r="AU200" i="6"/>
  <c r="AT267" i="6"/>
  <c r="BC200" i="6"/>
  <c r="BB267" i="6"/>
  <c r="BK200" i="6"/>
  <c r="BJ267" i="6"/>
  <c r="AJ201" i="6"/>
  <c r="AI268" i="6"/>
  <c r="AR201" i="6"/>
  <c r="AQ268" i="6"/>
  <c r="BN267" i="6"/>
  <c r="BO200" i="6"/>
  <c r="BI267" i="6"/>
  <c r="BJ200" i="6"/>
  <c r="BG267" i="6"/>
  <c r="BH200" i="6"/>
  <c r="AI281" i="6"/>
  <c r="AJ214" i="6"/>
  <c r="AJ286" i="6"/>
  <c r="AK219" i="6"/>
  <c r="AJ301" i="6"/>
  <c r="AK234" i="6"/>
  <c r="AK302" i="6"/>
  <c r="AP268" i="6"/>
  <c r="AQ201" i="6"/>
  <c r="AX201" i="6"/>
  <c r="AW268" i="6"/>
  <c r="BF268" i="6"/>
  <c r="BG201" i="6"/>
  <c r="AJ267" i="6"/>
  <c r="AK200" i="6"/>
  <c r="AI287" i="6"/>
  <c r="AJ220" i="6"/>
  <c r="AK278" i="6"/>
  <c r="AL211" i="6"/>
  <c r="AJ291" i="6"/>
  <c r="AK224" i="6"/>
  <c r="AX268" i="6"/>
  <c r="AY201" i="6"/>
  <c r="BN268" i="6"/>
  <c r="BO201" i="6"/>
  <c r="AI284" i="6"/>
  <c r="AJ217" i="6"/>
  <c r="AI283" i="6"/>
  <c r="AJ216" i="6"/>
  <c r="AY267" i="6"/>
  <c r="AZ200" i="6"/>
  <c r="BA267" i="6"/>
  <c r="BB200" i="6"/>
  <c r="AK298" i="6"/>
  <c r="AL231" i="6"/>
  <c r="AN268" i="6"/>
  <c r="AO201" i="6"/>
  <c r="AJ289" i="6"/>
  <c r="AK222" i="6"/>
  <c r="BG200" i="6"/>
  <c r="BF267" i="6"/>
  <c r="AJ215" i="6"/>
  <c r="AI282" i="6"/>
  <c r="AN201" i="6"/>
  <c r="AM268" i="6"/>
  <c r="BH267" i="6"/>
  <c r="BI200" i="6"/>
  <c r="AL213" i="6"/>
  <c r="AK280" i="6"/>
  <c r="AT200" i="6"/>
  <c r="AS267" i="6"/>
  <c r="AJ290" i="6"/>
  <c r="AK223" i="6"/>
  <c r="BP267" i="6"/>
  <c r="BQ200" i="6"/>
  <c r="AI275" i="6"/>
  <c r="AJ208" i="6"/>
  <c r="BO267" i="6"/>
  <c r="BP200" i="6"/>
  <c r="AQ267" i="6"/>
  <c r="AR200" i="6"/>
  <c r="AJ294" i="6"/>
  <c r="AK227" i="6"/>
  <c r="AL282" i="6"/>
  <c r="AM215" i="6"/>
  <c r="AI267" i="6"/>
  <c r="AJ200" i="6"/>
  <c r="AO268" i="6"/>
  <c r="AP201" i="6"/>
  <c r="AZ267" i="6"/>
  <c r="BA200" i="6"/>
  <c r="BQ267" i="6"/>
  <c r="BR200" i="6"/>
  <c r="BR268" i="6"/>
  <c r="AR267" i="6"/>
  <c r="AS200" i="6"/>
  <c r="AJ300" i="6"/>
  <c r="AK233" i="6"/>
  <c r="AJ296" i="6"/>
  <c r="AK229" i="6"/>
  <c r="AI270" i="6"/>
  <c r="AJ203" i="6"/>
  <c r="AI280" i="6"/>
  <c r="AJ213" i="6"/>
  <c r="AK271" i="6"/>
  <c r="AL204" i="6"/>
  <c r="AJ293" i="6"/>
  <c r="AK226" i="6"/>
  <c r="AJ292" i="6"/>
  <c r="AK225" i="6"/>
  <c r="AY200" i="6"/>
  <c r="AX267" i="6"/>
  <c r="AI294" i="6"/>
  <c r="AJ227" i="6"/>
  <c r="BF201" i="6"/>
  <c r="BE268" i="6"/>
  <c r="AJ287" i="6"/>
  <c r="AK220" i="6"/>
  <c r="BM268" i="6"/>
  <c r="BN201" i="6"/>
  <c r="AK267" i="6"/>
  <c r="AL200" i="6"/>
  <c r="AJ205" i="6"/>
  <c r="AI272" i="6"/>
  <c r="AJ272" i="6"/>
  <c r="AK205" i="6"/>
  <c r="AI277" i="6"/>
  <c r="AJ210" i="6"/>
  <c r="AL276" i="6"/>
  <c r="AM209" i="6"/>
  <c r="AK276" i="6"/>
  <c r="AL209" i="6"/>
  <c r="AV268" i="6"/>
  <c r="AW201" i="6"/>
  <c r="BL268" i="6"/>
  <c r="BM201" i="6"/>
  <c r="BD268" i="6"/>
  <c r="BE201" i="6"/>
  <c r="AS202" i="6"/>
  <c r="AR269" i="6"/>
  <c r="AK202" i="6"/>
  <c r="AJ269" i="6"/>
  <c r="BL201" i="6"/>
  <c r="BK268" i="6"/>
  <c r="BD201" i="6"/>
  <c r="BC268" i="6"/>
  <c r="AV201" i="6"/>
  <c r="AU268" i="6"/>
  <c r="AK297" i="6"/>
  <c r="AL230" i="6"/>
  <c r="AJ268" i="6"/>
  <c r="AK201" i="6"/>
  <c r="BQ268" i="6"/>
  <c r="BR201" i="6"/>
  <c r="BR269" i="6"/>
  <c r="AY269" i="6"/>
  <c r="AZ202" i="6"/>
  <c r="BJ268" i="6"/>
  <c r="BK201" i="6"/>
  <c r="BF269" i="6"/>
  <c r="BG202" i="6"/>
  <c r="AZ201" i="6"/>
  <c r="AY268" i="6"/>
  <c r="AT268" i="6"/>
  <c r="AU201" i="6"/>
  <c r="AK216" i="6"/>
  <c r="AJ283" i="6"/>
  <c r="AY202" i="6"/>
  <c r="AX269" i="6"/>
  <c r="AK294" i="6"/>
  <c r="AL227" i="6"/>
  <c r="BA268" i="6"/>
  <c r="BB201" i="6"/>
  <c r="BP268" i="6"/>
  <c r="BQ201" i="6"/>
  <c r="AK290" i="6"/>
  <c r="AL223" i="6"/>
  <c r="AZ268" i="6"/>
  <c r="BA201" i="6"/>
  <c r="AL279" i="6"/>
  <c r="AM212" i="6"/>
  <c r="AL268" i="6"/>
  <c r="AM201" i="6"/>
  <c r="AK288" i="6"/>
  <c r="AL221" i="6"/>
  <c r="AK228" i="6"/>
  <c r="AJ295" i="6"/>
  <c r="AK293" i="6"/>
  <c r="AL226" i="6"/>
  <c r="AL272" i="6"/>
  <c r="AM205" i="6"/>
  <c r="AK204" i="6"/>
  <c r="AJ271" i="6"/>
  <c r="AK301" i="6"/>
  <c r="AL234" i="6"/>
  <c r="AL302" i="6"/>
  <c r="AQ202" i="6"/>
  <c r="AP269" i="6"/>
  <c r="AM283" i="6"/>
  <c r="AN216" i="6"/>
  <c r="AR268" i="6"/>
  <c r="AS201" i="6"/>
  <c r="AJ276" i="6"/>
  <c r="AK209" i="6"/>
  <c r="AK291" i="6"/>
  <c r="AL224" i="6"/>
  <c r="AO269" i="6"/>
  <c r="AP202" i="6"/>
  <c r="BB268" i="6"/>
  <c r="BC201" i="6"/>
  <c r="AJ284" i="6"/>
  <c r="AK217" i="6"/>
  <c r="BP202" i="6"/>
  <c r="BO269" i="6"/>
  <c r="AK292" i="6"/>
  <c r="AL225" i="6"/>
  <c r="AJ288" i="6"/>
  <c r="AK221" i="6"/>
  <c r="BG269" i="6"/>
  <c r="BH202" i="6"/>
  <c r="AQ269" i="6"/>
  <c r="AR202" i="6"/>
  <c r="AK287" i="6"/>
  <c r="AL220" i="6"/>
  <c r="BH268" i="6"/>
  <c r="BI201" i="6"/>
  <c r="BO268" i="6"/>
  <c r="BP201" i="6"/>
  <c r="BN269" i="6"/>
  <c r="BO202" i="6"/>
  <c r="AJ281" i="6"/>
  <c r="AK214" i="6"/>
  <c r="AS268" i="6"/>
  <c r="AT201" i="6"/>
  <c r="AK295" i="6"/>
  <c r="AL228" i="6"/>
  <c r="BI268" i="6"/>
  <c r="BJ201" i="6"/>
  <c r="AL299" i="6"/>
  <c r="AM232" i="6"/>
  <c r="AJ285" i="6"/>
  <c r="AK218" i="6"/>
  <c r="AK268" i="6"/>
  <c r="AL201" i="6"/>
  <c r="AJ282" i="6"/>
  <c r="AK215" i="6"/>
  <c r="AL281" i="6"/>
  <c r="AM214" i="6"/>
  <c r="AO202" i="6"/>
  <c r="AN269" i="6"/>
  <c r="BH201" i="6"/>
  <c r="BG268" i="6"/>
  <c r="BE269" i="6"/>
  <c r="BF202" i="6"/>
  <c r="BM269" i="6"/>
  <c r="BN202" i="6"/>
  <c r="AW269" i="6"/>
  <c r="AX202" i="6"/>
  <c r="AL277" i="6"/>
  <c r="AM210" i="6"/>
  <c r="AM277" i="6"/>
  <c r="AN210" i="6"/>
  <c r="AJ278" i="6"/>
  <c r="AK211" i="6"/>
  <c r="AK273" i="6"/>
  <c r="AL206" i="6"/>
  <c r="AW202" i="6"/>
  <c r="AV269" i="6"/>
  <c r="BD269" i="6"/>
  <c r="BE202" i="6"/>
  <c r="BL269" i="6"/>
  <c r="BM202" i="6"/>
  <c r="AK270" i="6"/>
  <c r="AL203" i="6"/>
  <c r="AS270" i="6"/>
  <c r="AT203" i="6"/>
  <c r="AK206" i="6"/>
  <c r="AJ273" i="6"/>
  <c r="AK272" i="6"/>
  <c r="AL205" i="6"/>
  <c r="AK283" i="6"/>
  <c r="AL216" i="6"/>
  <c r="AK286" i="6"/>
  <c r="AL219" i="6"/>
  <c r="BJ269" i="6"/>
  <c r="BK202" i="6"/>
  <c r="AT269" i="6"/>
  <c r="AU202" i="6"/>
  <c r="BO270" i="6"/>
  <c r="BP203" i="6"/>
  <c r="BI269" i="6"/>
  <c r="BJ202" i="6"/>
  <c r="AR270" i="6"/>
  <c r="AS203" i="6"/>
  <c r="AK289" i="6"/>
  <c r="AL222" i="6"/>
  <c r="BC269" i="6"/>
  <c r="BD202" i="6"/>
  <c r="AL292" i="6"/>
  <c r="AM225" i="6"/>
  <c r="AS269" i="6"/>
  <c r="AT202" i="6"/>
  <c r="AL294" i="6"/>
  <c r="AM227" i="6"/>
  <c r="AM222" i="6"/>
  <c r="AL289" i="6"/>
  <c r="AM280" i="6"/>
  <c r="AN213" i="6"/>
  <c r="AL291" i="6"/>
  <c r="AM224" i="6"/>
  <c r="BC202" i="6"/>
  <c r="BB269" i="6"/>
  <c r="AU269" i="6"/>
  <c r="AV202" i="6"/>
  <c r="BG270" i="6"/>
  <c r="BH203" i="6"/>
  <c r="AZ270" i="6"/>
  <c r="BA203" i="6"/>
  <c r="AK269" i="6"/>
  <c r="AL202" i="6"/>
  <c r="AP203" i="6"/>
  <c r="AO270" i="6"/>
  <c r="AR203" i="6"/>
  <c r="AQ270" i="6"/>
  <c r="AM282" i="6"/>
  <c r="AN215" i="6"/>
  <c r="AL269" i="6"/>
  <c r="AM202" i="6"/>
  <c r="AM300" i="6"/>
  <c r="AN233" i="6"/>
  <c r="AL296" i="6"/>
  <c r="AM229" i="6"/>
  <c r="AK282" i="6"/>
  <c r="AL215" i="6"/>
  <c r="BP269" i="6"/>
  <c r="BQ202" i="6"/>
  <c r="AL288" i="6"/>
  <c r="AM221" i="6"/>
  <c r="BH270" i="6"/>
  <c r="BI203" i="6"/>
  <c r="AL293" i="6"/>
  <c r="AM226" i="6"/>
  <c r="AK285" i="6"/>
  <c r="AL218" i="6"/>
  <c r="AQ203" i="6"/>
  <c r="AP270" i="6"/>
  <c r="AK277" i="6"/>
  <c r="AL210" i="6"/>
  <c r="AN284" i="6"/>
  <c r="AO217" i="6"/>
  <c r="AM273" i="6"/>
  <c r="AN206" i="6"/>
  <c r="AM269" i="6"/>
  <c r="AN202" i="6"/>
  <c r="BB202" i="6"/>
  <c r="BA269" i="6"/>
  <c r="BQ269" i="6"/>
  <c r="BR202" i="6"/>
  <c r="BR270" i="6"/>
  <c r="AL295" i="6"/>
  <c r="AM228" i="6"/>
  <c r="BK269" i="6"/>
  <c r="BL202" i="6"/>
  <c r="AL298" i="6"/>
  <c r="AM231" i="6"/>
  <c r="BP270" i="6"/>
  <c r="BQ203" i="6"/>
  <c r="AY270" i="6"/>
  <c r="AZ203" i="6"/>
  <c r="BH269" i="6"/>
  <c r="BI202" i="6"/>
  <c r="AK296" i="6"/>
  <c r="AL229" i="6"/>
  <c r="AK284" i="6"/>
  <c r="AL217" i="6"/>
  <c r="AZ269" i="6"/>
  <c r="BA202" i="6"/>
  <c r="AT271" i="6"/>
  <c r="AU204" i="6"/>
  <c r="AL271" i="6"/>
  <c r="AM204" i="6"/>
  <c r="BM270" i="6"/>
  <c r="BN203" i="6"/>
  <c r="BE270" i="6"/>
  <c r="BF203" i="6"/>
  <c r="AL274" i="6"/>
  <c r="AM207" i="6"/>
  <c r="AK279" i="6"/>
  <c r="AL212" i="6"/>
  <c r="AN278" i="6"/>
  <c r="AO211" i="6"/>
  <c r="AM278" i="6"/>
  <c r="AN211" i="6"/>
  <c r="AX270" i="6"/>
  <c r="AY203" i="6"/>
  <c r="BN270" i="6"/>
  <c r="BO203" i="6"/>
  <c r="BF270" i="6"/>
  <c r="BG203" i="6"/>
  <c r="AL207" i="6"/>
  <c r="AK274" i="6"/>
  <c r="AW270" i="6"/>
  <c r="AX203" i="6"/>
  <c r="AM218" i="6"/>
  <c r="AL285" i="6"/>
  <c r="BJ203" i="6"/>
  <c r="BI270" i="6"/>
  <c r="BQ271" i="6"/>
  <c r="BR204" i="6"/>
  <c r="BR272" i="6"/>
  <c r="BL270" i="6"/>
  <c r="BM203" i="6"/>
  <c r="AN270" i="6"/>
  <c r="AO203" i="6"/>
  <c r="AO285" i="6"/>
  <c r="AP218" i="6"/>
  <c r="AM294" i="6"/>
  <c r="AN227" i="6"/>
  <c r="AM289" i="6"/>
  <c r="AN222" i="6"/>
  <c r="AL283" i="6"/>
  <c r="AM216" i="6"/>
  <c r="AN301" i="6"/>
  <c r="AO234" i="6"/>
  <c r="AO302" i="6"/>
  <c r="AN283" i="6"/>
  <c r="AO216" i="6"/>
  <c r="BA271" i="6"/>
  <c r="BB204" i="6"/>
  <c r="AV270" i="6"/>
  <c r="AW203" i="6"/>
  <c r="AM292" i="6"/>
  <c r="AN225" i="6"/>
  <c r="AU203" i="6"/>
  <c r="AT270" i="6"/>
  <c r="BD270" i="6"/>
  <c r="BE203" i="6"/>
  <c r="AS271" i="6"/>
  <c r="AT204" i="6"/>
  <c r="BQ204" i="6"/>
  <c r="BP271" i="6"/>
  <c r="BK270" i="6"/>
  <c r="BL203" i="6"/>
  <c r="AL284" i="6"/>
  <c r="AM217" i="6"/>
  <c r="AQ271" i="6"/>
  <c r="AR204" i="6"/>
  <c r="AP271" i="6"/>
  <c r="AQ204" i="6"/>
  <c r="AM290" i="6"/>
  <c r="AN223" i="6"/>
  <c r="BA270" i="6"/>
  <c r="BB203" i="6"/>
  <c r="AL297" i="6"/>
  <c r="AM230" i="6"/>
  <c r="AZ271" i="6"/>
  <c r="BA204" i="6"/>
  <c r="AM299" i="6"/>
  <c r="AN232" i="6"/>
  <c r="AM296" i="6"/>
  <c r="AN229" i="6"/>
  <c r="AN274" i="6"/>
  <c r="AO207" i="6"/>
  <c r="AL278" i="6"/>
  <c r="AM211" i="6"/>
  <c r="AL286" i="6"/>
  <c r="AM219" i="6"/>
  <c r="BI271" i="6"/>
  <c r="BJ204" i="6"/>
  <c r="BQ270" i="6"/>
  <c r="BR203" i="6"/>
  <c r="BR271" i="6"/>
  <c r="AM297" i="6"/>
  <c r="AN230" i="6"/>
  <c r="AM270" i="6"/>
  <c r="AN203" i="6"/>
  <c r="AL270" i="6"/>
  <c r="AM203" i="6"/>
  <c r="BH271" i="6"/>
  <c r="BI204" i="6"/>
  <c r="AN281" i="6"/>
  <c r="AO214" i="6"/>
  <c r="AM295" i="6"/>
  <c r="AN228" i="6"/>
  <c r="AM293" i="6"/>
  <c r="AN226" i="6"/>
  <c r="AL290" i="6"/>
  <c r="AM223" i="6"/>
  <c r="BJ270" i="6"/>
  <c r="BK203" i="6"/>
  <c r="AU270" i="6"/>
  <c r="AV203" i="6"/>
  <c r="AL287" i="6"/>
  <c r="AM220" i="6"/>
  <c r="AL273" i="6"/>
  <c r="AM206" i="6"/>
  <c r="BB270" i="6"/>
  <c r="BC203" i="6"/>
  <c r="AS204" i="6"/>
  <c r="AR271" i="6"/>
  <c r="BD203" i="6"/>
  <c r="BC270" i="6"/>
  <c r="AX271" i="6"/>
  <c r="AY204" i="6"/>
  <c r="BG271" i="6"/>
  <c r="BH204" i="6"/>
  <c r="BO271" i="6"/>
  <c r="BP204" i="6"/>
  <c r="AY271" i="6"/>
  <c r="AZ204" i="6"/>
  <c r="AN279" i="6"/>
  <c r="AO212" i="6"/>
  <c r="AO279" i="6"/>
  <c r="AP212" i="6"/>
  <c r="AL280" i="6"/>
  <c r="AM213" i="6"/>
  <c r="AM275" i="6"/>
  <c r="AN208" i="6"/>
  <c r="BF271" i="6"/>
  <c r="BG204" i="6"/>
  <c r="BN271" i="6"/>
  <c r="BO204" i="6"/>
  <c r="AN205" i="6"/>
  <c r="AM272" i="6"/>
  <c r="AV205" i="6"/>
  <c r="AU272" i="6"/>
  <c r="AM208" i="6"/>
  <c r="AL275" i="6"/>
  <c r="BC271" i="6"/>
  <c r="BD204" i="6"/>
  <c r="AM288" i="6"/>
  <c r="AN221" i="6"/>
  <c r="BK271" i="6"/>
  <c r="BL204" i="6"/>
  <c r="AN294" i="6"/>
  <c r="AO227" i="6"/>
  <c r="AO282" i="6"/>
  <c r="AP215" i="6"/>
  <c r="AM271" i="6"/>
  <c r="AN204" i="6"/>
  <c r="AN298" i="6"/>
  <c r="AO231" i="6"/>
  <c r="BJ272" i="6"/>
  <c r="BK205" i="6"/>
  <c r="AM279" i="6"/>
  <c r="AN212" i="6"/>
  <c r="AN297" i="6"/>
  <c r="AO230" i="6"/>
  <c r="BA272" i="6"/>
  <c r="BB205" i="6"/>
  <c r="BB271" i="6"/>
  <c r="BC204" i="6"/>
  <c r="AR205" i="6"/>
  <c r="AQ272" i="6"/>
  <c r="AM285" i="6"/>
  <c r="AN218" i="6"/>
  <c r="BE271" i="6"/>
  <c r="BF204" i="6"/>
  <c r="AN293" i="6"/>
  <c r="AO226" i="6"/>
  <c r="BB272" i="6"/>
  <c r="BC205" i="6"/>
  <c r="AN290" i="6"/>
  <c r="AO223" i="6"/>
  <c r="AP286" i="6"/>
  <c r="AQ219" i="6"/>
  <c r="BM271" i="6"/>
  <c r="BN204" i="6"/>
  <c r="BD271" i="6"/>
  <c r="BE204" i="6"/>
  <c r="BQ272" i="6"/>
  <c r="BR205" i="6"/>
  <c r="BR273" i="6"/>
  <c r="BK204" i="6"/>
  <c r="BJ271" i="6"/>
  <c r="AM274" i="6"/>
  <c r="AN207" i="6"/>
  <c r="AV271" i="6"/>
  <c r="AW204" i="6"/>
  <c r="AM291" i="6"/>
  <c r="AN224" i="6"/>
  <c r="AN296" i="6"/>
  <c r="AO229" i="6"/>
  <c r="BJ205" i="6"/>
  <c r="BI272" i="6"/>
  <c r="AN271" i="6"/>
  <c r="AO204" i="6"/>
  <c r="AM287" i="6"/>
  <c r="AN220" i="6"/>
  <c r="AO275" i="6"/>
  <c r="AP208" i="6"/>
  <c r="AN300" i="6"/>
  <c r="AO233" i="6"/>
  <c r="AM298" i="6"/>
  <c r="AN231" i="6"/>
  <c r="AN291" i="6"/>
  <c r="AO224" i="6"/>
  <c r="AR272" i="6"/>
  <c r="AS205" i="6"/>
  <c r="BM204" i="6"/>
  <c r="BL271" i="6"/>
  <c r="AT272" i="6"/>
  <c r="AU205" i="6"/>
  <c r="AW271" i="6"/>
  <c r="AX204" i="6"/>
  <c r="AO284" i="6"/>
  <c r="AP217" i="6"/>
  <c r="AM284" i="6"/>
  <c r="AN217" i="6"/>
  <c r="AN295" i="6"/>
  <c r="AO228" i="6"/>
  <c r="AO271" i="6"/>
  <c r="AP204" i="6"/>
  <c r="AS272" i="6"/>
  <c r="AT205" i="6"/>
  <c r="AU271" i="6"/>
  <c r="AV204" i="6"/>
  <c r="AN219" i="6"/>
  <c r="AM286" i="6"/>
  <c r="BO272" i="6"/>
  <c r="BP205" i="6"/>
  <c r="BH205" i="6"/>
  <c r="BG272" i="6"/>
  <c r="AN276" i="6"/>
  <c r="AO209" i="6"/>
  <c r="AM281" i="6"/>
  <c r="AN214" i="6"/>
  <c r="AP280" i="6"/>
  <c r="AQ213" i="6"/>
  <c r="AO280" i="6"/>
  <c r="AP213" i="6"/>
  <c r="AZ272" i="6"/>
  <c r="BA205" i="6"/>
  <c r="BP272" i="6"/>
  <c r="BQ205" i="6"/>
  <c r="BH272" i="6"/>
  <c r="BI205" i="6"/>
  <c r="AZ205" i="6"/>
  <c r="AY272" i="6"/>
  <c r="AN209" i="6"/>
  <c r="AM276" i="6"/>
  <c r="AW206" i="6"/>
  <c r="AV273" i="6"/>
  <c r="AO206" i="6"/>
  <c r="AN273" i="6"/>
  <c r="AV272" i="6"/>
  <c r="AW205" i="6"/>
  <c r="AP272" i="6"/>
  <c r="AQ205" i="6"/>
  <c r="AN285" i="6"/>
  <c r="AO218" i="6"/>
  <c r="AX272" i="6"/>
  <c r="AY205" i="6"/>
  <c r="AO292" i="6"/>
  <c r="AP225" i="6"/>
  <c r="AO301" i="6"/>
  <c r="AP234" i="6"/>
  <c r="AP302" i="6"/>
  <c r="AN288" i="6"/>
  <c r="AO221" i="6"/>
  <c r="AN292" i="6"/>
  <c r="AO225" i="6"/>
  <c r="AN275" i="6"/>
  <c r="AO208" i="6"/>
  <c r="BN272" i="6"/>
  <c r="BO205" i="6"/>
  <c r="AO291" i="6"/>
  <c r="AP224" i="6"/>
  <c r="AO294" i="6"/>
  <c r="AP227" i="6"/>
  <c r="AN286" i="6"/>
  <c r="AO219" i="6"/>
  <c r="BD205" i="6"/>
  <c r="BC272" i="6"/>
  <c r="AO298" i="6"/>
  <c r="AP231" i="6"/>
  <c r="BK273" i="6"/>
  <c r="BL206" i="6"/>
  <c r="AN272" i="6"/>
  <c r="AO205" i="6"/>
  <c r="AO295" i="6"/>
  <c r="AP228" i="6"/>
  <c r="AN289" i="6"/>
  <c r="AO222" i="6"/>
  <c r="BM272" i="6"/>
  <c r="BN205" i="6"/>
  <c r="BK206" i="6"/>
  <c r="BJ273" i="6"/>
  <c r="AT273" i="6"/>
  <c r="AU206" i="6"/>
  <c r="AP229" i="6"/>
  <c r="AO296" i="6"/>
  <c r="AP285" i="6"/>
  <c r="AQ218" i="6"/>
  <c r="AU273" i="6"/>
  <c r="AV206" i="6"/>
  <c r="AS273" i="6"/>
  <c r="AT206" i="6"/>
  <c r="AO232" i="6"/>
  <c r="AN299" i="6"/>
  <c r="AP276" i="6"/>
  <c r="AQ209" i="6"/>
  <c r="AO272" i="6"/>
  <c r="AP205" i="6"/>
  <c r="AO297" i="6"/>
  <c r="AP230" i="6"/>
  <c r="AW272" i="6"/>
  <c r="AX205" i="6"/>
  <c r="BE272" i="6"/>
  <c r="BF205" i="6"/>
  <c r="AQ287" i="6"/>
  <c r="AR220" i="6"/>
  <c r="BC273" i="6"/>
  <c r="BD206" i="6"/>
  <c r="BF272" i="6"/>
  <c r="BG205" i="6"/>
  <c r="BC206" i="6"/>
  <c r="BB273" i="6"/>
  <c r="AN280" i="6"/>
  <c r="AO213" i="6"/>
  <c r="AO299" i="6"/>
  <c r="AP232" i="6"/>
  <c r="AP283" i="6"/>
  <c r="AQ216" i="6"/>
  <c r="BL272" i="6"/>
  <c r="BM205" i="6"/>
  <c r="BD272" i="6"/>
  <c r="BE205" i="6"/>
  <c r="AN287" i="6"/>
  <c r="AO220" i="6"/>
  <c r="BL205" i="6"/>
  <c r="BK272" i="6"/>
  <c r="AS206" i="6"/>
  <c r="AR273" i="6"/>
  <c r="AP207" i="6"/>
  <c r="AO274" i="6"/>
  <c r="BI273" i="6"/>
  <c r="BJ206" i="6"/>
  <c r="BQ273" i="6"/>
  <c r="BR206" i="6"/>
  <c r="BR274" i="6"/>
  <c r="BA273" i="6"/>
  <c r="BB206" i="6"/>
  <c r="AP281" i="6"/>
  <c r="AQ214" i="6"/>
  <c r="AQ281" i="6"/>
  <c r="AR214" i="6"/>
  <c r="AN282" i="6"/>
  <c r="AO215" i="6"/>
  <c r="AO277" i="6"/>
  <c r="AP210" i="6"/>
  <c r="BP273" i="6"/>
  <c r="BQ206" i="6"/>
  <c r="AX207" i="6"/>
  <c r="AW274" i="6"/>
  <c r="AO210" i="6"/>
  <c r="AN277" i="6"/>
  <c r="BA206" i="6"/>
  <c r="AZ273" i="6"/>
  <c r="BI206" i="6"/>
  <c r="BH273" i="6"/>
  <c r="AO288" i="6"/>
  <c r="AP221" i="6"/>
  <c r="BM273" i="6"/>
  <c r="BN206" i="6"/>
  <c r="AP300" i="6"/>
  <c r="AQ233" i="6"/>
  <c r="BD274" i="6"/>
  <c r="BE207" i="6"/>
  <c r="BF273" i="6"/>
  <c r="BG206" i="6"/>
  <c r="AP298" i="6"/>
  <c r="AQ231" i="6"/>
  <c r="AQ277" i="6"/>
  <c r="AR210" i="6"/>
  <c r="AT274" i="6"/>
  <c r="AU207" i="6"/>
  <c r="AQ286" i="6"/>
  <c r="AR219" i="6"/>
  <c r="AU274" i="6"/>
  <c r="AV207" i="6"/>
  <c r="BN273" i="6"/>
  <c r="BO206" i="6"/>
  <c r="AP296" i="6"/>
  <c r="AQ229" i="6"/>
  <c r="BL274" i="6"/>
  <c r="BM207" i="6"/>
  <c r="AP295" i="6"/>
  <c r="AQ228" i="6"/>
  <c r="BO273" i="6"/>
  <c r="BP206" i="6"/>
  <c r="AO293" i="6"/>
  <c r="AP226" i="6"/>
  <c r="AY273" i="6"/>
  <c r="AZ206" i="6"/>
  <c r="AQ273" i="6"/>
  <c r="AR206" i="6"/>
  <c r="AT207" i="6"/>
  <c r="AS274" i="6"/>
  <c r="BD207" i="6"/>
  <c r="BC274" i="6"/>
  <c r="BE206" i="6"/>
  <c r="BD273" i="6"/>
  <c r="BE273" i="6"/>
  <c r="BF206" i="6"/>
  <c r="AQ284" i="6"/>
  <c r="AR217" i="6"/>
  <c r="AO281" i="6"/>
  <c r="AP214" i="6"/>
  <c r="BG273" i="6"/>
  <c r="BH206" i="6"/>
  <c r="AR288" i="6"/>
  <c r="AS221" i="6"/>
  <c r="AX273" i="6"/>
  <c r="AY206" i="6"/>
  <c r="AP273" i="6"/>
  <c r="AQ206" i="6"/>
  <c r="AV274" i="6"/>
  <c r="AW207" i="6"/>
  <c r="AO290" i="6"/>
  <c r="AP223" i="6"/>
  <c r="AO273" i="6"/>
  <c r="AP206" i="6"/>
  <c r="AP299" i="6"/>
  <c r="AQ232" i="6"/>
  <c r="AO287" i="6"/>
  <c r="AP220" i="6"/>
  <c r="AP292" i="6"/>
  <c r="AQ225" i="6"/>
  <c r="AP209" i="6"/>
  <c r="AO276" i="6"/>
  <c r="AO289" i="6"/>
  <c r="AP222" i="6"/>
  <c r="AP293" i="6"/>
  <c r="AQ226" i="6"/>
  <c r="AO286" i="6"/>
  <c r="AP219" i="6"/>
  <c r="AW273" i="6"/>
  <c r="AX206" i="6"/>
  <c r="BM206" i="6"/>
  <c r="BL273" i="6"/>
  <c r="AP233" i="6"/>
  <c r="AO300" i="6"/>
  <c r="AP297" i="6"/>
  <c r="AQ230" i="6"/>
  <c r="BK274" i="6"/>
  <c r="BL207" i="6"/>
  <c r="BQ274" i="6"/>
  <c r="BR207" i="6"/>
  <c r="BR275" i="6"/>
  <c r="AP278" i="6"/>
  <c r="AQ211" i="6"/>
  <c r="AO283" i="6"/>
  <c r="AP216" i="6"/>
  <c r="AR282" i="6"/>
  <c r="AS215" i="6"/>
  <c r="AQ282" i="6"/>
  <c r="AR215" i="6"/>
  <c r="BB274" i="6"/>
  <c r="BC207" i="6"/>
  <c r="BJ274" i="6"/>
  <c r="BK207" i="6"/>
  <c r="BJ207" i="6"/>
  <c r="BI274" i="6"/>
  <c r="BB207" i="6"/>
  <c r="BA274" i="6"/>
  <c r="AP211" i="6"/>
  <c r="AO278" i="6"/>
  <c r="AY208" i="6"/>
  <c r="AX275" i="6"/>
  <c r="AQ208" i="6"/>
  <c r="AP275" i="6"/>
  <c r="AR231" i="6"/>
  <c r="AQ298" i="6"/>
  <c r="AP287" i="6"/>
  <c r="AQ220" i="6"/>
  <c r="AQ293" i="6"/>
  <c r="AR226" i="6"/>
  <c r="AP291" i="6"/>
  <c r="AQ224" i="6"/>
  <c r="AP282" i="6"/>
  <c r="AQ215" i="6"/>
  <c r="AQ296" i="6"/>
  <c r="AR229" i="6"/>
  <c r="BE275" i="6"/>
  <c r="BF208" i="6"/>
  <c r="BM208" i="6"/>
  <c r="BL275" i="6"/>
  <c r="AP290" i="6"/>
  <c r="AQ223" i="6"/>
  <c r="AQ300" i="6"/>
  <c r="AR233" i="6"/>
  <c r="AQ274" i="6"/>
  <c r="AR207" i="6"/>
  <c r="AS289" i="6"/>
  <c r="AT222" i="6"/>
  <c r="BF274" i="6"/>
  <c r="BG207" i="6"/>
  <c r="AR274" i="6"/>
  <c r="AS207" i="6"/>
  <c r="AP294" i="6"/>
  <c r="AQ227" i="6"/>
  <c r="AQ297" i="6"/>
  <c r="AR230" i="6"/>
  <c r="AV275" i="6"/>
  <c r="AW208" i="6"/>
  <c r="AU275" i="6"/>
  <c r="AV208" i="6"/>
  <c r="AQ299" i="6"/>
  <c r="AR232" i="6"/>
  <c r="BN274" i="6"/>
  <c r="BO207" i="6"/>
  <c r="BM274" i="6"/>
  <c r="BN207" i="6"/>
  <c r="BE208" i="6"/>
  <c r="BD275" i="6"/>
  <c r="AX274" i="6"/>
  <c r="AY207" i="6"/>
  <c r="AQ294" i="6"/>
  <c r="AR227" i="6"/>
  <c r="AP288" i="6"/>
  <c r="AQ221" i="6"/>
  <c r="AP274" i="6"/>
  <c r="AQ207" i="6"/>
  <c r="AW275" i="6"/>
  <c r="AX208" i="6"/>
  <c r="AY274" i="6"/>
  <c r="AZ207" i="6"/>
  <c r="BH274" i="6"/>
  <c r="BI207" i="6"/>
  <c r="AR285" i="6"/>
  <c r="AS218" i="6"/>
  <c r="AZ274" i="6"/>
  <c r="BA207" i="6"/>
  <c r="BP274" i="6"/>
  <c r="BQ207" i="6"/>
  <c r="BM275" i="6"/>
  <c r="BN208" i="6"/>
  <c r="BO274" i="6"/>
  <c r="BP207" i="6"/>
  <c r="AS220" i="6"/>
  <c r="AR287" i="6"/>
  <c r="AR278" i="6"/>
  <c r="AS211" i="6"/>
  <c r="BG274" i="6"/>
  <c r="BH207" i="6"/>
  <c r="AQ301" i="6"/>
  <c r="AR234" i="6"/>
  <c r="AR302" i="6"/>
  <c r="AP289" i="6"/>
  <c r="AQ222" i="6"/>
  <c r="AP301" i="6"/>
  <c r="AQ234" i="6"/>
  <c r="AQ302" i="6"/>
  <c r="AP277" i="6"/>
  <c r="AQ210" i="6"/>
  <c r="BF207" i="6"/>
  <c r="BE274" i="6"/>
  <c r="AU208" i="6"/>
  <c r="AT275" i="6"/>
  <c r="BK275" i="6"/>
  <c r="BL208" i="6"/>
  <c r="BC275" i="6"/>
  <c r="BD208" i="6"/>
  <c r="AR283" i="6"/>
  <c r="AS216" i="6"/>
  <c r="AS283" i="6"/>
  <c r="AT216" i="6"/>
  <c r="AP284" i="6"/>
  <c r="AQ217" i="6"/>
  <c r="AQ279" i="6"/>
  <c r="AR212" i="6"/>
  <c r="AR209" i="6"/>
  <c r="AQ276" i="6"/>
  <c r="AZ209" i="6"/>
  <c r="AY276" i="6"/>
  <c r="AQ212" i="6"/>
  <c r="AP279" i="6"/>
  <c r="BC208" i="6"/>
  <c r="BB275" i="6"/>
  <c r="BK208" i="6"/>
  <c r="BJ275" i="6"/>
  <c r="BG208" i="6"/>
  <c r="BF275" i="6"/>
  <c r="AS279" i="6"/>
  <c r="AT212" i="6"/>
  <c r="BP275" i="6"/>
  <c r="BQ208" i="6"/>
  <c r="BQ275" i="6"/>
  <c r="BR208" i="6"/>
  <c r="BR276" i="6"/>
  <c r="AS286" i="6"/>
  <c r="AT219" i="6"/>
  <c r="AZ275" i="6"/>
  <c r="BA208" i="6"/>
  <c r="AQ275" i="6"/>
  <c r="AR208" i="6"/>
  <c r="AR295" i="6"/>
  <c r="AS228" i="6"/>
  <c r="BO275" i="6"/>
  <c r="BP208" i="6"/>
  <c r="AV276" i="6"/>
  <c r="AW209" i="6"/>
  <c r="AR298" i="6"/>
  <c r="AS231" i="6"/>
  <c r="AS275" i="6"/>
  <c r="AT208" i="6"/>
  <c r="AT290" i="6"/>
  <c r="AU223" i="6"/>
  <c r="AR301" i="6"/>
  <c r="AS234" i="6"/>
  <c r="AS302" i="6"/>
  <c r="AR297" i="6"/>
  <c r="AS230" i="6"/>
  <c r="AQ292" i="6"/>
  <c r="AR225" i="6"/>
  <c r="AQ288" i="6"/>
  <c r="AR221" i="6"/>
  <c r="BE276" i="6"/>
  <c r="BF209" i="6"/>
  <c r="AQ278" i="6"/>
  <c r="AR211" i="6"/>
  <c r="AR223" i="6"/>
  <c r="AQ290" i="6"/>
  <c r="BH275" i="6"/>
  <c r="BI208" i="6"/>
  <c r="BN276" i="6"/>
  <c r="BO209" i="6"/>
  <c r="BA275" i="6"/>
  <c r="BB208" i="6"/>
  <c r="BI275" i="6"/>
  <c r="BJ208" i="6"/>
  <c r="AX276" i="6"/>
  <c r="AY209" i="6"/>
  <c r="AQ289" i="6"/>
  <c r="AR222" i="6"/>
  <c r="AY275" i="6"/>
  <c r="AZ208" i="6"/>
  <c r="BN275" i="6"/>
  <c r="BO208" i="6"/>
  <c r="AR300" i="6"/>
  <c r="AS233" i="6"/>
  <c r="AX209" i="6"/>
  <c r="AW276" i="6"/>
  <c r="AQ295" i="6"/>
  <c r="AR228" i="6"/>
  <c r="BG275" i="6"/>
  <c r="BH208" i="6"/>
  <c r="AR275" i="6"/>
  <c r="AS208" i="6"/>
  <c r="AQ291" i="6"/>
  <c r="AR224" i="6"/>
  <c r="BF276" i="6"/>
  <c r="BG209" i="6"/>
  <c r="AQ283" i="6"/>
  <c r="AR216" i="6"/>
  <c r="AR294" i="6"/>
  <c r="AS227" i="6"/>
  <c r="BM276" i="6"/>
  <c r="BN209" i="6"/>
  <c r="AV209" i="6"/>
  <c r="AU276" i="6"/>
  <c r="AT221" i="6"/>
  <c r="AS288" i="6"/>
  <c r="AR299" i="6"/>
  <c r="AS232" i="6"/>
  <c r="AR280" i="6"/>
  <c r="AS213" i="6"/>
  <c r="AQ285" i="6"/>
  <c r="AR218" i="6"/>
  <c r="AT284" i="6"/>
  <c r="AU217" i="6"/>
  <c r="AS284" i="6"/>
  <c r="AT217" i="6"/>
  <c r="BD276" i="6"/>
  <c r="BE209" i="6"/>
  <c r="BL276" i="6"/>
  <c r="BM209" i="6"/>
  <c r="BL209" i="6"/>
  <c r="BK276" i="6"/>
  <c r="BD209" i="6"/>
  <c r="BC276" i="6"/>
  <c r="AR213" i="6"/>
  <c r="AQ280" i="6"/>
  <c r="BA210" i="6"/>
  <c r="AZ277" i="6"/>
  <c r="AS210" i="6"/>
  <c r="AR277" i="6"/>
  <c r="AT289" i="6"/>
  <c r="AU222" i="6"/>
  <c r="AX277" i="6"/>
  <c r="AY210" i="6"/>
  <c r="AS224" i="6"/>
  <c r="AR291" i="6"/>
  <c r="BN277" i="6"/>
  <c r="BO210" i="6"/>
  <c r="AR284" i="6"/>
  <c r="AS217" i="6"/>
  <c r="AR292" i="6"/>
  <c r="AS225" i="6"/>
  <c r="BH276" i="6"/>
  <c r="BI209" i="6"/>
  <c r="BO276" i="6"/>
  <c r="BP209" i="6"/>
  <c r="AR290" i="6"/>
  <c r="AS223" i="6"/>
  <c r="BJ276" i="6"/>
  <c r="BK209" i="6"/>
  <c r="BO277" i="6"/>
  <c r="BP210" i="6"/>
  <c r="BG210" i="6"/>
  <c r="BF277" i="6"/>
  <c r="AR293" i="6"/>
  <c r="AS226" i="6"/>
  <c r="AU209" i="6"/>
  <c r="AT276" i="6"/>
  <c r="AW277" i="6"/>
  <c r="AX210" i="6"/>
  <c r="AT229" i="6"/>
  <c r="AS296" i="6"/>
  <c r="BB209" i="6"/>
  <c r="BA276" i="6"/>
  <c r="AT280" i="6"/>
  <c r="AU213" i="6"/>
  <c r="AT233" i="6"/>
  <c r="AS300" i="6"/>
  <c r="AS295" i="6"/>
  <c r="AT228" i="6"/>
  <c r="BG277" i="6"/>
  <c r="BH210" i="6"/>
  <c r="AS276" i="6"/>
  <c r="AT209" i="6"/>
  <c r="AR296" i="6"/>
  <c r="AS229" i="6"/>
  <c r="AS301" i="6"/>
  <c r="AT234" i="6"/>
  <c r="AT302" i="6"/>
  <c r="AZ276" i="6"/>
  <c r="BA209" i="6"/>
  <c r="AY277" i="6"/>
  <c r="AZ210" i="6"/>
  <c r="BB276" i="6"/>
  <c r="BC209" i="6"/>
  <c r="BI276" i="6"/>
  <c r="BJ209" i="6"/>
  <c r="AS212" i="6"/>
  <c r="AR279" i="6"/>
  <c r="AR289" i="6"/>
  <c r="AS222" i="6"/>
  <c r="AS298" i="6"/>
  <c r="AT231" i="6"/>
  <c r="AU291" i="6"/>
  <c r="AV224" i="6"/>
  <c r="AS299" i="6"/>
  <c r="AT232" i="6"/>
  <c r="BP276" i="6"/>
  <c r="BQ209" i="6"/>
  <c r="AR276" i="6"/>
  <c r="AS209" i="6"/>
  <c r="AT287" i="6"/>
  <c r="AU220" i="6"/>
  <c r="BQ276" i="6"/>
  <c r="BR209" i="6"/>
  <c r="BR277" i="6"/>
  <c r="AW210" i="6"/>
  <c r="AV277" i="6"/>
  <c r="BG276" i="6"/>
  <c r="BH209" i="6"/>
  <c r="BM277" i="6"/>
  <c r="BN210" i="6"/>
  <c r="BE277" i="6"/>
  <c r="BF210" i="6"/>
  <c r="AT285" i="6"/>
  <c r="AU218" i="6"/>
  <c r="AU285" i="6"/>
  <c r="AV218" i="6"/>
  <c r="AR286" i="6"/>
  <c r="AS219" i="6"/>
  <c r="AS281" i="6"/>
  <c r="AT214" i="6"/>
  <c r="AT211" i="6"/>
  <c r="AS278" i="6"/>
  <c r="BB211" i="6"/>
  <c r="BA278" i="6"/>
  <c r="AS214" i="6"/>
  <c r="AR281" i="6"/>
  <c r="BE210" i="6"/>
  <c r="BD277" i="6"/>
  <c r="BM210" i="6"/>
  <c r="BL277" i="6"/>
  <c r="BQ277" i="6"/>
  <c r="BR210" i="6"/>
  <c r="BR278" i="6"/>
  <c r="AS290" i="6"/>
  <c r="AT223" i="6"/>
  <c r="AT296" i="6"/>
  <c r="AU229" i="6"/>
  <c r="BQ210" i="6"/>
  <c r="BP277" i="6"/>
  <c r="AZ211" i="6"/>
  <c r="AY278" i="6"/>
  <c r="AT297" i="6"/>
  <c r="AU230" i="6"/>
  <c r="BG278" i="6"/>
  <c r="BH211" i="6"/>
  <c r="BI210" i="6"/>
  <c r="BH277" i="6"/>
  <c r="AS277" i="6"/>
  <c r="AT210" i="6"/>
  <c r="AT300" i="6"/>
  <c r="AU233" i="6"/>
  <c r="AT299" i="6"/>
  <c r="AU232" i="6"/>
  <c r="BC277" i="6"/>
  <c r="BD210" i="6"/>
  <c r="BA277" i="6"/>
  <c r="BB210" i="6"/>
  <c r="AS297" i="6"/>
  <c r="AT230" i="6"/>
  <c r="BH278" i="6"/>
  <c r="BI211" i="6"/>
  <c r="AX278" i="6"/>
  <c r="AY211" i="6"/>
  <c r="AS294" i="6"/>
  <c r="AT227" i="6"/>
  <c r="BP278" i="6"/>
  <c r="BQ211" i="6"/>
  <c r="AS291" i="6"/>
  <c r="AT224" i="6"/>
  <c r="BI277" i="6"/>
  <c r="BJ210" i="6"/>
  <c r="AS285" i="6"/>
  <c r="AT218" i="6"/>
  <c r="AV223" i="6"/>
  <c r="AU290" i="6"/>
  <c r="AU288" i="6"/>
  <c r="AV221" i="6"/>
  <c r="AV292" i="6"/>
  <c r="AW225" i="6"/>
  <c r="BJ277" i="6"/>
  <c r="BK210" i="6"/>
  <c r="AZ278" i="6"/>
  <c r="BA211" i="6"/>
  <c r="AU210" i="6"/>
  <c r="AT277" i="6"/>
  <c r="AU281" i="6"/>
  <c r="AV214" i="6"/>
  <c r="BL210" i="6"/>
  <c r="BK277" i="6"/>
  <c r="AS293" i="6"/>
  <c r="AT226" i="6"/>
  <c r="BO278" i="6"/>
  <c r="BP211" i="6"/>
  <c r="AX211" i="6"/>
  <c r="AW278" i="6"/>
  <c r="AU277" i="6"/>
  <c r="AV210" i="6"/>
  <c r="AS280" i="6"/>
  <c r="AT213" i="6"/>
  <c r="AU234" i="6"/>
  <c r="AU302" i="6"/>
  <c r="AT301" i="6"/>
  <c r="BB277" i="6"/>
  <c r="BC210" i="6"/>
  <c r="AT225" i="6"/>
  <c r="AS292" i="6"/>
  <c r="AT282" i="6"/>
  <c r="AU215" i="6"/>
  <c r="AS287" i="6"/>
  <c r="AT220" i="6"/>
  <c r="AV286" i="6"/>
  <c r="AW219" i="6"/>
  <c r="AU286" i="6"/>
  <c r="AV219" i="6"/>
  <c r="BF278" i="6"/>
  <c r="BG211" i="6"/>
  <c r="BN278" i="6"/>
  <c r="BO211" i="6"/>
  <c r="BM278" i="6"/>
  <c r="BN211" i="6"/>
  <c r="BF211" i="6"/>
  <c r="BE278" i="6"/>
  <c r="AT215" i="6"/>
  <c r="AS282" i="6"/>
  <c r="BC212" i="6"/>
  <c r="BB279" i="6"/>
  <c r="AU212" i="6"/>
  <c r="AT279" i="6"/>
  <c r="AW224" i="6"/>
  <c r="AV291" i="6"/>
  <c r="AV278" i="6"/>
  <c r="AW211" i="6"/>
  <c r="BK278" i="6"/>
  <c r="BL211" i="6"/>
  <c r="AT286" i="6"/>
  <c r="AU219" i="6"/>
  <c r="AT295" i="6"/>
  <c r="AU228" i="6"/>
  <c r="BB278" i="6"/>
  <c r="BC211" i="6"/>
  <c r="AT278" i="6"/>
  <c r="AU211" i="6"/>
  <c r="BC278" i="6"/>
  <c r="BD211" i="6"/>
  <c r="AT281" i="6"/>
  <c r="AU214" i="6"/>
  <c r="AT294" i="6"/>
  <c r="AU227" i="6"/>
  <c r="AV282" i="6"/>
  <c r="AW215" i="6"/>
  <c r="BA279" i="6"/>
  <c r="BB212" i="6"/>
  <c r="AW293" i="6"/>
  <c r="AX226" i="6"/>
  <c r="BJ278" i="6"/>
  <c r="BK211" i="6"/>
  <c r="BQ279" i="6"/>
  <c r="BR212" i="6"/>
  <c r="BR280" i="6"/>
  <c r="AY279" i="6"/>
  <c r="AZ212" i="6"/>
  <c r="AT298" i="6"/>
  <c r="AU231" i="6"/>
  <c r="BD278" i="6"/>
  <c r="BE211" i="6"/>
  <c r="AU301" i="6"/>
  <c r="AV234" i="6"/>
  <c r="AV302" i="6"/>
  <c r="AV231" i="6"/>
  <c r="AU298" i="6"/>
  <c r="AT291" i="6"/>
  <c r="AU224" i="6"/>
  <c r="AY212" i="6"/>
  <c r="AX279" i="6"/>
  <c r="BJ211" i="6"/>
  <c r="BI278" i="6"/>
  <c r="BQ278" i="6"/>
  <c r="BR211" i="6"/>
  <c r="BR279" i="6"/>
  <c r="BP279" i="6"/>
  <c r="BQ212" i="6"/>
  <c r="AV289" i="6"/>
  <c r="AW222" i="6"/>
  <c r="AT292" i="6"/>
  <c r="AU225" i="6"/>
  <c r="BI279" i="6"/>
  <c r="BJ212" i="6"/>
  <c r="AU300" i="6"/>
  <c r="AV233" i="6"/>
  <c r="BH279" i="6"/>
  <c r="BI212" i="6"/>
  <c r="AU297" i="6"/>
  <c r="AV230" i="6"/>
  <c r="AU226" i="6"/>
  <c r="AT293" i="6"/>
  <c r="BL278" i="6"/>
  <c r="BM211" i="6"/>
  <c r="AU278" i="6"/>
  <c r="AV211" i="6"/>
  <c r="BA212" i="6"/>
  <c r="AZ279" i="6"/>
  <c r="BN279" i="6"/>
  <c r="BO212" i="6"/>
  <c r="BO279" i="6"/>
  <c r="BP212" i="6"/>
  <c r="BG279" i="6"/>
  <c r="BH212" i="6"/>
  <c r="AV287" i="6"/>
  <c r="AW220" i="6"/>
  <c r="AW287" i="6"/>
  <c r="AX220" i="6"/>
  <c r="AT288" i="6"/>
  <c r="AU221" i="6"/>
  <c r="AU283" i="6"/>
  <c r="AV216" i="6"/>
  <c r="AV213" i="6"/>
  <c r="AU280" i="6"/>
  <c r="BD213" i="6"/>
  <c r="BC280" i="6"/>
  <c r="AU216" i="6"/>
  <c r="AT283" i="6"/>
  <c r="BG212" i="6"/>
  <c r="BF279" i="6"/>
  <c r="AV279" i="6"/>
  <c r="AW212" i="6"/>
  <c r="BI280" i="6"/>
  <c r="BJ213" i="6"/>
  <c r="BJ280" i="6"/>
  <c r="BK213" i="6"/>
  <c r="AW290" i="6"/>
  <c r="AX223" i="6"/>
  <c r="BE279" i="6"/>
  <c r="BF212" i="6"/>
  <c r="BA213" i="6"/>
  <c r="AZ280" i="6"/>
  <c r="BK279" i="6"/>
  <c r="BL212" i="6"/>
  <c r="BB280" i="6"/>
  <c r="BC213" i="6"/>
  <c r="AU295" i="6"/>
  <c r="AV228" i="6"/>
  <c r="BD279" i="6"/>
  <c r="BE212" i="6"/>
  <c r="BD212" i="6"/>
  <c r="BC279" i="6"/>
  <c r="AU287" i="6"/>
  <c r="AV220" i="6"/>
  <c r="AW279" i="6"/>
  <c r="AX212" i="6"/>
  <c r="AU294" i="6"/>
  <c r="AV227" i="6"/>
  <c r="AY280" i="6"/>
  <c r="AZ213" i="6"/>
  <c r="AV299" i="6"/>
  <c r="AW232" i="6"/>
  <c r="BM279" i="6"/>
  <c r="BN212" i="6"/>
  <c r="AV298" i="6"/>
  <c r="AW231" i="6"/>
  <c r="AV301" i="6"/>
  <c r="AW234" i="6"/>
  <c r="AW302" i="6"/>
  <c r="AU293" i="6"/>
  <c r="AV226" i="6"/>
  <c r="BQ280" i="6"/>
  <c r="BR213" i="6"/>
  <c r="BR281" i="6"/>
  <c r="AU292" i="6"/>
  <c r="AV225" i="6"/>
  <c r="AU299" i="6"/>
  <c r="AV232" i="6"/>
  <c r="AX294" i="6"/>
  <c r="AY227" i="6"/>
  <c r="AW283" i="6"/>
  <c r="AX216" i="6"/>
  <c r="AU282" i="6"/>
  <c r="AV215" i="6"/>
  <c r="AU279" i="6"/>
  <c r="AV212" i="6"/>
  <c r="AU296" i="6"/>
  <c r="AV229" i="6"/>
  <c r="BL279" i="6"/>
  <c r="BM212" i="6"/>
  <c r="BB213" i="6"/>
  <c r="BA280" i="6"/>
  <c r="BJ279" i="6"/>
  <c r="BK212" i="6"/>
  <c r="AX225" i="6"/>
  <c r="AW292" i="6"/>
  <c r="BE214" i="6"/>
  <c r="BD281" i="6"/>
  <c r="AV284" i="6"/>
  <c r="AW217" i="6"/>
  <c r="AU289" i="6"/>
  <c r="AV222" i="6"/>
  <c r="AX288" i="6"/>
  <c r="AY221" i="6"/>
  <c r="AW288" i="6"/>
  <c r="AX221" i="6"/>
  <c r="BH280" i="6"/>
  <c r="BI213" i="6"/>
  <c r="BP280" i="6"/>
  <c r="BQ213" i="6"/>
  <c r="BO280" i="6"/>
  <c r="BP213" i="6"/>
  <c r="BH213" i="6"/>
  <c r="BG280" i="6"/>
  <c r="AV217" i="6"/>
  <c r="AU284" i="6"/>
  <c r="AW214" i="6"/>
  <c r="AV281" i="6"/>
  <c r="AV297" i="6"/>
  <c r="AW230" i="6"/>
  <c r="AW216" i="6"/>
  <c r="AV283" i="6"/>
  <c r="AY295" i="6"/>
  <c r="AZ228" i="6"/>
  <c r="AV293" i="6"/>
  <c r="AW226" i="6"/>
  <c r="AV294" i="6"/>
  <c r="AW227" i="6"/>
  <c r="AW299" i="6"/>
  <c r="AX232" i="6"/>
  <c r="AW300" i="6"/>
  <c r="AX233" i="6"/>
  <c r="AW228" i="6"/>
  <c r="AV295" i="6"/>
  <c r="AV288" i="6"/>
  <c r="AW221" i="6"/>
  <c r="BE280" i="6"/>
  <c r="BF213" i="6"/>
  <c r="BC281" i="6"/>
  <c r="BD214" i="6"/>
  <c r="AX291" i="6"/>
  <c r="AY224" i="6"/>
  <c r="BK214" i="6"/>
  <c r="BJ281" i="6"/>
  <c r="AY226" i="6"/>
  <c r="AX293" i="6"/>
  <c r="BC214" i="6"/>
  <c r="BB281" i="6"/>
  <c r="BA281" i="6"/>
  <c r="BB214" i="6"/>
  <c r="BL213" i="6"/>
  <c r="BK280" i="6"/>
  <c r="BM280" i="6"/>
  <c r="BN213" i="6"/>
  <c r="AV280" i="6"/>
  <c r="AW213" i="6"/>
  <c r="AX284" i="6"/>
  <c r="AY217" i="6"/>
  <c r="AV300" i="6"/>
  <c r="AW233" i="6"/>
  <c r="BN280" i="6"/>
  <c r="BO213" i="6"/>
  <c r="BA214" i="6"/>
  <c r="AZ281" i="6"/>
  <c r="AX280" i="6"/>
  <c r="AY213" i="6"/>
  <c r="AV296" i="6"/>
  <c r="AW229" i="6"/>
  <c r="BL280" i="6"/>
  <c r="BM213" i="6"/>
  <c r="BF280" i="6"/>
  <c r="BG213" i="6"/>
  <c r="BK281" i="6"/>
  <c r="BL214" i="6"/>
  <c r="AW280" i="6"/>
  <c r="AX213" i="6"/>
  <c r="BD280" i="6"/>
  <c r="BE213" i="6"/>
  <c r="BP281" i="6"/>
  <c r="BQ214" i="6"/>
  <c r="BQ281" i="6"/>
  <c r="BR214" i="6"/>
  <c r="BR282" i="6"/>
  <c r="BI281" i="6"/>
  <c r="BJ214" i="6"/>
  <c r="AX289" i="6"/>
  <c r="AY222" i="6"/>
  <c r="AY289" i="6"/>
  <c r="AZ222" i="6"/>
  <c r="AV290" i="6"/>
  <c r="AW223" i="6"/>
  <c r="AW285" i="6"/>
  <c r="AX218" i="6"/>
  <c r="AX215" i="6"/>
  <c r="AW282" i="6"/>
  <c r="AW218" i="6"/>
  <c r="AV285" i="6"/>
  <c r="BI214" i="6"/>
  <c r="BH281" i="6"/>
  <c r="BF215" i="6"/>
  <c r="BE282" i="6"/>
  <c r="BE281" i="6"/>
  <c r="BF214" i="6"/>
  <c r="BM281" i="6"/>
  <c r="BN214" i="6"/>
  <c r="BO281" i="6"/>
  <c r="BP214" i="6"/>
  <c r="BN281" i="6"/>
  <c r="BO214" i="6"/>
  <c r="BF281" i="6"/>
  <c r="BG214" i="6"/>
  <c r="AW294" i="6"/>
  <c r="AX227" i="6"/>
  <c r="AY294" i="6"/>
  <c r="AZ227" i="6"/>
  <c r="AW296" i="6"/>
  <c r="AX229" i="6"/>
  <c r="AW284" i="6"/>
  <c r="AX217" i="6"/>
  <c r="BL282" i="6"/>
  <c r="BM215" i="6"/>
  <c r="AY281" i="6"/>
  <c r="AZ214" i="6"/>
  <c r="AY285" i="6"/>
  <c r="AZ218" i="6"/>
  <c r="BB282" i="6"/>
  <c r="BC215" i="6"/>
  <c r="AY292" i="6"/>
  <c r="AZ225" i="6"/>
  <c r="AX300" i="6"/>
  <c r="AY233" i="6"/>
  <c r="AX281" i="6"/>
  <c r="AY214" i="6"/>
  <c r="BG281" i="6"/>
  <c r="BH214" i="6"/>
  <c r="AW297" i="6"/>
  <c r="AX230" i="6"/>
  <c r="AW301" i="6"/>
  <c r="AX234" i="6"/>
  <c r="AX302" i="6"/>
  <c r="AW281" i="6"/>
  <c r="AX214" i="6"/>
  <c r="BD282" i="6"/>
  <c r="BE215" i="6"/>
  <c r="AW289" i="6"/>
  <c r="AX222" i="6"/>
  <c r="AY234" i="6"/>
  <c r="AY302" i="6"/>
  <c r="AX301" i="6"/>
  <c r="AW295" i="6"/>
  <c r="AX228" i="6"/>
  <c r="AZ296" i="6"/>
  <c r="BA229" i="6"/>
  <c r="AW298" i="6"/>
  <c r="AX231" i="6"/>
  <c r="BB215" i="6"/>
  <c r="BA282" i="6"/>
  <c r="BM214" i="6"/>
  <c r="BL281" i="6"/>
  <c r="BD215" i="6"/>
  <c r="BC282" i="6"/>
  <c r="BK282" i="6"/>
  <c r="BL215" i="6"/>
  <c r="BG216" i="6"/>
  <c r="BF283" i="6"/>
  <c r="AX219" i="6"/>
  <c r="AW286" i="6"/>
  <c r="AX286" i="6"/>
  <c r="AY219" i="6"/>
  <c r="AW291" i="6"/>
  <c r="AX224" i="6"/>
  <c r="AZ290" i="6"/>
  <c r="BA223" i="6"/>
  <c r="AY290" i="6"/>
  <c r="AZ223" i="6"/>
  <c r="BJ282" i="6"/>
  <c r="BK215" i="6"/>
  <c r="BQ282" i="6"/>
  <c r="BR215" i="6"/>
  <c r="BR283" i="6"/>
  <c r="BJ215" i="6"/>
  <c r="BI282" i="6"/>
  <c r="AY216" i="6"/>
  <c r="AX283" i="6"/>
  <c r="BE283" i="6"/>
  <c r="BF216" i="6"/>
  <c r="AY301" i="6"/>
  <c r="AZ234" i="6"/>
  <c r="AZ302" i="6"/>
  <c r="AZ282" i="6"/>
  <c r="BA215" i="6"/>
  <c r="AX285" i="6"/>
  <c r="AY218" i="6"/>
  <c r="BP282" i="6"/>
  <c r="BQ215" i="6"/>
  <c r="BL283" i="6"/>
  <c r="BM216" i="6"/>
  <c r="AX299" i="6"/>
  <c r="AY232" i="6"/>
  <c r="AX296" i="6"/>
  <c r="AY229" i="6"/>
  <c r="AX290" i="6"/>
  <c r="AY223" i="6"/>
  <c r="AX282" i="6"/>
  <c r="AY215" i="6"/>
  <c r="AX298" i="6"/>
  <c r="AY231" i="6"/>
  <c r="AY282" i="6"/>
  <c r="AZ215" i="6"/>
  <c r="AZ293" i="6"/>
  <c r="BA226" i="6"/>
  <c r="AZ286" i="6"/>
  <c r="BA219" i="6"/>
  <c r="BM283" i="6"/>
  <c r="BN216" i="6"/>
  <c r="AX297" i="6"/>
  <c r="AY230" i="6"/>
  <c r="AX295" i="6"/>
  <c r="AY228" i="6"/>
  <c r="BO282" i="6"/>
  <c r="BP215" i="6"/>
  <c r="BN282" i="6"/>
  <c r="BO215" i="6"/>
  <c r="BM282" i="6"/>
  <c r="BN215" i="6"/>
  <c r="BA297" i="6"/>
  <c r="BB230" i="6"/>
  <c r="BH282" i="6"/>
  <c r="BI215" i="6"/>
  <c r="BC283" i="6"/>
  <c r="BD216" i="6"/>
  <c r="BA228" i="6"/>
  <c r="AZ295" i="6"/>
  <c r="BG282" i="6"/>
  <c r="BH215" i="6"/>
  <c r="BF282" i="6"/>
  <c r="BG215" i="6"/>
  <c r="BE216" i="6"/>
  <c r="BD283" i="6"/>
  <c r="BC216" i="6"/>
  <c r="BB283" i="6"/>
  <c r="BK216" i="6"/>
  <c r="BJ283" i="6"/>
  <c r="BK283" i="6"/>
  <c r="BL216" i="6"/>
  <c r="AZ291" i="6"/>
  <c r="BA224" i="6"/>
  <c r="BA291" i="6"/>
  <c r="BB224" i="6"/>
  <c r="AX292" i="6"/>
  <c r="AY225" i="6"/>
  <c r="AY287" i="6"/>
  <c r="AZ220" i="6"/>
  <c r="AZ217" i="6"/>
  <c r="AY284" i="6"/>
  <c r="AY220" i="6"/>
  <c r="AX287" i="6"/>
  <c r="BH217" i="6"/>
  <c r="BG284" i="6"/>
  <c r="BG283" i="6"/>
  <c r="BH216" i="6"/>
  <c r="BI283" i="6"/>
  <c r="BJ216" i="6"/>
  <c r="BN283" i="6"/>
  <c r="BO216" i="6"/>
  <c r="BP283" i="6"/>
  <c r="BQ216" i="6"/>
  <c r="AY298" i="6"/>
  <c r="AZ231" i="6"/>
  <c r="BA287" i="6"/>
  <c r="BB220" i="6"/>
  <c r="AZ283" i="6"/>
  <c r="BA216" i="6"/>
  <c r="AZ216" i="6"/>
  <c r="AY283" i="6"/>
  <c r="AY297" i="6"/>
  <c r="AZ230" i="6"/>
  <c r="BM284" i="6"/>
  <c r="BN217" i="6"/>
  <c r="AY286" i="6"/>
  <c r="AZ219" i="6"/>
  <c r="BC284" i="6"/>
  <c r="BD217" i="6"/>
  <c r="BA296" i="6"/>
  <c r="BB229" i="6"/>
  <c r="BI216" i="6"/>
  <c r="BH283" i="6"/>
  <c r="BD284" i="6"/>
  <c r="BE217" i="6"/>
  <c r="BB298" i="6"/>
  <c r="BC231" i="6"/>
  <c r="BP216" i="6"/>
  <c r="BO283" i="6"/>
  <c r="AY296" i="6"/>
  <c r="AZ229" i="6"/>
  <c r="BN284" i="6"/>
  <c r="BO217" i="6"/>
  <c r="BA294" i="6"/>
  <c r="BB227" i="6"/>
  <c r="AY299" i="6"/>
  <c r="AZ232" i="6"/>
  <c r="AY291" i="6"/>
  <c r="AZ224" i="6"/>
  <c r="AY300" i="6"/>
  <c r="AZ233" i="6"/>
  <c r="BQ283" i="6"/>
  <c r="BR216" i="6"/>
  <c r="BR284" i="6"/>
  <c r="BA283" i="6"/>
  <c r="BB216" i="6"/>
  <c r="BF284" i="6"/>
  <c r="BG217" i="6"/>
  <c r="BE284" i="6"/>
  <c r="BF217" i="6"/>
  <c r="AZ221" i="6"/>
  <c r="AY288" i="6"/>
  <c r="AZ288" i="6"/>
  <c r="BA221" i="6"/>
  <c r="AY293" i="6"/>
  <c r="AZ226" i="6"/>
  <c r="BB292" i="6"/>
  <c r="BC225" i="6"/>
  <c r="BA292" i="6"/>
  <c r="BB225" i="6"/>
  <c r="BL284" i="6"/>
  <c r="BM217" i="6"/>
  <c r="BI218" i="6"/>
  <c r="BH285" i="6"/>
  <c r="BA218" i="6"/>
  <c r="AZ285" i="6"/>
  <c r="BL217" i="6"/>
  <c r="BK284" i="6"/>
  <c r="BG285" i="6"/>
  <c r="BH218" i="6"/>
  <c r="AZ292" i="6"/>
  <c r="BA225" i="6"/>
  <c r="BB295" i="6"/>
  <c r="BC228" i="6"/>
  <c r="AZ297" i="6"/>
  <c r="BA230" i="6"/>
  <c r="BC299" i="6"/>
  <c r="BD232" i="6"/>
  <c r="BE218" i="6"/>
  <c r="BD285" i="6"/>
  <c r="BN285" i="6"/>
  <c r="BO218" i="6"/>
  <c r="BB288" i="6"/>
  <c r="BC221" i="6"/>
  <c r="BQ284" i="6"/>
  <c r="BR217" i="6"/>
  <c r="BR285" i="6"/>
  <c r="BK217" i="6"/>
  <c r="BJ284" i="6"/>
  <c r="BI284" i="6"/>
  <c r="BJ217" i="6"/>
  <c r="AZ284" i="6"/>
  <c r="BA217" i="6"/>
  <c r="BF285" i="6"/>
  <c r="BG218" i="6"/>
  <c r="BB284" i="6"/>
  <c r="BC217" i="6"/>
  <c r="AZ301" i="6"/>
  <c r="BA234" i="6"/>
  <c r="BA302" i="6"/>
  <c r="AZ300" i="6"/>
  <c r="BA233" i="6"/>
  <c r="BP218" i="6"/>
  <c r="BO285" i="6"/>
  <c r="BE285" i="6"/>
  <c r="BF218" i="6"/>
  <c r="BB297" i="6"/>
  <c r="BC230" i="6"/>
  <c r="BA220" i="6"/>
  <c r="AZ287" i="6"/>
  <c r="AZ298" i="6"/>
  <c r="BA231" i="6"/>
  <c r="BB217" i="6"/>
  <c r="BA284" i="6"/>
  <c r="BA232" i="6"/>
  <c r="AZ299" i="6"/>
  <c r="BO284" i="6"/>
  <c r="BP217" i="6"/>
  <c r="BH284" i="6"/>
  <c r="BI217" i="6"/>
  <c r="BP284" i="6"/>
  <c r="BQ217" i="6"/>
  <c r="BB219" i="6"/>
  <c r="BA286" i="6"/>
  <c r="BM285" i="6"/>
  <c r="BN218" i="6"/>
  <c r="BB293" i="6"/>
  <c r="BC226" i="6"/>
  <c r="BC293" i="6"/>
  <c r="BD226" i="6"/>
  <c r="AZ294" i="6"/>
  <c r="BA227" i="6"/>
  <c r="BA289" i="6"/>
  <c r="BB222" i="6"/>
  <c r="BM218" i="6"/>
  <c r="BL285" i="6"/>
  <c r="BJ219" i="6"/>
  <c r="BI286" i="6"/>
  <c r="BA222" i="6"/>
  <c r="AZ289" i="6"/>
  <c r="BP286" i="6"/>
  <c r="BQ219" i="6"/>
  <c r="BQ285" i="6"/>
  <c r="BR218" i="6"/>
  <c r="BR286" i="6"/>
  <c r="BF286" i="6"/>
  <c r="BG219" i="6"/>
  <c r="BC285" i="6"/>
  <c r="BD218" i="6"/>
  <c r="BA298" i="6"/>
  <c r="BB231" i="6"/>
  <c r="BA293" i="6"/>
  <c r="BB226" i="6"/>
  <c r="BB285" i="6"/>
  <c r="BC218" i="6"/>
  <c r="BB221" i="6"/>
  <c r="BA288" i="6"/>
  <c r="BK285" i="6"/>
  <c r="BL218" i="6"/>
  <c r="BF219" i="6"/>
  <c r="BE286" i="6"/>
  <c r="BA300" i="6"/>
  <c r="BB233" i="6"/>
  <c r="BP285" i="6"/>
  <c r="BQ218" i="6"/>
  <c r="BA301" i="6"/>
  <c r="BB234" i="6"/>
  <c r="BB302" i="6"/>
  <c r="BA285" i="6"/>
  <c r="BB218" i="6"/>
  <c r="BC289" i="6"/>
  <c r="BD222" i="6"/>
  <c r="BI285" i="6"/>
  <c r="BJ218" i="6"/>
  <c r="BA299" i="6"/>
  <c r="BB232" i="6"/>
  <c r="BC298" i="6"/>
  <c r="BD231" i="6"/>
  <c r="BH219" i="6"/>
  <c r="BG286" i="6"/>
  <c r="BJ285" i="6"/>
  <c r="BK218" i="6"/>
  <c r="BO286" i="6"/>
  <c r="BP219" i="6"/>
  <c r="BD300" i="6"/>
  <c r="BE233" i="6"/>
  <c r="BC296" i="6"/>
  <c r="BD229" i="6"/>
  <c r="BH286" i="6"/>
  <c r="BI219" i="6"/>
  <c r="BB223" i="6"/>
  <c r="BA290" i="6"/>
  <c r="BB290" i="6"/>
  <c r="BC223" i="6"/>
  <c r="BA295" i="6"/>
  <c r="BB228" i="6"/>
  <c r="BD294" i="6"/>
  <c r="BE227" i="6"/>
  <c r="BC294" i="6"/>
  <c r="BD227" i="6"/>
  <c r="BN286" i="6"/>
  <c r="BO219" i="6"/>
  <c r="BK220" i="6"/>
  <c r="BJ287" i="6"/>
  <c r="BM286" i="6"/>
  <c r="BN219" i="6"/>
  <c r="BC220" i="6"/>
  <c r="BB287" i="6"/>
  <c r="BI287" i="6"/>
  <c r="BJ220" i="6"/>
  <c r="BL219" i="6"/>
  <c r="BK286" i="6"/>
  <c r="BJ286" i="6"/>
  <c r="BK219" i="6"/>
  <c r="BR219" i="6"/>
  <c r="BR287" i="6"/>
  <c r="BQ286" i="6"/>
  <c r="BB294" i="6"/>
  <c r="BC227" i="6"/>
  <c r="BG220" i="6"/>
  <c r="BF287" i="6"/>
  <c r="BB289" i="6"/>
  <c r="BC222" i="6"/>
  <c r="BH287" i="6"/>
  <c r="BI220" i="6"/>
  <c r="BE301" i="6"/>
  <c r="BF234" i="6"/>
  <c r="BF302" i="6"/>
  <c r="BE232" i="6"/>
  <c r="BD299" i="6"/>
  <c r="BB286" i="6"/>
  <c r="BC219" i="6"/>
  <c r="BD286" i="6"/>
  <c r="BE219" i="6"/>
  <c r="BD297" i="6"/>
  <c r="BE230" i="6"/>
  <c r="BQ220" i="6"/>
  <c r="BP287" i="6"/>
  <c r="BB300" i="6"/>
  <c r="BC233" i="6"/>
  <c r="BD290" i="6"/>
  <c r="BE223" i="6"/>
  <c r="BB301" i="6"/>
  <c r="BC234" i="6"/>
  <c r="BC302" i="6"/>
  <c r="BM219" i="6"/>
  <c r="BL286" i="6"/>
  <c r="BC286" i="6"/>
  <c r="BD219" i="6"/>
  <c r="BB299" i="6"/>
  <c r="BC232" i="6"/>
  <c r="BH220" i="6"/>
  <c r="BG287" i="6"/>
  <c r="BQ287" i="6"/>
  <c r="BR220" i="6"/>
  <c r="BR288" i="6"/>
  <c r="BN287" i="6"/>
  <c r="BO220" i="6"/>
  <c r="BO287" i="6"/>
  <c r="BP220" i="6"/>
  <c r="BD295" i="6"/>
  <c r="BE228" i="6"/>
  <c r="BE295" i="6"/>
  <c r="BF228" i="6"/>
  <c r="BB296" i="6"/>
  <c r="BC229" i="6"/>
  <c r="BC291" i="6"/>
  <c r="BD224" i="6"/>
  <c r="BD221" i="6"/>
  <c r="BC288" i="6"/>
  <c r="BL221" i="6"/>
  <c r="BK288" i="6"/>
  <c r="BC224" i="6"/>
  <c r="BB291" i="6"/>
  <c r="BM287" i="6"/>
  <c r="BN220" i="6"/>
  <c r="BQ288" i="6"/>
  <c r="BR221" i="6"/>
  <c r="BR289" i="6"/>
  <c r="BF233" i="6"/>
  <c r="BE300" i="6"/>
  <c r="BG288" i="6"/>
  <c r="BH221" i="6"/>
  <c r="BL287" i="6"/>
  <c r="BM220" i="6"/>
  <c r="BH288" i="6"/>
  <c r="BI221" i="6"/>
  <c r="BC300" i="6"/>
  <c r="BD233" i="6"/>
  <c r="BE291" i="6"/>
  <c r="BF224" i="6"/>
  <c r="BE287" i="6"/>
  <c r="BF220" i="6"/>
  <c r="BI288" i="6"/>
  <c r="BJ221" i="6"/>
  <c r="BD287" i="6"/>
  <c r="BE220" i="6"/>
  <c r="BC301" i="6"/>
  <c r="BD234" i="6"/>
  <c r="BD302" i="6"/>
  <c r="BE298" i="6"/>
  <c r="BF231" i="6"/>
  <c r="BD220" i="6"/>
  <c r="BC287" i="6"/>
  <c r="BD223" i="6"/>
  <c r="BC290" i="6"/>
  <c r="BC295" i="6"/>
  <c r="BD228" i="6"/>
  <c r="BL220" i="6"/>
  <c r="BK287" i="6"/>
  <c r="BJ288" i="6"/>
  <c r="BK221" i="6"/>
  <c r="BE222" i="6"/>
  <c r="BD289" i="6"/>
  <c r="BD292" i="6"/>
  <c r="BE225" i="6"/>
  <c r="BC297" i="6"/>
  <c r="BD230" i="6"/>
  <c r="BF296" i="6"/>
  <c r="BG229" i="6"/>
  <c r="BE296" i="6"/>
  <c r="BF229" i="6"/>
  <c r="BP288" i="6"/>
  <c r="BQ221" i="6"/>
  <c r="BO288" i="6"/>
  <c r="BP221" i="6"/>
  <c r="BD225" i="6"/>
  <c r="BC292" i="6"/>
  <c r="BM222" i="6"/>
  <c r="BL289" i="6"/>
  <c r="BM221" i="6"/>
  <c r="BL288" i="6"/>
  <c r="BK289" i="6"/>
  <c r="BL222" i="6"/>
  <c r="BD296" i="6"/>
  <c r="BE229" i="6"/>
  <c r="BJ289" i="6"/>
  <c r="BK222" i="6"/>
  <c r="BE221" i="6"/>
  <c r="BD288" i="6"/>
  <c r="BE224" i="6"/>
  <c r="BD291" i="6"/>
  <c r="BF301" i="6"/>
  <c r="BG234" i="6"/>
  <c r="BG302" i="6"/>
  <c r="BF292" i="6"/>
  <c r="BG225" i="6"/>
  <c r="BJ222" i="6"/>
  <c r="BI289" i="6"/>
  <c r="BH289" i="6"/>
  <c r="BI222" i="6"/>
  <c r="BF299" i="6"/>
  <c r="BG232" i="6"/>
  <c r="BE288" i="6"/>
  <c r="BF221" i="6"/>
  <c r="BF288" i="6"/>
  <c r="BG221" i="6"/>
  <c r="BD301" i="6"/>
  <c r="BE234" i="6"/>
  <c r="BE302" i="6"/>
  <c r="BM288" i="6"/>
  <c r="BN221" i="6"/>
  <c r="BN288" i="6"/>
  <c r="BO221" i="6"/>
  <c r="BM290" i="6"/>
  <c r="BN223" i="6"/>
  <c r="BP289" i="6"/>
  <c r="BQ222" i="6"/>
  <c r="BQ289" i="6"/>
  <c r="BR222" i="6"/>
  <c r="BR290" i="6"/>
  <c r="BF297" i="6"/>
  <c r="BG230" i="6"/>
  <c r="BG297" i="6"/>
  <c r="BH230" i="6"/>
  <c r="BD298" i="6"/>
  <c r="BE231" i="6"/>
  <c r="BE293" i="6"/>
  <c r="BF226" i="6"/>
  <c r="BE226" i="6"/>
  <c r="BD293" i="6"/>
  <c r="BF223" i="6"/>
  <c r="BE290" i="6"/>
  <c r="BJ290" i="6"/>
  <c r="BK223" i="6"/>
  <c r="BF222" i="6"/>
  <c r="BE289" i="6"/>
  <c r="BN222" i="6"/>
  <c r="BM289" i="6"/>
  <c r="BP222" i="6"/>
  <c r="BO289" i="6"/>
  <c r="BG222" i="6"/>
  <c r="BF289" i="6"/>
  <c r="BG293" i="6"/>
  <c r="BH226" i="6"/>
  <c r="BL290" i="6"/>
  <c r="BM223" i="6"/>
  <c r="BF225" i="6"/>
  <c r="BE292" i="6"/>
  <c r="BI290" i="6"/>
  <c r="BJ223" i="6"/>
  <c r="BL223" i="6"/>
  <c r="BK290" i="6"/>
  <c r="BN289" i="6"/>
  <c r="BO222" i="6"/>
  <c r="BG289" i="6"/>
  <c r="BH222" i="6"/>
  <c r="BG300" i="6"/>
  <c r="BH233" i="6"/>
  <c r="BE297" i="6"/>
  <c r="BF230" i="6"/>
  <c r="BG224" i="6"/>
  <c r="BF291" i="6"/>
  <c r="BF294" i="6"/>
  <c r="BG227" i="6"/>
  <c r="BE299" i="6"/>
  <c r="BF232" i="6"/>
  <c r="BH298" i="6"/>
  <c r="BI231" i="6"/>
  <c r="BG298" i="6"/>
  <c r="BH231" i="6"/>
  <c r="BQ290" i="6"/>
  <c r="BR223" i="6"/>
  <c r="BR291" i="6"/>
  <c r="BN291" i="6"/>
  <c r="BO224" i="6"/>
  <c r="BF227" i="6"/>
  <c r="BE294" i="6"/>
  <c r="BN290" i="6"/>
  <c r="BO223" i="6"/>
  <c r="BI223" i="6"/>
  <c r="BH290" i="6"/>
  <c r="BM224" i="6"/>
  <c r="BL291" i="6"/>
  <c r="BG226" i="6"/>
  <c r="BF293" i="6"/>
  <c r="BP290" i="6"/>
  <c r="BQ223" i="6"/>
  <c r="BG223" i="6"/>
  <c r="BF290" i="6"/>
  <c r="BG290" i="6"/>
  <c r="BH223" i="6"/>
  <c r="BF298" i="6"/>
  <c r="BG231" i="6"/>
  <c r="BH294" i="6"/>
  <c r="BI227" i="6"/>
  <c r="BH301" i="6"/>
  <c r="BI234" i="6"/>
  <c r="BI302" i="6"/>
  <c r="BP223" i="6"/>
  <c r="BO290" i="6"/>
  <c r="BJ291" i="6"/>
  <c r="BK224" i="6"/>
  <c r="BM291" i="6"/>
  <c r="BN224" i="6"/>
  <c r="BL224" i="6"/>
  <c r="BK291" i="6"/>
  <c r="BG228" i="6"/>
  <c r="BF295" i="6"/>
  <c r="BO292" i="6"/>
  <c r="BP225" i="6"/>
  <c r="BH299" i="6"/>
  <c r="BI232" i="6"/>
  <c r="BI299" i="6"/>
  <c r="BJ232" i="6"/>
  <c r="BF300" i="6"/>
  <c r="BG233" i="6"/>
  <c r="BG295" i="6"/>
  <c r="BH228" i="6"/>
  <c r="BH225" i="6"/>
  <c r="BG292" i="6"/>
  <c r="BK292" i="6"/>
  <c r="BL225" i="6"/>
  <c r="BG299" i="6"/>
  <c r="BH232" i="6"/>
  <c r="BM225" i="6"/>
  <c r="BL292" i="6"/>
  <c r="BH224" i="6"/>
  <c r="BG291" i="6"/>
  <c r="BH227" i="6"/>
  <c r="BG294" i="6"/>
  <c r="BI291" i="6"/>
  <c r="BJ224" i="6"/>
  <c r="BN292" i="6"/>
  <c r="BO225" i="6"/>
  <c r="BI295" i="6"/>
  <c r="BJ228" i="6"/>
  <c r="BH291" i="6"/>
  <c r="BI224" i="6"/>
  <c r="BQ291" i="6"/>
  <c r="BR224" i="6"/>
  <c r="BR292" i="6"/>
  <c r="BP224" i="6"/>
  <c r="BO291" i="6"/>
  <c r="BP291" i="6"/>
  <c r="BQ224" i="6"/>
  <c r="BM292" i="6"/>
  <c r="BN225" i="6"/>
  <c r="BH296" i="6"/>
  <c r="BI229" i="6"/>
  <c r="BG301" i="6"/>
  <c r="BH234" i="6"/>
  <c r="BH302" i="6"/>
  <c r="BJ300" i="6"/>
  <c r="BK233" i="6"/>
  <c r="BI300" i="6"/>
  <c r="BJ233" i="6"/>
  <c r="BP293" i="6"/>
  <c r="BQ226" i="6"/>
  <c r="BI226" i="6"/>
  <c r="BH293" i="6"/>
  <c r="BH229" i="6"/>
  <c r="BG296" i="6"/>
  <c r="BQ292" i="6"/>
  <c r="BR225" i="6"/>
  <c r="BR293" i="6"/>
  <c r="BJ296" i="6"/>
  <c r="BK229" i="6"/>
  <c r="BH300" i="6"/>
  <c r="BI233" i="6"/>
  <c r="BH292" i="6"/>
  <c r="BI225" i="6"/>
  <c r="BJ292" i="6"/>
  <c r="BK225" i="6"/>
  <c r="BN293" i="6"/>
  <c r="BO226" i="6"/>
  <c r="BI292" i="6"/>
  <c r="BJ225" i="6"/>
  <c r="BO293" i="6"/>
  <c r="BP226" i="6"/>
  <c r="BM226" i="6"/>
  <c r="BL293" i="6"/>
  <c r="BP292" i="6"/>
  <c r="BQ225" i="6"/>
  <c r="BI228" i="6"/>
  <c r="BH295" i="6"/>
  <c r="BN226" i="6"/>
  <c r="BM293" i="6"/>
  <c r="BQ294" i="6"/>
  <c r="BR227" i="6"/>
  <c r="BR295" i="6"/>
  <c r="BJ301" i="6"/>
  <c r="BK234" i="6"/>
  <c r="BK302" i="6"/>
  <c r="BK301" i="6"/>
  <c r="BL234" i="6"/>
  <c r="BL302" i="6"/>
  <c r="BI297" i="6"/>
  <c r="BJ230" i="6"/>
  <c r="BI230" i="6"/>
  <c r="BH297" i="6"/>
  <c r="BJ227" i="6"/>
  <c r="BI294" i="6"/>
  <c r="BQ293" i="6"/>
  <c r="BR226" i="6"/>
  <c r="BR294" i="6"/>
  <c r="BP294" i="6"/>
  <c r="BQ227" i="6"/>
  <c r="BO294" i="6"/>
  <c r="BP227" i="6"/>
  <c r="BJ226" i="6"/>
  <c r="BI293" i="6"/>
  <c r="BK297" i="6"/>
  <c r="BL230" i="6"/>
  <c r="BN294" i="6"/>
  <c r="BO227" i="6"/>
  <c r="BK226" i="6"/>
  <c r="BJ293" i="6"/>
  <c r="BL226" i="6"/>
  <c r="BK293" i="6"/>
  <c r="BI301" i="6"/>
  <c r="BJ234" i="6"/>
  <c r="BJ302" i="6"/>
  <c r="BI296" i="6"/>
  <c r="BJ229" i="6"/>
  <c r="BN227" i="6"/>
  <c r="BM294" i="6"/>
  <c r="BJ298" i="6"/>
  <c r="BK231" i="6"/>
  <c r="BK228" i="6"/>
  <c r="BJ295" i="6"/>
  <c r="BJ231" i="6"/>
  <c r="BI298" i="6"/>
  <c r="BN295" i="6"/>
  <c r="BO228" i="6"/>
  <c r="BL227" i="6"/>
  <c r="BK294" i="6"/>
  <c r="BJ297" i="6"/>
  <c r="BK230" i="6"/>
  <c r="BO295" i="6"/>
  <c r="BP228" i="6"/>
  <c r="BQ295" i="6"/>
  <c r="BR228" i="6"/>
  <c r="BR296" i="6"/>
  <c r="BM227" i="6"/>
  <c r="BL294" i="6"/>
  <c r="BJ294" i="6"/>
  <c r="BK227" i="6"/>
  <c r="BL298" i="6"/>
  <c r="BM231" i="6"/>
  <c r="BP295" i="6"/>
  <c r="BQ228" i="6"/>
  <c r="BL229" i="6"/>
  <c r="BK296" i="6"/>
  <c r="BK299" i="6"/>
  <c r="BL232" i="6"/>
  <c r="BK232" i="6"/>
  <c r="BJ299" i="6"/>
  <c r="BN228" i="6"/>
  <c r="BM295" i="6"/>
  <c r="BM228" i="6"/>
  <c r="BL295" i="6"/>
  <c r="BM299" i="6"/>
  <c r="BN232" i="6"/>
  <c r="BQ229" i="6"/>
  <c r="BP296" i="6"/>
  <c r="BQ296" i="6"/>
  <c r="BR229" i="6"/>
  <c r="BR297" i="6"/>
  <c r="BL228" i="6"/>
  <c r="BK295" i="6"/>
  <c r="BK298" i="6"/>
  <c r="BL231" i="6"/>
  <c r="BO296" i="6"/>
  <c r="BP229" i="6"/>
  <c r="BL300" i="6"/>
  <c r="BM233" i="6"/>
  <c r="BL233" i="6"/>
  <c r="BK300" i="6"/>
  <c r="BM230" i="6"/>
  <c r="BL297" i="6"/>
  <c r="BP297" i="6"/>
  <c r="BQ230" i="6"/>
  <c r="BM229" i="6"/>
  <c r="BL296" i="6"/>
  <c r="BR230" i="6"/>
  <c r="BR298" i="6"/>
  <c r="BQ297" i="6"/>
  <c r="BN229" i="6"/>
  <c r="BM296" i="6"/>
  <c r="BO229" i="6"/>
  <c r="BN296" i="6"/>
  <c r="BM232" i="6"/>
  <c r="BL299" i="6"/>
  <c r="BN300" i="6"/>
  <c r="BO233" i="6"/>
  <c r="BM298" i="6"/>
  <c r="BN231" i="6"/>
  <c r="BM301" i="6"/>
  <c r="BN234" i="6"/>
  <c r="BN302" i="6"/>
  <c r="BL301" i="6"/>
  <c r="BM234" i="6"/>
  <c r="BM302" i="6"/>
  <c r="BN233" i="6"/>
  <c r="BM300" i="6"/>
  <c r="BO230" i="6"/>
  <c r="BN297" i="6"/>
  <c r="BN230" i="6"/>
  <c r="BM297" i="6"/>
  <c r="BP230" i="6"/>
  <c r="BO297" i="6"/>
  <c r="BP234" i="6"/>
  <c r="BP302" i="6"/>
  <c r="BO301" i="6"/>
  <c r="BR231" i="6"/>
  <c r="BR299" i="6"/>
  <c r="BQ298" i="6"/>
  <c r="BN299" i="6"/>
  <c r="BO232" i="6"/>
  <c r="BN301" i="6"/>
  <c r="BO234" i="6"/>
  <c r="BO302" i="6"/>
  <c r="BQ231" i="6"/>
  <c r="BP298" i="6"/>
  <c r="BO298" i="6"/>
  <c r="BP231" i="6"/>
  <c r="BO231" i="6"/>
  <c r="BN298" i="6"/>
  <c r="BO300" i="6"/>
  <c r="BP233" i="6"/>
  <c r="BP232" i="6"/>
  <c r="BO299" i="6"/>
  <c r="BQ299" i="6"/>
  <c r="BR232" i="6"/>
  <c r="BR300" i="6"/>
  <c r="BQ232" i="6"/>
  <c r="BP299" i="6"/>
  <c r="BP301" i="6"/>
  <c r="BQ234" i="6"/>
  <c r="BQ302" i="6"/>
  <c r="BQ300" i="6"/>
  <c r="BR233" i="6"/>
  <c r="BR301" i="6"/>
  <c r="BP300" i="6"/>
  <c r="BQ233" i="6"/>
  <c r="BR234" i="6"/>
  <c r="BR302" i="6"/>
  <c r="BQ301" i="6"/>
  <c r="F307" i="6" a="1"/>
  <c r="I314" i="6"/>
  <c r="M428" i="6"/>
  <c r="I346" i="6"/>
  <c r="AS428" i="6"/>
  <c r="G369" i="6"/>
  <c r="BP418" i="6"/>
  <c r="G353" i="6"/>
  <c r="AZ418" i="6"/>
  <c r="G337" i="6"/>
  <c r="AJ418" i="6"/>
  <c r="G321" i="6"/>
  <c r="T418" i="6"/>
  <c r="F370" i="6"/>
  <c r="BQ408" i="6"/>
  <c r="I324" i="6"/>
  <c r="W428" i="6"/>
  <c r="I356" i="6"/>
  <c r="BC428" i="6"/>
  <c r="G362" i="6"/>
  <c r="BI418" i="6"/>
  <c r="G346" i="6"/>
  <c r="AS418" i="6"/>
  <c r="G330" i="6"/>
  <c r="AC418" i="6"/>
  <c r="G314" i="6"/>
  <c r="M418" i="6"/>
  <c r="F363" i="6"/>
  <c r="BJ408" i="6"/>
  <c r="F347" i="6"/>
  <c r="AT408" i="6"/>
  <c r="F331" i="6"/>
  <c r="AD408" i="6"/>
  <c r="F319" i="6"/>
  <c r="R408" i="6"/>
  <c r="AE367" i="6"/>
  <c r="BN468" i="6"/>
  <c r="AE351" i="6"/>
  <c r="AX468" i="6"/>
  <c r="F341" i="6"/>
  <c r="AN408" i="6"/>
  <c r="AE370" i="6"/>
  <c r="BQ468" i="6"/>
  <c r="AE343" i="6"/>
  <c r="AP468" i="6"/>
  <c r="AE327" i="6"/>
  <c r="Z468" i="6"/>
  <c r="AE311" i="6"/>
  <c r="J468" i="6"/>
  <c r="AC358" i="6"/>
  <c r="BE458" i="6"/>
  <c r="AC342" i="6"/>
  <c r="AO458" i="6"/>
  <c r="AC326" i="6"/>
  <c r="Y458" i="6"/>
  <c r="AC310" i="6"/>
  <c r="I458" i="6"/>
  <c r="AB359" i="6"/>
  <c r="BF448" i="6"/>
  <c r="AB343" i="6"/>
  <c r="AP448" i="6"/>
  <c r="AB327" i="6"/>
  <c r="Z448" i="6"/>
  <c r="AB311" i="6"/>
  <c r="J448" i="6"/>
  <c r="F329" i="6"/>
  <c r="AB408" i="6"/>
  <c r="AE333" i="6"/>
  <c r="AF468" i="6"/>
  <c r="AC368" i="6"/>
  <c r="BO458" i="6"/>
  <c r="AC336" i="6"/>
  <c r="AI458" i="6"/>
  <c r="AB366" i="6"/>
  <c r="BM448" i="6"/>
  <c r="AB334" i="6"/>
  <c r="AG448" i="6"/>
  <c r="H311" i="6"/>
  <c r="H327" i="6"/>
  <c r="H343" i="6"/>
  <c r="H359" i="6"/>
  <c r="J309" i="6"/>
  <c r="J325" i="6"/>
  <c r="J341" i="6"/>
  <c r="J357" i="6"/>
  <c r="K307" i="6"/>
  <c r="K323" i="6"/>
  <c r="K339" i="6"/>
  <c r="K355" i="6"/>
  <c r="K371" i="6"/>
  <c r="L321" i="6"/>
  <c r="L337" i="6"/>
  <c r="L353" i="6"/>
  <c r="L369" i="6"/>
  <c r="M319" i="6"/>
  <c r="M335" i="6"/>
  <c r="M351" i="6"/>
  <c r="M367" i="6"/>
  <c r="N317" i="6"/>
  <c r="N333" i="6"/>
  <c r="N349" i="6"/>
  <c r="N365" i="6"/>
  <c r="O315" i="6"/>
  <c r="N438" i="6"/>
  <c r="O331" i="6"/>
  <c r="AD438" i="6"/>
  <c r="O347" i="6"/>
  <c r="AT438" i="6"/>
  <c r="O363" i="6"/>
  <c r="BJ438" i="6"/>
  <c r="P313" i="6"/>
  <c r="P329" i="6"/>
  <c r="P345" i="6"/>
  <c r="P361" i="6"/>
  <c r="Q311" i="6"/>
  <c r="Q327" i="6"/>
  <c r="Q343" i="6"/>
  <c r="Q359" i="6"/>
  <c r="R309" i="6"/>
  <c r="R325" i="6"/>
  <c r="R341" i="6"/>
  <c r="R357" i="6"/>
  <c r="S307" i="6"/>
  <c r="S323" i="6"/>
  <c r="S339" i="6"/>
  <c r="S355" i="6"/>
  <c r="S371" i="6"/>
  <c r="T321" i="6"/>
  <c r="T337" i="6"/>
  <c r="T353" i="6"/>
  <c r="T369" i="6"/>
  <c r="U319" i="6"/>
  <c r="U335" i="6"/>
  <c r="U351" i="6"/>
  <c r="U367" i="6"/>
  <c r="V317" i="6"/>
  <c r="V333" i="6"/>
  <c r="V349" i="6"/>
  <c r="F326" i="6"/>
  <c r="Y408" i="6"/>
  <c r="AE334" i="6"/>
  <c r="AG468" i="6"/>
  <c r="AC364" i="6"/>
  <c r="BK458" i="6"/>
  <c r="AC332" i="6"/>
  <c r="AE458" i="6"/>
  <c r="AB365" i="6"/>
  <c r="BL448" i="6"/>
  <c r="AB333" i="6"/>
  <c r="AF448" i="6"/>
  <c r="H312" i="6"/>
  <c r="H328" i="6"/>
  <c r="H344" i="6"/>
  <c r="H360" i="6"/>
  <c r="J312" i="6"/>
  <c r="J328" i="6"/>
  <c r="J344" i="6"/>
  <c r="J360" i="6"/>
  <c r="K312" i="6"/>
  <c r="K328" i="6"/>
  <c r="K344" i="6"/>
  <c r="K360" i="6"/>
  <c r="L312" i="6"/>
  <c r="L328" i="6"/>
  <c r="L344" i="6"/>
  <c r="L360" i="6"/>
  <c r="M312" i="6"/>
  <c r="M328" i="6"/>
  <c r="M344" i="6"/>
  <c r="M360" i="6"/>
  <c r="N312" i="6"/>
  <c r="N328" i="6"/>
  <c r="N344" i="6"/>
  <c r="N360" i="6"/>
  <c r="O312" i="6"/>
  <c r="K438" i="6"/>
  <c r="O328" i="6"/>
  <c r="AA438" i="6"/>
  <c r="O344" i="6"/>
  <c r="AQ438" i="6"/>
  <c r="O360" i="6"/>
  <c r="BG438" i="6"/>
  <c r="P312" i="6"/>
  <c r="P328" i="6"/>
  <c r="P344" i="6"/>
  <c r="P360" i="6"/>
  <c r="Q312" i="6"/>
  <c r="Q328" i="6"/>
  <c r="Q344" i="6"/>
  <c r="Q360" i="6"/>
  <c r="R312" i="6"/>
  <c r="R328" i="6"/>
  <c r="R344" i="6"/>
  <c r="R360" i="6"/>
  <c r="S312" i="6"/>
  <c r="S328" i="6"/>
  <c r="S344" i="6"/>
  <c r="S360" i="6"/>
  <c r="T312" i="6"/>
  <c r="T328" i="6"/>
  <c r="T344" i="6"/>
  <c r="T360" i="6"/>
  <c r="U312" i="6"/>
  <c r="U328" i="6"/>
  <c r="U344" i="6"/>
  <c r="U360" i="6"/>
  <c r="V312" i="6"/>
  <c r="V328" i="6"/>
  <c r="V344" i="6"/>
  <c r="V360" i="6"/>
  <c r="W312" i="6"/>
  <c r="W328" i="6"/>
  <c r="W344" i="6"/>
  <c r="W360" i="6"/>
  <c r="X312" i="6"/>
  <c r="X328" i="6"/>
  <c r="X344" i="6"/>
  <c r="X360" i="6"/>
  <c r="Y312" i="6"/>
  <c r="Y328" i="6"/>
  <c r="Y344" i="6"/>
  <c r="Y360" i="6"/>
  <c r="Z312" i="6"/>
  <c r="Z328" i="6"/>
  <c r="I322" i="6"/>
  <c r="U428" i="6"/>
  <c r="I354" i="6"/>
  <c r="BA428" i="6"/>
  <c r="G365" i="6"/>
  <c r="BL418" i="6"/>
  <c r="G349" i="6"/>
  <c r="AV418" i="6"/>
  <c r="G333" i="6"/>
  <c r="AF418" i="6"/>
  <c r="G317" i="6"/>
  <c r="P418" i="6"/>
  <c r="F366" i="6"/>
  <c r="BM408" i="6"/>
  <c r="I332" i="6"/>
  <c r="AE428" i="6"/>
  <c r="I364" i="6"/>
  <c r="BK428" i="6"/>
  <c r="G358" i="6"/>
  <c r="BE418" i="6"/>
  <c r="G342" i="6"/>
  <c r="AO418" i="6"/>
  <c r="G326" i="6"/>
  <c r="Y418" i="6"/>
  <c r="G310" i="6"/>
  <c r="I418" i="6"/>
  <c r="F359" i="6"/>
  <c r="BF408" i="6"/>
  <c r="F343" i="6"/>
  <c r="AP408" i="6"/>
  <c r="F327" i="6"/>
  <c r="Z408" i="6"/>
  <c r="F315" i="6"/>
  <c r="N408" i="6"/>
  <c r="AE363" i="6"/>
  <c r="BJ468" i="6"/>
  <c r="AE347" i="6"/>
  <c r="AT468" i="6"/>
  <c r="F333" i="6"/>
  <c r="AF408" i="6"/>
  <c r="AE362" i="6"/>
  <c r="BI468" i="6"/>
  <c r="AE339" i="6"/>
  <c r="AL468" i="6"/>
  <c r="AE323" i="6"/>
  <c r="V468" i="6"/>
  <c r="AC370" i="6"/>
  <c r="BQ458" i="6"/>
  <c r="AC354" i="6"/>
  <c r="BA458" i="6"/>
  <c r="AC338" i="6"/>
  <c r="AK458" i="6"/>
  <c r="AC322" i="6"/>
  <c r="U458" i="6"/>
  <c r="AB371" i="6"/>
  <c r="BR448" i="6"/>
  <c r="AB355" i="6"/>
  <c r="BB448" i="6"/>
  <c r="AB339" i="6"/>
  <c r="AL448" i="6"/>
  <c r="AB323" i="6"/>
  <c r="V448" i="6"/>
  <c r="AB309" i="6"/>
  <c r="H448" i="6"/>
  <c r="F309" i="6"/>
  <c r="H408" i="6"/>
  <c r="AE325" i="6"/>
  <c r="X468" i="6"/>
  <c r="AC360" i="6"/>
  <c r="BG458" i="6"/>
  <c r="AC328" i="6"/>
  <c r="AA458" i="6"/>
  <c r="AB358" i="6"/>
  <c r="BE448" i="6"/>
  <c r="AB326" i="6"/>
  <c r="Y448" i="6"/>
  <c r="H315" i="6"/>
  <c r="H331" i="6"/>
  <c r="H347" i="6"/>
  <c r="H363" i="6"/>
  <c r="J313" i="6"/>
  <c r="J329" i="6"/>
  <c r="J345" i="6"/>
  <c r="J361" i="6"/>
  <c r="K311" i="6"/>
  <c r="K327" i="6"/>
  <c r="K343" i="6"/>
  <c r="K359" i="6"/>
  <c r="L309" i="6"/>
  <c r="L325" i="6"/>
  <c r="L341" i="6"/>
  <c r="L357" i="6"/>
  <c r="M307" i="6"/>
  <c r="M323" i="6"/>
  <c r="M339" i="6"/>
  <c r="M355" i="6"/>
  <c r="M371" i="6"/>
  <c r="N321" i="6"/>
  <c r="N337" i="6"/>
  <c r="N353" i="6"/>
  <c r="N369" i="6"/>
  <c r="O319" i="6"/>
  <c r="R438" i="6"/>
  <c r="O335" i="6"/>
  <c r="AH438" i="6"/>
  <c r="O351" i="6"/>
  <c r="AX438" i="6"/>
  <c r="O367" i="6"/>
  <c r="BN438" i="6"/>
  <c r="P317" i="6"/>
  <c r="P333" i="6"/>
  <c r="P349" i="6"/>
  <c r="P365" i="6"/>
  <c r="Q315" i="6"/>
  <c r="Q331" i="6"/>
  <c r="Q347" i="6"/>
  <c r="Q363" i="6"/>
  <c r="R313" i="6"/>
  <c r="R329" i="6"/>
  <c r="R345" i="6"/>
  <c r="R361" i="6"/>
  <c r="S311" i="6"/>
  <c r="S327" i="6"/>
  <c r="S343" i="6"/>
  <c r="S359" i="6"/>
  <c r="T309" i="6"/>
  <c r="T325" i="6"/>
  <c r="T341" i="6"/>
  <c r="T357" i="6"/>
  <c r="U307" i="6"/>
  <c r="U323" i="6"/>
  <c r="U339" i="6"/>
  <c r="U355" i="6"/>
  <c r="U371" i="6"/>
  <c r="V321" i="6"/>
  <c r="V337" i="6"/>
  <c r="V353" i="6"/>
  <c r="AE366" i="6"/>
  <c r="BM468" i="6"/>
  <c r="AE326" i="6"/>
  <c r="Y468" i="6"/>
  <c r="AC356" i="6"/>
  <c r="BC458" i="6"/>
  <c r="AC324" i="6"/>
  <c r="W458" i="6"/>
  <c r="AB357" i="6"/>
  <c r="BD448" i="6"/>
  <c r="AB325" i="6"/>
  <c r="X448" i="6"/>
  <c r="H316" i="6"/>
  <c r="H332" i="6"/>
  <c r="H348" i="6"/>
  <c r="H364" i="6"/>
  <c r="J316" i="6"/>
  <c r="J332" i="6"/>
  <c r="J348" i="6"/>
  <c r="J364" i="6"/>
  <c r="K316" i="6"/>
  <c r="K332" i="6"/>
  <c r="K348" i="6"/>
  <c r="K364" i="6"/>
  <c r="L316" i="6"/>
  <c r="L332" i="6"/>
  <c r="L348" i="6"/>
  <c r="L364" i="6"/>
  <c r="M316" i="6"/>
  <c r="M332" i="6"/>
  <c r="M348" i="6"/>
  <c r="M364" i="6"/>
  <c r="N316" i="6"/>
  <c r="N332" i="6"/>
  <c r="N348" i="6"/>
  <c r="N364" i="6"/>
  <c r="O316" i="6"/>
  <c r="O332" i="6"/>
  <c r="AE438" i="6"/>
  <c r="O348" i="6"/>
  <c r="AU438" i="6"/>
  <c r="O364" i="6"/>
  <c r="BK438" i="6"/>
  <c r="P316" i="6"/>
  <c r="P332" i="6"/>
  <c r="P348" i="6"/>
  <c r="P364" i="6"/>
  <c r="Q316" i="6"/>
  <c r="Q332" i="6"/>
  <c r="Q348" i="6"/>
  <c r="Q364" i="6"/>
  <c r="R316" i="6"/>
  <c r="R332" i="6"/>
  <c r="R348" i="6"/>
  <c r="R364" i="6"/>
  <c r="S316" i="6"/>
  <c r="S332" i="6"/>
  <c r="S348" i="6"/>
  <c r="S364" i="6"/>
  <c r="T316" i="6"/>
  <c r="T332" i="6"/>
  <c r="T348" i="6"/>
  <c r="T364" i="6"/>
  <c r="U316" i="6"/>
  <c r="U332" i="6"/>
  <c r="U348" i="6"/>
  <c r="U364" i="6"/>
  <c r="V316" i="6"/>
  <c r="V332" i="6"/>
  <c r="V348" i="6"/>
  <c r="V364" i="6"/>
  <c r="W316" i="6"/>
  <c r="W332" i="6"/>
  <c r="W348" i="6"/>
  <c r="W364" i="6"/>
  <c r="X316" i="6"/>
  <c r="X332" i="6"/>
  <c r="X348" i="6"/>
  <c r="X364" i="6"/>
  <c r="Y316" i="6"/>
  <c r="Y332" i="6"/>
  <c r="Y348" i="6"/>
  <c r="Y364" i="6"/>
  <c r="Z316" i="6"/>
  <c r="I338" i="6"/>
  <c r="AK428" i="6"/>
  <c r="G357" i="6"/>
  <c r="BD418" i="6"/>
  <c r="G325" i="6"/>
  <c r="X418" i="6"/>
  <c r="I316" i="6"/>
  <c r="O428" i="6"/>
  <c r="G366" i="6"/>
  <c r="BM418" i="6"/>
  <c r="G334" i="6"/>
  <c r="AG418" i="6"/>
  <c r="F367" i="6"/>
  <c r="BN408" i="6"/>
  <c r="F335" i="6"/>
  <c r="AH408" i="6"/>
  <c r="AE371" i="6"/>
  <c r="BR468" i="6"/>
  <c r="F349" i="6"/>
  <c r="AV408" i="6"/>
  <c r="AE346" i="6"/>
  <c r="AS468" i="6"/>
  <c r="AE315" i="6"/>
  <c r="N468" i="6"/>
  <c r="AC346" i="6"/>
  <c r="AS458" i="6"/>
  <c r="AC314" i="6"/>
  <c r="M458" i="6"/>
  <c r="AB347" i="6"/>
  <c r="AT448" i="6"/>
  <c r="AB315" i="6"/>
  <c r="N448" i="6"/>
  <c r="AE341" i="6"/>
  <c r="AN468" i="6"/>
  <c r="AC344" i="6"/>
  <c r="AQ458" i="6"/>
  <c r="AB342" i="6"/>
  <c r="AO448" i="6"/>
  <c r="H323" i="6"/>
  <c r="H355" i="6"/>
  <c r="J321" i="6"/>
  <c r="J353" i="6"/>
  <c r="K319" i="6"/>
  <c r="K351" i="6"/>
  <c r="L317" i="6"/>
  <c r="L349" i="6"/>
  <c r="M315" i="6"/>
  <c r="M347" i="6"/>
  <c r="N313" i="6"/>
  <c r="N345" i="6"/>
  <c r="O311" i="6"/>
  <c r="J438" i="6"/>
  <c r="O343" i="6"/>
  <c r="AP438" i="6"/>
  <c r="P309" i="6"/>
  <c r="P341" i="6"/>
  <c r="Q307" i="6"/>
  <c r="Q339" i="6"/>
  <c r="Q371" i="6"/>
  <c r="R337" i="6"/>
  <c r="R369" i="6"/>
  <c r="S335" i="6"/>
  <c r="S367" i="6"/>
  <c r="T333" i="6"/>
  <c r="T365" i="6"/>
  <c r="U331" i="6"/>
  <c r="U363" i="6"/>
  <c r="V329" i="6"/>
  <c r="F342" i="6"/>
  <c r="AO408" i="6"/>
  <c r="AE310" i="6"/>
  <c r="I468" i="6"/>
  <c r="AC308" i="6"/>
  <c r="G458" i="6"/>
  <c r="H308" i="6"/>
  <c r="H340" i="6"/>
  <c r="J308" i="6"/>
  <c r="J340" i="6"/>
  <c r="K308" i="6"/>
  <c r="K340" i="6"/>
  <c r="L308" i="6"/>
  <c r="L340" i="6"/>
  <c r="M308" i="6"/>
  <c r="M340" i="6"/>
  <c r="N308" i="6"/>
  <c r="N340" i="6"/>
  <c r="O308" i="6"/>
  <c r="G438" i="6"/>
  <c r="O340" i="6"/>
  <c r="AM438" i="6"/>
  <c r="P308" i="6"/>
  <c r="P340" i="6"/>
  <c r="Q308" i="6"/>
  <c r="Q340" i="6"/>
  <c r="R308" i="6"/>
  <c r="R340" i="6"/>
  <c r="S308" i="6"/>
  <c r="S340" i="6"/>
  <c r="T308" i="6"/>
  <c r="T340" i="6"/>
  <c r="U308" i="6"/>
  <c r="U340" i="6"/>
  <c r="V308" i="6"/>
  <c r="V340" i="6"/>
  <c r="W308" i="6"/>
  <c r="W340" i="6"/>
  <c r="X308" i="6"/>
  <c r="X340" i="6"/>
  <c r="Y308" i="6"/>
  <c r="Y340" i="6"/>
  <c r="Z308" i="6"/>
  <c r="Z336" i="6"/>
  <c r="Z352" i="6"/>
  <c r="Z368" i="6"/>
  <c r="AA320" i="6"/>
  <c r="AA336" i="6"/>
  <c r="AA352" i="6"/>
  <c r="AA368" i="6"/>
  <c r="AD320" i="6"/>
  <c r="AD336" i="6"/>
  <c r="AD352" i="6"/>
  <c r="AD368" i="6"/>
  <c r="AF320" i="6"/>
  <c r="AF336" i="6"/>
  <c r="AF352" i="6"/>
  <c r="AF368" i="6"/>
  <c r="AG320" i="6"/>
  <c r="AG336" i="6"/>
  <c r="AG352" i="6"/>
  <c r="AG368" i="6"/>
  <c r="AH320" i="6"/>
  <c r="S478" i="6"/>
  <c r="AH336" i="6"/>
  <c r="AI478" i="6"/>
  <c r="AH352" i="6"/>
  <c r="AY478" i="6"/>
  <c r="AH368" i="6"/>
  <c r="BO478" i="6"/>
  <c r="AI320" i="6"/>
  <c r="S488" i="6"/>
  <c r="AI336" i="6"/>
  <c r="AI352" i="6"/>
  <c r="AY488" i="6"/>
  <c r="AI368" i="6"/>
  <c r="BO488" i="6"/>
  <c r="AJ320" i="6"/>
  <c r="S498" i="6"/>
  <c r="AJ336" i="6"/>
  <c r="AI498" i="6"/>
  <c r="AJ352" i="6"/>
  <c r="AY498" i="6"/>
  <c r="AJ368" i="6"/>
  <c r="BO498" i="6"/>
  <c r="AK320" i="6"/>
  <c r="S508" i="6"/>
  <c r="AK336" i="6"/>
  <c r="AI508" i="6"/>
  <c r="AK352" i="6"/>
  <c r="AY508" i="6"/>
  <c r="AK368" i="6"/>
  <c r="BO508" i="6"/>
  <c r="AL320" i="6"/>
  <c r="S518" i="6"/>
  <c r="AL336" i="6"/>
  <c r="AI518" i="6"/>
  <c r="AL352" i="6"/>
  <c r="AY518" i="6"/>
  <c r="AL368" i="6"/>
  <c r="BO518" i="6"/>
  <c r="AM320" i="6"/>
  <c r="AM336" i="6"/>
  <c r="AM352" i="6"/>
  <c r="AM368" i="6"/>
  <c r="AN320" i="6"/>
  <c r="AN336" i="6"/>
  <c r="AN352" i="6"/>
  <c r="AN368" i="6"/>
  <c r="AO320" i="6"/>
  <c r="AO336" i="6"/>
  <c r="AO352" i="6"/>
  <c r="AO368" i="6"/>
  <c r="AP320" i="6"/>
  <c r="AP336" i="6"/>
  <c r="AP352" i="6"/>
  <c r="AP368" i="6"/>
  <c r="AQ320" i="6"/>
  <c r="AQ336" i="6"/>
  <c r="AQ352" i="6"/>
  <c r="AQ368" i="6"/>
  <c r="AR320" i="6"/>
  <c r="AR336" i="6"/>
  <c r="AR352" i="6"/>
  <c r="AR368" i="6"/>
  <c r="AS320" i="6"/>
  <c r="AS336" i="6"/>
  <c r="AS352" i="6"/>
  <c r="AS368" i="6"/>
  <c r="AT320" i="6"/>
  <c r="AT336" i="6"/>
  <c r="AT352" i="6"/>
  <c r="AT368" i="6"/>
  <c r="AU320" i="6"/>
  <c r="AU336" i="6"/>
  <c r="AU352" i="6"/>
  <c r="AU368" i="6"/>
  <c r="AV320" i="6"/>
  <c r="AV336" i="6"/>
  <c r="AV352" i="6"/>
  <c r="AV368" i="6"/>
  <c r="AW320" i="6"/>
  <c r="AW336" i="6"/>
  <c r="AW352" i="6"/>
  <c r="AW368" i="6"/>
  <c r="AX320" i="6"/>
  <c r="AX336" i="6"/>
  <c r="AX352" i="6"/>
  <c r="AX368" i="6"/>
  <c r="AY320" i="6"/>
  <c r="AY336" i="6"/>
  <c r="AY352" i="6"/>
  <c r="AY368" i="6"/>
  <c r="AZ320" i="6"/>
  <c r="AZ336" i="6"/>
  <c r="AZ352" i="6"/>
  <c r="AZ368" i="6"/>
  <c r="BA320" i="6"/>
  <c r="BA336" i="6"/>
  <c r="BA352" i="6"/>
  <c r="BA368" i="6"/>
  <c r="BB320" i="6"/>
  <c r="BB336" i="6"/>
  <c r="BB352" i="6"/>
  <c r="BB368" i="6"/>
  <c r="BC320" i="6"/>
  <c r="BC336" i="6"/>
  <c r="BC352" i="6"/>
  <c r="BC368" i="6"/>
  <c r="BD320" i="6"/>
  <c r="BD336" i="6"/>
  <c r="BD352" i="6"/>
  <c r="BD368" i="6"/>
  <c r="BE320" i="6"/>
  <c r="BE336" i="6"/>
  <c r="BE352" i="6"/>
  <c r="BE368" i="6"/>
  <c r="BF320" i="6"/>
  <c r="BF336" i="6"/>
  <c r="BF352" i="6"/>
  <c r="BF368" i="6"/>
  <c r="BG320" i="6"/>
  <c r="BG336" i="6"/>
  <c r="BG352" i="6"/>
  <c r="BG368" i="6"/>
  <c r="BH320" i="6"/>
  <c r="S528" i="6"/>
  <c r="BH336" i="6"/>
  <c r="AI528" i="6"/>
  <c r="BH352" i="6"/>
  <c r="AY528" i="6"/>
  <c r="BH368" i="6"/>
  <c r="BO528" i="6"/>
  <c r="BI320" i="6"/>
  <c r="BI336" i="6"/>
  <c r="BI352" i="6"/>
  <c r="BI368" i="6"/>
  <c r="BJ320" i="6"/>
  <c r="BJ336" i="6"/>
  <c r="BJ352" i="6"/>
  <c r="BJ368" i="6"/>
  <c r="BK320" i="6"/>
  <c r="BK336" i="6"/>
  <c r="BK352" i="6"/>
  <c r="BK368" i="6"/>
  <c r="BL320" i="6"/>
  <c r="BL336" i="6"/>
  <c r="BL352" i="6"/>
  <c r="BL368" i="6"/>
  <c r="BM320" i="6"/>
  <c r="BM336" i="6"/>
  <c r="BM352" i="6"/>
  <c r="BM368" i="6"/>
  <c r="BN320" i="6"/>
  <c r="BN336" i="6"/>
  <c r="BN352" i="6"/>
  <c r="BN368" i="6"/>
  <c r="V369" i="6"/>
  <c r="W319" i="6"/>
  <c r="W335" i="6"/>
  <c r="W351" i="6"/>
  <c r="W367" i="6"/>
  <c r="X317" i="6"/>
  <c r="X333" i="6"/>
  <c r="X349" i="6"/>
  <c r="X365" i="6"/>
  <c r="Y315" i="6"/>
  <c r="Y331" i="6"/>
  <c r="Y347" i="6"/>
  <c r="Y363" i="6"/>
  <c r="Z313" i="6"/>
  <c r="Z329" i="6"/>
  <c r="I334" i="6"/>
  <c r="AG428" i="6"/>
  <c r="G359" i="6"/>
  <c r="BF418" i="6"/>
  <c r="G327" i="6"/>
  <c r="Z418" i="6"/>
  <c r="I312" i="6"/>
  <c r="K428" i="6"/>
  <c r="G368" i="6"/>
  <c r="BO418" i="6"/>
  <c r="G336" i="6"/>
  <c r="AI418" i="6"/>
  <c r="F368" i="6"/>
  <c r="BO408" i="6"/>
  <c r="F336" i="6"/>
  <c r="AI408" i="6"/>
  <c r="F308" i="6"/>
  <c r="G408" i="6"/>
  <c r="F354" i="6"/>
  <c r="BA408" i="6"/>
  <c r="AE349" i="6"/>
  <c r="AV468" i="6"/>
  <c r="AE316" i="6"/>
  <c r="O468" i="6"/>
  <c r="AC349" i="6"/>
  <c r="AV458" i="6"/>
  <c r="AC317" i="6"/>
  <c r="P458" i="6"/>
  <c r="AB348" i="6"/>
  <c r="AU448" i="6"/>
  <c r="AB316" i="6"/>
  <c r="O448" i="6"/>
  <c r="AE353" i="6"/>
  <c r="AZ468" i="6"/>
  <c r="AC347" i="6"/>
  <c r="AT458" i="6"/>
  <c r="AB345" i="6"/>
  <c r="AR448" i="6"/>
  <c r="H321" i="6"/>
  <c r="H353" i="6"/>
  <c r="J319" i="6"/>
  <c r="J351" i="6"/>
  <c r="K317" i="6"/>
  <c r="K349" i="6"/>
  <c r="L315" i="6"/>
  <c r="L347" i="6"/>
  <c r="M313" i="6"/>
  <c r="M345" i="6"/>
  <c r="N311" i="6"/>
  <c r="N343" i="6"/>
  <c r="O309" i="6"/>
  <c r="H438" i="6"/>
  <c r="O341" i="6"/>
  <c r="AN438" i="6"/>
  <c r="P307" i="6"/>
  <c r="P339" i="6"/>
  <c r="P371" i="6"/>
  <c r="Q337" i="6"/>
  <c r="Q369" i="6"/>
  <c r="R335" i="6"/>
  <c r="R367" i="6"/>
  <c r="S333" i="6"/>
  <c r="S365" i="6"/>
  <c r="T331" i="6"/>
  <c r="T363" i="6"/>
  <c r="U329" i="6"/>
  <c r="U361" i="6"/>
  <c r="V327" i="6"/>
  <c r="F353" i="6"/>
  <c r="AZ408" i="6"/>
  <c r="AE313" i="6"/>
  <c r="L468" i="6"/>
  <c r="AC311" i="6"/>
  <c r="J458" i="6"/>
  <c r="AB314" i="6"/>
  <c r="M448" i="6"/>
  <c r="H338" i="6"/>
  <c r="H370" i="6"/>
  <c r="J338" i="6"/>
  <c r="J370" i="6"/>
  <c r="K338" i="6"/>
  <c r="K370" i="6"/>
  <c r="L338" i="6"/>
  <c r="L370" i="6"/>
  <c r="M338" i="6"/>
  <c r="M370" i="6"/>
  <c r="N338" i="6"/>
  <c r="N370" i="6"/>
  <c r="O338" i="6"/>
  <c r="AK438" i="6"/>
  <c r="O370" i="6"/>
  <c r="BQ438" i="6"/>
  <c r="P338" i="6"/>
  <c r="P370" i="6"/>
  <c r="Q338" i="6"/>
  <c r="Q370" i="6"/>
  <c r="R338" i="6"/>
  <c r="R370" i="6"/>
  <c r="S338" i="6"/>
  <c r="S370" i="6"/>
  <c r="T338" i="6"/>
  <c r="T370" i="6"/>
  <c r="U338" i="6"/>
  <c r="U370" i="6"/>
  <c r="V338" i="6"/>
  <c r="V370" i="6"/>
  <c r="W338" i="6"/>
  <c r="W370" i="6"/>
  <c r="X338" i="6"/>
  <c r="X370" i="6"/>
  <c r="Y338" i="6"/>
  <c r="Y370" i="6"/>
  <c r="Z338" i="6"/>
  <c r="Z370" i="6"/>
  <c r="AA338" i="6"/>
  <c r="AA370" i="6"/>
  <c r="AD338" i="6"/>
  <c r="I362" i="6"/>
  <c r="BI428" i="6"/>
  <c r="G345" i="6"/>
  <c r="AR418" i="6"/>
  <c r="G313" i="6"/>
  <c r="L418" i="6"/>
  <c r="I340" i="6"/>
  <c r="AM428" i="6"/>
  <c r="G354" i="6"/>
  <c r="BA418" i="6"/>
  <c r="G322" i="6"/>
  <c r="U418" i="6"/>
  <c r="F355" i="6"/>
  <c r="BB408" i="6"/>
  <c r="F323" i="6"/>
  <c r="V408" i="6"/>
  <c r="AE359" i="6"/>
  <c r="BF468" i="6"/>
  <c r="F325" i="6"/>
  <c r="X408" i="6"/>
  <c r="AE335" i="6"/>
  <c r="AH468" i="6"/>
  <c r="AC366" i="6"/>
  <c r="BM458" i="6"/>
  <c r="AC334" i="6"/>
  <c r="AG458" i="6"/>
  <c r="AB367" i="6"/>
  <c r="BN448" i="6"/>
  <c r="AB335" i="6"/>
  <c r="AH448" i="6"/>
  <c r="F361" i="6"/>
  <c r="BH408" i="6"/>
  <c r="AE317" i="6"/>
  <c r="P468" i="6"/>
  <c r="AC320" i="6"/>
  <c r="S458" i="6"/>
  <c r="AB318" i="6"/>
  <c r="Q448" i="6"/>
  <c r="H335" i="6"/>
  <c r="H367" i="6"/>
  <c r="J333" i="6"/>
  <c r="J365" i="6"/>
  <c r="K331" i="6"/>
  <c r="K363" i="6"/>
  <c r="L329" i="6"/>
  <c r="L361" i="6"/>
  <c r="M327" i="6"/>
  <c r="M359" i="6"/>
  <c r="N325" i="6"/>
  <c r="N357" i="6"/>
  <c r="O323" i="6"/>
  <c r="V438" i="6"/>
  <c r="O355" i="6"/>
  <c r="BB438" i="6"/>
  <c r="P321" i="6"/>
  <c r="P353" i="6"/>
  <c r="Q319" i="6"/>
  <c r="Q351" i="6"/>
  <c r="R317" i="6"/>
  <c r="R349" i="6"/>
  <c r="S315" i="6"/>
  <c r="S347" i="6"/>
  <c r="T313" i="6"/>
  <c r="T345" i="6"/>
  <c r="U311" i="6"/>
  <c r="U343" i="6"/>
  <c r="V309" i="6"/>
  <c r="V341" i="6"/>
  <c r="AE350" i="6"/>
  <c r="AW468" i="6"/>
  <c r="AC348" i="6"/>
  <c r="AU458" i="6"/>
  <c r="AB349" i="6"/>
  <c r="AV448" i="6"/>
  <c r="H320" i="6"/>
  <c r="H352" i="6"/>
  <c r="J320" i="6"/>
  <c r="J352" i="6"/>
  <c r="K320" i="6"/>
  <c r="K352" i="6"/>
  <c r="L320" i="6"/>
  <c r="L352" i="6"/>
  <c r="M320" i="6"/>
  <c r="M352" i="6"/>
  <c r="N320" i="6"/>
  <c r="N352" i="6"/>
  <c r="O320" i="6"/>
  <c r="S438" i="6"/>
  <c r="O352" i="6"/>
  <c r="AY438" i="6"/>
  <c r="P320" i="6"/>
  <c r="P352" i="6"/>
  <c r="Q320" i="6"/>
  <c r="Q352" i="6"/>
  <c r="R320" i="6"/>
  <c r="R352" i="6"/>
  <c r="S320" i="6"/>
  <c r="S352" i="6"/>
  <c r="T320" i="6"/>
  <c r="T352" i="6"/>
  <c r="U320" i="6"/>
  <c r="U352" i="6"/>
  <c r="V320" i="6"/>
  <c r="V352" i="6"/>
  <c r="W320" i="6"/>
  <c r="W352" i="6"/>
  <c r="X320" i="6"/>
  <c r="X352" i="6"/>
  <c r="Y320" i="6"/>
  <c r="Y352" i="6"/>
  <c r="Z320" i="6"/>
  <c r="Z340" i="6"/>
  <c r="Z356" i="6"/>
  <c r="AA308" i="6"/>
  <c r="AA324" i="6"/>
  <c r="AA340" i="6"/>
  <c r="AA356" i="6"/>
  <c r="AD308" i="6"/>
  <c r="AD324" i="6"/>
  <c r="AD340" i="6"/>
  <c r="AD356" i="6"/>
  <c r="AF308" i="6"/>
  <c r="AF324" i="6"/>
  <c r="AF340" i="6"/>
  <c r="AF356" i="6"/>
  <c r="AG308" i="6"/>
  <c r="AG324" i="6"/>
  <c r="AG340" i="6"/>
  <c r="AG356" i="6"/>
  <c r="AH308" i="6"/>
  <c r="G478" i="6"/>
  <c r="AH324" i="6"/>
  <c r="W478" i="6"/>
  <c r="AH340" i="6"/>
  <c r="AM478" i="6"/>
  <c r="AH356" i="6"/>
  <c r="BC478" i="6"/>
  <c r="AI308" i="6"/>
  <c r="G488" i="6"/>
  <c r="AI324" i="6"/>
  <c r="W488" i="6"/>
  <c r="AI340" i="6"/>
  <c r="AM488" i="6"/>
  <c r="AI356" i="6"/>
  <c r="BC488" i="6"/>
  <c r="AJ308" i="6"/>
  <c r="G498" i="6"/>
  <c r="AJ324" i="6"/>
  <c r="W498" i="6"/>
  <c r="AJ340" i="6"/>
  <c r="AM498" i="6"/>
  <c r="AJ356" i="6"/>
  <c r="BC498" i="6"/>
  <c r="AK308" i="6"/>
  <c r="G508" i="6"/>
  <c r="AK324" i="6"/>
  <c r="W508" i="6"/>
  <c r="AK340" i="6"/>
  <c r="AM508" i="6"/>
  <c r="AK356" i="6"/>
  <c r="BC508" i="6"/>
  <c r="AL308" i="6"/>
  <c r="G518" i="6"/>
  <c r="AL324" i="6"/>
  <c r="W518" i="6"/>
  <c r="AL340" i="6"/>
  <c r="AM518" i="6"/>
  <c r="AL356" i="6"/>
  <c r="BC518" i="6"/>
  <c r="AM308" i="6"/>
  <c r="AM324" i="6"/>
  <c r="AM340" i="6"/>
  <c r="AM356" i="6"/>
  <c r="AN308" i="6"/>
  <c r="AN324" i="6"/>
  <c r="AN340" i="6"/>
  <c r="AN356" i="6"/>
  <c r="AO308" i="6"/>
  <c r="AO324" i="6"/>
  <c r="AO340" i="6"/>
  <c r="AO356" i="6"/>
  <c r="AP308" i="6"/>
  <c r="AP324" i="6"/>
  <c r="AP340" i="6"/>
  <c r="AP356" i="6"/>
  <c r="AQ308" i="6"/>
  <c r="AQ324" i="6"/>
  <c r="AQ340" i="6"/>
  <c r="AQ356" i="6"/>
  <c r="AR308" i="6"/>
  <c r="AR324" i="6"/>
  <c r="AR340" i="6"/>
  <c r="AR356" i="6"/>
  <c r="AS308" i="6"/>
  <c r="AS324" i="6"/>
  <c r="AS340" i="6"/>
  <c r="AS356" i="6"/>
  <c r="AT308" i="6"/>
  <c r="AT324" i="6"/>
  <c r="AT340" i="6"/>
  <c r="AT356" i="6"/>
  <c r="AU308" i="6"/>
  <c r="AU324" i="6"/>
  <c r="AU340" i="6"/>
  <c r="AU356" i="6"/>
  <c r="AV308" i="6"/>
  <c r="AV324" i="6"/>
  <c r="AV340" i="6"/>
  <c r="AV356" i="6"/>
  <c r="AW308" i="6"/>
  <c r="AW324" i="6"/>
  <c r="AW340" i="6"/>
  <c r="AW356" i="6"/>
  <c r="AX308" i="6"/>
  <c r="AX324" i="6"/>
  <c r="AX340" i="6"/>
  <c r="AX356" i="6"/>
  <c r="AY308" i="6"/>
  <c r="AY324" i="6"/>
  <c r="AY340" i="6"/>
  <c r="AY356" i="6"/>
  <c r="AZ308" i="6"/>
  <c r="AZ324" i="6"/>
  <c r="AZ340" i="6"/>
  <c r="AZ356" i="6"/>
  <c r="BA308" i="6"/>
  <c r="BA324" i="6"/>
  <c r="BA340" i="6"/>
  <c r="BA356" i="6"/>
  <c r="BB308" i="6"/>
  <c r="BB324" i="6"/>
  <c r="BB340" i="6"/>
  <c r="BB356" i="6"/>
  <c r="BC308" i="6"/>
  <c r="BC324" i="6"/>
  <c r="BC340" i="6"/>
  <c r="BC356" i="6"/>
  <c r="BD308" i="6"/>
  <c r="BD324" i="6"/>
  <c r="BD340" i="6"/>
  <c r="BD356" i="6"/>
  <c r="BE308" i="6"/>
  <c r="BE324" i="6"/>
  <c r="BE340" i="6"/>
  <c r="BE356" i="6"/>
  <c r="BF308" i="6"/>
  <c r="BF324" i="6"/>
  <c r="BF340" i="6"/>
  <c r="BF356" i="6"/>
  <c r="BG308" i="6"/>
  <c r="BG324" i="6"/>
  <c r="BG340" i="6"/>
  <c r="BG356" i="6"/>
  <c r="BH308" i="6"/>
  <c r="G528" i="6"/>
  <c r="BH324" i="6"/>
  <c r="W528" i="6"/>
  <c r="BH340" i="6"/>
  <c r="AM528" i="6"/>
  <c r="BH356" i="6"/>
  <c r="BC528" i="6"/>
  <c r="BI308" i="6"/>
  <c r="BI324" i="6"/>
  <c r="BI340" i="6"/>
  <c r="BI356" i="6"/>
  <c r="BJ308" i="6"/>
  <c r="BJ324" i="6"/>
  <c r="BJ340" i="6"/>
  <c r="BJ356" i="6"/>
  <c r="BK308" i="6"/>
  <c r="BK324" i="6"/>
  <c r="BK340" i="6"/>
  <c r="BK356" i="6"/>
  <c r="BL308" i="6"/>
  <c r="BL324" i="6"/>
  <c r="BL340" i="6"/>
  <c r="BL356" i="6"/>
  <c r="BM308" i="6"/>
  <c r="BM324" i="6"/>
  <c r="BM340" i="6"/>
  <c r="BM356" i="6"/>
  <c r="BN308" i="6"/>
  <c r="BN324" i="6"/>
  <c r="BN340" i="6"/>
  <c r="BN356" i="6"/>
  <c r="V357" i="6"/>
  <c r="W307" i="6"/>
  <c r="W323" i="6"/>
  <c r="W339" i="6"/>
  <c r="W355" i="6"/>
  <c r="W371" i="6"/>
  <c r="X321" i="6"/>
  <c r="X337" i="6"/>
  <c r="X353" i="6"/>
  <c r="X369" i="6"/>
  <c r="Y319" i="6"/>
  <c r="Y335" i="6"/>
  <c r="Y351" i="6"/>
  <c r="Y367" i="6"/>
  <c r="Z317" i="6"/>
  <c r="Z333" i="6"/>
  <c r="I350" i="6"/>
  <c r="AW428" i="6"/>
  <c r="G351" i="6"/>
  <c r="AX418" i="6"/>
  <c r="G319" i="6"/>
  <c r="R418" i="6"/>
  <c r="I328" i="6"/>
  <c r="AA428" i="6"/>
  <c r="G360" i="6"/>
  <c r="BG418" i="6"/>
  <c r="G328" i="6"/>
  <c r="AA418" i="6"/>
  <c r="F360" i="6"/>
  <c r="BG408" i="6"/>
  <c r="F328" i="6"/>
  <c r="AA408" i="6"/>
  <c r="AE364" i="6"/>
  <c r="BK468" i="6"/>
  <c r="F338" i="6"/>
  <c r="AK408" i="6"/>
  <c r="AE340" i="6"/>
  <c r="AM468" i="6"/>
  <c r="AE308" i="6"/>
  <c r="G468" i="6"/>
  <c r="AC341" i="6"/>
  <c r="AN458" i="6"/>
  <c r="AC309" i="6"/>
  <c r="H458" i="6"/>
  <c r="AB340" i="6"/>
  <c r="AM448" i="6"/>
  <c r="AB310" i="6"/>
  <c r="I448" i="6"/>
  <c r="AE330" i="6"/>
  <c r="AC468" i="6"/>
  <c r="AC331" i="6"/>
  <c r="AD458" i="6"/>
  <c r="AB329" i="6"/>
  <c r="H329" i="6"/>
  <c r="H361" i="6"/>
  <c r="J327" i="6"/>
  <c r="J359" i="6"/>
  <c r="K325" i="6"/>
  <c r="K357" i="6"/>
  <c r="L323" i="6"/>
  <c r="L355" i="6"/>
  <c r="M321" i="6"/>
  <c r="M353" i="6"/>
  <c r="N319" i="6"/>
  <c r="N351" i="6"/>
  <c r="O317" i="6"/>
  <c r="P438" i="6"/>
  <c r="O349" i="6"/>
  <c r="AV438" i="6"/>
  <c r="P315" i="6"/>
  <c r="P347" i="6"/>
  <c r="Q313" i="6"/>
  <c r="Q345" i="6"/>
  <c r="R311" i="6"/>
  <c r="R343" i="6"/>
  <c r="S309" i="6"/>
  <c r="S341" i="6"/>
  <c r="T307" i="6"/>
  <c r="T339" i="6"/>
  <c r="T371" i="6"/>
  <c r="U337" i="6"/>
  <c r="U369" i="6"/>
  <c r="V335" i="6"/>
  <c r="F317" i="6"/>
  <c r="P408" i="6"/>
  <c r="AC359" i="6"/>
  <c r="BF458" i="6"/>
  <c r="AB362" i="6"/>
  <c r="BI448" i="6"/>
  <c r="H314" i="6"/>
  <c r="H346" i="6"/>
  <c r="J314" i="6"/>
  <c r="J346" i="6"/>
  <c r="K314" i="6"/>
  <c r="K346" i="6"/>
  <c r="L314" i="6"/>
  <c r="L346" i="6"/>
  <c r="M314" i="6"/>
  <c r="M346" i="6"/>
  <c r="N314" i="6"/>
  <c r="N346" i="6"/>
  <c r="O314" i="6"/>
  <c r="M438" i="6"/>
  <c r="O346" i="6"/>
  <c r="AS438" i="6"/>
  <c r="P314" i="6"/>
  <c r="P346" i="6"/>
  <c r="Q314" i="6"/>
  <c r="Q346" i="6"/>
  <c r="R314" i="6"/>
  <c r="R346" i="6"/>
  <c r="S314" i="6"/>
  <c r="S346" i="6"/>
  <c r="T314" i="6"/>
  <c r="T346" i="6"/>
  <c r="U314" i="6"/>
  <c r="U346" i="6"/>
  <c r="V314" i="6"/>
  <c r="V346" i="6"/>
  <c r="W314" i="6"/>
  <c r="W346" i="6"/>
  <c r="X314" i="6"/>
  <c r="X346" i="6"/>
  <c r="Y314" i="6"/>
  <c r="Y346" i="6"/>
  <c r="Z314" i="6"/>
  <c r="Z346" i="6"/>
  <c r="AA314" i="6"/>
  <c r="AA346" i="6"/>
  <c r="AD314" i="6"/>
  <c r="AD346" i="6"/>
  <c r="I330" i="6"/>
  <c r="AC428" i="6"/>
  <c r="G329" i="6"/>
  <c r="AB418" i="6"/>
  <c r="G370" i="6"/>
  <c r="BQ418" i="6"/>
  <c r="F371" i="6"/>
  <c r="BR408" i="6"/>
  <c r="F311" i="6"/>
  <c r="J408" i="6"/>
  <c r="AE354" i="6"/>
  <c r="BA468" i="6"/>
  <c r="AC350" i="6"/>
  <c r="AW458" i="6"/>
  <c r="AB351" i="6"/>
  <c r="AX448" i="6"/>
  <c r="AE358" i="6"/>
  <c r="BE468" i="6"/>
  <c r="AB350" i="6"/>
  <c r="AW448" i="6"/>
  <c r="H351" i="6"/>
  <c r="J349" i="6"/>
  <c r="K347" i="6"/>
  <c r="L345" i="6"/>
  <c r="M343" i="6"/>
  <c r="N341" i="6"/>
  <c r="O339" i="6"/>
  <c r="AL438" i="6"/>
  <c r="P337" i="6"/>
  <c r="Q335" i="6"/>
  <c r="R333" i="6"/>
  <c r="S331" i="6"/>
  <c r="T329" i="6"/>
  <c r="U327" i="6"/>
  <c r="V325" i="6"/>
  <c r="AE318" i="6"/>
  <c r="Q468" i="6"/>
  <c r="AB317" i="6"/>
  <c r="P448" i="6"/>
  <c r="H368" i="6"/>
  <c r="J368" i="6"/>
  <c r="K368" i="6"/>
  <c r="L368" i="6"/>
  <c r="M368" i="6"/>
  <c r="N368" i="6"/>
  <c r="O368" i="6"/>
  <c r="BO438" i="6"/>
  <c r="P368" i="6"/>
  <c r="Q368" i="6"/>
  <c r="R368" i="6"/>
  <c r="S368" i="6"/>
  <c r="T368" i="6"/>
  <c r="U368" i="6"/>
  <c r="V368" i="6"/>
  <c r="W368" i="6"/>
  <c r="X368" i="6"/>
  <c r="Y368" i="6"/>
  <c r="Z348" i="6"/>
  <c r="AA316" i="6"/>
  <c r="AA348" i="6"/>
  <c r="AD316" i="6"/>
  <c r="AD348" i="6"/>
  <c r="AF316" i="6"/>
  <c r="AF348" i="6"/>
  <c r="AG316" i="6"/>
  <c r="AG348" i="6"/>
  <c r="AH316" i="6"/>
  <c r="O478" i="6"/>
  <c r="AH348" i="6"/>
  <c r="AU478" i="6"/>
  <c r="AI316" i="6"/>
  <c r="O488" i="6"/>
  <c r="AI348" i="6"/>
  <c r="AU488" i="6"/>
  <c r="AJ316" i="6"/>
  <c r="O498" i="6"/>
  <c r="AJ348" i="6"/>
  <c r="AU498" i="6"/>
  <c r="AK316" i="6"/>
  <c r="O508" i="6"/>
  <c r="AK348" i="6"/>
  <c r="AU508" i="6"/>
  <c r="AL316" i="6"/>
  <c r="O518" i="6"/>
  <c r="AL348" i="6"/>
  <c r="AU518" i="6"/>
  <c r="AM316" i="6"/>
  <c r="AM348" i="6"/>
  <c r="AN316" i="6"/>
  <c r="AN348" i="6"/>
  <c r="AO316" i="6"/>
  <c r="AO348" i="6"/>
  <c r="AP316" i="6"/>
  <c r="AP348" i="6"/>
  <c r="AQ316" i="6"/>
  <c r="AQ348" i="6"/>
  <c r="AR316" i="6"/>
  <c r="AR348" i="6"/>
  <c r="AS316" i="6"/>
  <c r="AS348" i="6"/>
  <c r="AT316" i="6"/>
  <c r="AT348" i="6"/>
  <c r="AU316" i="6"/>
  <c r="AU348" i="6"/>
  <c r="AV316" i="6"/>
  <c r="AV348" i="6"/>
  <c r="AW316" i="6"/>
  <c r="AW348" i="6"/>
  <c r="AX316" i="6"/>
  <c r="AX348" i="6"/>
  <c r="AY316" i="6"/>
  <c r="AY348" i="6"/>
  <c r="AZ316" i="6"/>
  <c r="AZ348" i="6"/>
  <c r="BA316" i="6"/>
  <c r="BA348" i="6"/>
  <c r="BB316" i="6"/>
  <c r="BB348" i="6"/>
  <c r="BC316" i="6"/>
  <c r="BC348" i="6"/>
  <c r="BD316" i="6"/>
  <c r="BD348" i="6"/>
  <c r="BE316" i="6"/>
  <c r="BE348" i="6"/>
  <c r="BF316" i="6"/>
  <c r="BF348" i="6"/>
  <c r="BG316" i="6"/>
  <c r="BG348" i="6"/>
  <c r="BH316" i="6"/>
  <c r="O528" i="6"/>
  <c r="BH348" i="6"/>
  <c r="AU528" i="6"/>
  <c r="BI316" i="6"/>
  <c r="BI348" i="6"/>
  <c r="BJ316" i="6"/>
  <c r="BJ348" i="6"/>
  <c r="BK316" i="6"/>
  <c r="BK348" i="6"/>
  <c r="BL316" i="6"/>
  <c r="BL348" i="6"/>
  <c r="BM316" i="6"/>
  <c r="BM348" i="6"/>
  <c r="BN316" i="6"/>
  <c r="BN348" i="6"/>
  <c r="V365" i="6"/>
  <c r="W331" i="6"/>
  <c r="W363" i="6"/>
  <c r="X329" i="6"/>
  <c r="X361" i="6"/>
  <c r="Y327" i="6"/>
  <c r="Y359" i="6"/>
  <c r="Z325" i="6"/>
  <c r="G367" i="6"/>
  <c r="BN418" i="6"/>
  <c r="F369" i="6"/>
  <c r="BP408" i="6"/>
  <c r="G344" i="6"/>
  <c r="AQ418" i="6"/>
  <c r="F344" i="6"/>
  <c r="AQ408" i="6"/>
  <c r="AE348" i="6"/>
  <c r="AU468" i="6"/>
  <c r="AE324" i="6"/>
  <c r="W468" i="6"/>
  <c r="AC325" i="6"/>
  <c r="X458" i="6"/>
  <c r="AB324" i="6"/>
  <c r="W448" i="6"/>
  <c r="AC363" i="6"/>
  <c r="BJ458" i="6"/>
  <c r="H313" i="6"/>
  <c r="J311" i="6"/>
  <c r="K309" i="6"/>
  <c r="L307" i="6"/>
  <c r="L371" i="6"/>
  <c r="M369" i="6"/>
  <c r="N367" i="6"/>
  <c r="O365" i="6"/>
  <c r="BL438" i="6"/>
  <c r="P363" i="6"/>
  <c r="Q361" i="6"/>
  <c r="R359" i="6"/>
  <c r="S357" i="6"/>
  <c r="T355" i="6"/>
  <c r="U353" i="6"/>
  <c r="V351" i="6"/>
  <c r="AC327" i="6"/>
  <c r="Z458" i="6"/>
  <c r="H330" i="6"/>
  <c r="J330" i="6"/>
  <c r="K330" i="6"/>
  <c r="L330" i="6"/>
  <c r="M330" i="6"/>
  <c r="N330" i="6"/>
  <c r="O330" i="6"/>
  <c r="AC438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D330" i="6"/>
  <c r="AF314" i="6"/>
  <c r="AF346" i="6"/>
  <c r="AG314" i="6"/>
  <c r="AG346" i="6"/>
  <c r="AH314" i="6"/>
  <c r="M478" i="6"/>
  <c r="AH346" i="6"/>
  <c r="AS478" i="6"/>
  <c r="AI314" i="6"/>
  <c r="M488" i="6"/>
  <c r="AI346" i="6"/>
  <c r="AS488" i="6"/>
  <c r="AJ314" i="6"/>
  <c r="M498" i="6"/>
  <c r="AJ346" i="6"/>
  <c r="AS498" i="6"/>
  <c r="AK314" i="6"/>
  <c r="M508" i="6"/>
  <c r="AK346" i="6"/>
  <c r="AS508" i="6"/>
  <c r="AL314" i="6"/>
  <c r="M518" i="6"/>
  <c r="AL346" i="6"/>
  <c r="AS518" i="6"/>
  <c r="AM314" i="6"/>
  <c r="AM346" i="6"/>
  <c r="AN314" i="6"/>
  <c r="AN346" i="6"/>
  <c r="AO314" i="6"/>
  <c r="AO346" i="6"/>
  <c r="AP314" i="6"/>
  <c r="AP346" i="6"/>
  <c r="AQ314" i="6"/>
  <c r="AQ346" i="6"/>
  <c r="AR314" i="6"/>
  <c r="AR346" i="6"/>
  <c r="AS314" i="6"/>
  <c r="AS346" i="6"/>
  <c r="AT314" i="6"/>
  <c r="AT346" i="6"/>
  <c r="AU314" i="6"/>
  <c r="AU346" i="6"/>
  <c r="AV314" i="6"/>
  <c r="AV346" i="6"/>
  <c r="AW314" i="6"/>
  <c r="AW346" i="6"/>
  <c r="AX314" i="6"/>
  <c r="AX346" i="6"/>
  <c r="AY314" i="6"/>
  <c r="AY346" i="6"/>
  <c r="AZ314" i="6"/>
  <c r="AZ346" i="6"/>
  <c r="BA314" i="6"/>
  <c r="BA346" i="6"/>
  <c r="BB314" i="6"/>
  <c r="BB346" i="6"/>
  <c r="BC314" i="6"/>
  <c r="BC346" i="6"/>
  <c r="BD314" i="6"/>
  <c r="BD346" i="6"/>
  <c r="BE314" i="6"/>
  <c r="BE346" i="6"/>
  <c r="BF314" i="6"/>
  <c r="BF346" i="6"/>
  <c r="BG314" i="6"/>
  <c r="BG346" i="6"/>
  <c r="BH314" i="6"/>
  <c r="M528" i="6"/>
  <c r="BH346" i="6"/>
  <c r="AS528" i="6"/>
  <c r="BI314" i="6"/>
  <c r="BI346" i="6"/>
  <c r="BJ314" i="6"/>
  <c r="BJ346" i="6"/>
  <c r="BK314" i="6"/>
  <c r="BK346" i="6"/>
  <c r="BL314" i="6"/>
  <c r="BL346" i="6"/>
  <c r="BM314" i="6"/>
  <c r="BM346" i="6"/>
  <c r="BN314" i="6"/>
  <c r="BN346" i="6"/>
  <c r="V363" i="6"/>
  <c r="W329" i="6"/>
  <c r="W361" i="6"/>
  <c r="X327" i="6"/>
  <c r="X359" i="6"/>
  <c r="Y325" i="6"/>
  <c r="Y357" i="6"/>
  <c r="Z323" i="6"/>
  <c r="Z347" i="6"/>
  <c r="Z363" i="6"/>
  <c r="I326" i="6"/>
  <c r="Y428" i="6"/>
  <c r="G331" i="6"/>
  <c r="AD418" i="6"/>
  <c r="I368" i="6"/>
  <c r="BO428" i="6"/>
  <c r="G308" i="6"/>
  <c r="F312" i="6"/>
  <c r="K408" i="6"/>
  <c r="AE357" i="6"/>
  <c r="BD468" i="6"/>
  <c r="AC353" i="6"/>
  <c r="AZ458" i="6"/>
  <c r="AB352" i="6"/>
  <c r="AY448" i="6"/>
  <c r="AE369" i="6"/>
  <c r="BP468" i="6"/>
  <c r="AB353" i="6"/>
  <c r="AZ448" i="6"/>
  <c r="H349" i="6"/>
  <c r="J347" i="6"/>
  <c r="K345" i="6"/>
  <c r="L343" i="6"/>
  <c r="M341" i="6"/>
  <c r="N339" i="6"/>
  <c r="O337" i="6"/>
  <c r="AJ438" i="6"/>
  <c r="P335" i="6"/>
  <c r="Q333" i="6"/>
  <c r="R331" i="6"/>
  <c r="S329" i="6"/>
  <c r="T327" i="6"/>
  <c r="U325" i="6"/>
  <c r="V323" i="6"/>
  <c r="AE321" i="6"/>
  <c r="T468" i="6"/>
  <c r="AB322" i="6"/>
  <c r="U448" i="6"/>
  <c r="H366" i="6"/>
  <c r="J366" i="6"/>
  <c r="K366" i="6"/>
  <c r="L366" i="6"/>
  <c r="M366" i="6"/>
  <c r="N366" i="6"/>
  <c r="O366" i="6"/>
  <c r="BM438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D366" i="6"/>
  <c r="AF366" i="6"/>
  <c r="AG366" i="6"/>
  <c r="AH366" i="6"/>
  <c r="BM478" i="6"/>
  <c r="AI366" i="6"/>
  <c r="BM488" i="6"/>
  <c r="AJ366" i="6"/>
  <c r="BM498" i="6"/>
  <c r="AK366" i="6"/>
  <c r="BM508" i="6"/>
  <c r="AL366" i="6"/>
  <c r="BM518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AY366" i="6"/>
  <c r="AZ366" i="6"/>
  <c r="BA366" i="6"/>
  <c r="BB366" i="6"/>
  <c r="BC366" i="6"/>
  <c r="BD366" i="6"/>
  <c r="BE366" i="6"/>
  <c r="BF366" i="6"/>
  <c r="BG366" i="6"/>
  <c r="BH366" i="6"/>
  <c r="BM528" i="6"/>
  <c r="BI366" i="6"/>
  <c r="BJ366" i="6"/>
  <c r="BK366" i="6"/>
  <c r="BL366" i="6"/>
  <c r="BM366" i="6"/>
  <c r="BN366" i="6"/>
  <c r="W349" i="6"/>
  <c r="X347" i="6"/>
  <c r="Y345" i="6"/>
  <c r="Z341" i="6"/>
  <c r="AA307" i="6"/>
  <c r="AA325" i="6"/>
  <c r="AA341" i="6"/>
  <c r="AA357" i="6"/>
  <c r="AB307" i="6"/>
  <c r="I370" i="6"/>
  <c r="BQ428" i="6"/>
  <c r="G309" i="6"/>
  <c r="H418" i="6"/>
  <c r="G350" i="6"/>
  <c r="AW418" i="6"/>
  <c r="F351" i="6"/>
  <c r="AX408" i="6"/>
  <c r="AE355" i="6"/>
  <c r="BB468" i="6"/>
  <c r="AE331" i="6"/>
  <c r="AD468" i="6"/>
  <c r="AC330" i="6"/>
  <c r="AB331" i="6"/>
  <c r="AD448" i="6"/>
  <c r="AE309" i="6"/>
  <c r="H468" i="6"/>
  <c r="H307" i="6"/>
  <c r="H371" i="6"/>
  <c r="J369" i="6"/>
  <c r="K367" i="6"/>
  <c r="L365" i="6"/>
  <c r="M363" i="6"/>
  <c r="N361" i="6"/>
  <c r="O359" i="6"/>
  <c r="BF438" i="6"/>
  <c r="P357" i="6"/>
  <c r="Q355" i="6"/>
  <c r="R353" i="6"/>
  <c r="S351" i="6"/>
  <c r="T349" i="6"/>
  <c r="U347" i="6"/>
  <c r="V345" i="6"/>
  <c r="AC340" i="6"/>
  <c r="AM458" i="6"/>
  <c r="H324" i="6"/>
  <c r="J324" i="6"/>
  <c r="K324" i="6"/>
  <c r="L324" i="6"/>
  <c r="M324" i="6"/>
  <c r="N324" i="6"/>
  <c r="O324" i="6"/>
  <c r="W438" i="6"/>
  <c r="P324" i="6"/>
  <c r="Q324" i="6"/>
  <c r="R324" i="6"/>
  <c r="S324" i="6"/>
  <c r="T324" i="6"/>
  <c r="U324" i="6"/>
  <c r="V324" i="6"/>
  <c r="W324" i="6"/>
  <c r="X324" i="6"/>
  <c r="Y324" i="6"/>
  <c r="Z324" i="6"/>
  <c r="Z360" i="6"/>
  <c r="AA328" i="6"/>
  <c r="AA360" i="6"/>
  <c r="AD328" i="6"/>
  <c r="AD360" i="6"/>
  <c r="AF328" i="6"/>
  <c r="AF360" i="6"/>
  <c r="AG328" i="6"/>
  <c r="AG360" i="6"/>
  <c r="AH328" i="6"/>
  <c r="AA478" i="6"/>
  <c r="AH360" i="6"/>
  <c r="BG478" i="6"/>
  <c r="AI328" i="6"/>
  <c r="AA488" i="6"/>
  <c r="AI360" i="6"/>
  <c r="BG488" i="6"/>
  <c r="AJ328" i="6"/>
  <c r="AA498" i="6"/>
  <c r="AJ360" i="6"/>
  <c r="BG498" i="6"/>
  <c r="AK328" i="6"/>
  <c r="AA508" i="6"/>
  <c r="AK360" i="6"/>
  <c r="BG508" i="6"/>
  <c r="AL328" i="6"/>
  <c r="AA518" i="6"/>
  <c r="AL360" i="6"/>
  <c r="BG518" i="6"/>
  <c r="AM328" i="6"/>
  <c r="AM360" i="6"/>
  <c r="AN328" i="6"/>
  <c r="AN360" i="6"/>
  <c r="AO328" i="6"/>
  <c r="AO360" i="6"/>
  <c r="AP328" i="6"/>
  <c r="AP360" i="6"/>
  <c r="AQ328" i="6"/>
  <c r="AQ360" i="6"/>
  <c r="AR328" i="6"/>
  <c r="AR360" i="6"/>
  <c r="AS328" i="6"/>
  <c r="AS360" i="6"/>
  <c r="AT328" i="6"/>
  <c r="AT360" i="6"/>
  <c r="AU328" i="6"/>
  <c r="AU360" i="6"/>
  <c r="AV328" i="6"/>
  <c r="AV360" i="6"/>
  <c r="AW328" i="6"/>
  <c r="AW360" i="6"/>
  <c r="AX328" i="6"/>
  <c r="AX360" i="6"/>
  <c r="AY328" i="6"/>
  <c r="AY360" i="6"/>
  <c r="AZ328" i="6"/>
  <c r="AZ360" i="6"/>
  <c r="BA328" i="6"/>
  <c r="BA360" i="6"/>
  <c r="BB328" i="6"/>
  <c r="BB360" i="6"/>
  <c r="BC328" i="6"/>
  <c r="BC360" i="6"/>
  <c r="BD328" i="6"/>
  <c r="BD360" i="6"/>
  <c r="BE328" i="6"/>
  <c r="BE360" i="6"/>
  <c r="BF328" i="6"/>
  <c r="BF360" i="6"/>
  <c r="BG328" i="6"/>
  <c r="BG360" i="6"/>
  <c r="BH328" i="6"/>
  <c r="AA528" i="6"/>
  <c r="BH360" i="6"/>
  <c r="BG528" i="6"/>
  <c r="BI328" i="6"/>
  <c r="BI360" i="6"/>
  <c r="BJ328" i="6"/>
  <c r="BJ360" i="6"/>
  <c r="BK328" i="6"/>
  <c r="BK360" i="6"/>
  <c r="BL328" i="6"/>
  <c r="BL360" i="6"/>
  <c r="BM328" i="6"/>
  <c r="BM360" i="6"/>
  <c r="BN328" i="6"/>
  <c r="BN360" i="6"/>
  <c r="W311" i="6"/>
  <c r="W343" i="6"/>
  <c r="X309" i="6"/>
  <c r="X341" i="6"/>
  <c r="Y307" i="6"/>
  <c r="Y339" i="6"/>
  <c r="Y371" i="6"/>
  <c r="Z337" i="6"/>
  <c r="G343" i="6"/>
  <c r="AP418" i="6"/>
  <c r="I344" i="6"/>
  <c r="AQ428" i="6"/>
  <c r="G320" i="6"/>
  <c r="S418" i="6"/>
  <c r="F322" i="6"/>
  <c r="U408" i="6"/>
  <c r="F318" i="6"/>
  <c r="Q408" i="6"/>
  <c r="AC365" i="6"/>
  <c r="BL458" i="6"/>
  <c r="AB364" i="6"/>
  <c r="BK448" i="6"/>
  <c r="F350" i="6"/>
  <c r="AW408" i="6"/>
  <c r="AC315" i="6"/>
  <c r="N458" i="6"/>
  <c r="H337" i="6"/>
  <c r="J335" i="6"/>
  <c r="K333" i="6"/>
  <c r="L331" i="6"/>
  <c r="M329" i="6"/>
  <c r="N327" i="6"/>
  <c r="O325" i="6"/>
  <c r="X438" i="6"/>
  <c r="P323" i="6"/>
  <c r="Q321" i="6"/>
  <c r="R319" i="6"/>
  <c r="S317" i="6"/>
  <c r="T315" i="6"/>
  <c r="U313" i="6"/>
  <c r="V311" i="6"/>
  <c r="AE345" i="6"/>
  <c r="AR468" i="6"/>
  <c r="AB346" i="6"/>
  <c r="AS448" i="6"/>
  <c r="H354" i="6"/>
  <c r="J354" i="6"/>
  <c r="K354" i="6"/>
  <c r="L354" i="6"/>
  <c r="M354" i="6"/>
  <c r="N354" i="6"/>
  <c r="O354" i="6"/>
  <c r="BA438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D354" i="6"/>
  <c r="AF322" i="6"/>
  <c r="AF354" i="6"/>
  <c r="AG322" i="6"/>
  <c r="AG354" i="6"/>
  <c r="AH322" i="6"/>
  <c r="U478" i="6"/>
  <c r="AH354" i="6"/>
  <c r="BA478" i="6"/>
  <c r="AI322" i="6"/>
  <c r="U488" i="6"/>
  <c r="AI354" i="6"/>
  <c r="BA488" i="6"/>
  <c r="AJ322" i="6"/>
  <c r="U498" i="6"/>
  <c r="AJ354" i="6"/>
  <c r="BA498" i="6"/>
  <c r="AK322" i="6"/>
  <c r="U508" i="6"/>
  <c r="AK354" i="6"/>
  <c r="BA508" i="6"/>
  <c r="AL322" i="6"/>
  <c r="U518" i="6"/>
  <c r="AL354" i="6"/>
  <c r="BA518" i="6"/>
  <c r="AM322" i="6"/>
  <c r="AM354" i="6"/>
  <c r="AN322" i="6"/>
  <c r="AN354" i="6"/>
  <c r="AO322" i="6"/>
  <c r="AO354" i="6"/>
  <c r="AP322" i="6"/>
  <c r="AP354" i="6"/>
  <c r="AQ322" i="6"/>
  <c r="AQ354" i="6"/>
  <c r="AR322" i="6"/>
  <c r="AR354" i="6"/>
  <c r="AS322" i="6"/>
  <c r="AS354" i="6"/>
  <c r="AT322" i="6"/>
  <c r="AT354" i="6"/>
  <c r="AU322" i="6"/>
  <c r="AU354" i="6"/>
  <c r="AV322" i="6"/>
  <c r="AV354" i="6"/>
  <c r="AW322" i="6"/>
  <c r="AW354" i="6"/>
  <c r="AX322" i="6"/>
  <c r="AX354" i="6"/>
  <c r="AY322" i="6"/>
  <c r="AY354" i="6"/>
  <c r="AZ322" i="6"/>
  <c r="AZ354" i="6"/>
  <c r="BA322" i="6"/>
  <c r="BA354" i="6"/>
  <c r="BB322" i="6"/>
  <c r="BB354" i="6"/>
  <c r="BC322" i="6"/>
  <c r="BC354" i="6"/>
  <c r="BD322" i="6"/>
  <c r="BD354" i="6"/>
  <c r="BE322" i="6"/>
  <c r="BE354" i="6"/>
  <c r="BF322" i="6"/>
  <c r="BF354" i="6"/>
  <c r="BG322" i="6"/>
  <c r="BG354" i="6"/>
  <c r="BH322" i="6"/>
  <c r="U528" i="6"/>
  <c r="BH354" i="6"/>
  <c r="BA528" i="6"/>
  <c r="BI322" i="6"/>
  <c r="BI354" i="6"/>
  <c r="BJ322" i="6"/>
  <c r="BJ354" i="6"/>
  <c r="BK322" i="6"/>
  <c r="BK354" i="6"/>
  <c r="BL322" i="6"/>
  <c r="BL354" i="6"/>
  <c r="BM322" i="6"/>
  <c r="BM354" i="6"/>
  <c r="BN322" i="6"/>
  <c r="BN354" i="6"/>
  <c r="V371" i="6"/>
  <c r="W337" i="6"/>
  <c r="W369" i="6"/>
  <c r="X335" i="6"/>
  <c r="X367" i="6"/>
  <c r="Y333" i="6"/>
  <c r="Y365" i="6"/>
  <c r="Z331" i="6"/>
  <c r="Z351" i="6"/>
  <c r="Z367" i="6"/>
  <c r="I358" i="6"/>
  <c r="BE428" i="6"/>
  <c r="G315" i="6"/>
  <c r="N418" i="6"/>
  <c r="G356" i="6"/>
  <c r="BC418" i="6"/>
  <c r="F356" i="6"/>
  <c r="BC408" i="6"/>
  <c r="AE360" i="6"/>
  <c r="BG468" i="6"/>
  <c r="AE336" i="6"/>
  <c r="AI468" i="6"/>
  <c r="AC337" i="6"/>
  <c r="AJ458" i="6"/>
  <c r="AB336" i="6"/>
  <c r="AI448" i="6"/>
  <c r="AE322" i="6"/>
  <c r="U468" i="6"/>
  <c r="AB321" i="6"/>
  <c r="T448" i="6"/>
  <c r="H365" i="6"/>
  <c r="J363" i="6"/>
  <c r="K361" i="6"/>
  <c r="L359" i="6"/>
  <c r="M357" i="6"/>
  <c r="N355" i="6"/>
  <c r="O353" i="6"/>
  <c r="AZ438" i="6"/>
  <c r="P351" i="6"/>
  <c r="Q349" i="6"/>
  <c r="R347" i="6"/>
  <c r="S345" i="6"/>
  <c r="T343" i="6"/>
  <c r="U341" i="6"/>
  <c r="V339" i="6"/>
  <c r="AC351" i="6"/>
  <c r="AX458" i="6"/>
  <c r="H318" i="6"/>
  <c r="J318" i="6"/>
  <c r="K318" i="6"/>
  <c r="L318" i="6"/>
  <c r="M318" i="6"/>
  <c r="N318" i="6"/>
  <c r="O318" i="6"/>
  <c r="Q43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D318" i="6"/>
  <c r="AF318" i="6"/>
  <c r="AG318" i="6"/>
  <c r="AH318" i="6"/>
  <c r="Q478" i="6"/>
  <c r="AI318" i="6"/>
  <c r="Q488" i="6"/>
  <c r="AJ318" i="6"/>
  <c r="Q498" i="6"/>
  <c r="AK318" i="6"/>
  <c r="Q508" i="6"/>
  <c r="AL318" i="6"/>
  <c r="Q518" i="6"/>
  <c r="AM318" i="6"/>
  <c r="AN318" i="6"/>
  <c r="AO318" i="6"/>
  <c r="AP318" i="6"/>
  <c r="AQ318" i="6"/>
  <c r="AR318" i="6"/>
  <c r="AS318" i="6"/>
  <c r="AT318" i="6"/>
  <c r="AU318" i="6"/>
  <c r="AV318" i="6"/>
  <c r="AW318" i="6"/>
  <c r="AX318" i="6"/>
  <c r="AY318" i="6"/>
  <c r="AZ318" i="6"/>
  <c r="BA318" i="6"/>
  <c r="BB318" i="6"/>
  <c r="BC318" i="6"/>
  <c r="BD318" i="6"/>
  <c r="BE318" i="6"/>
  <c r="BF318" i="6"/>
  <c r="BG318" i="6"/>
  <c r="BH318" i="6"/>
  <c r="Q528" i="6"/>
  <c r="BI318" i="6"/>
  <c r="BJ318" i="6"/>
  <c r="BK318" i="6"/>
  <c r="BL318" i="6"/>
  <c r="BM318" i="6"/>
  <c r="BN318" i="6"/>
  <c r="V367" i="6"/>
  <c r="W365" i="6"/>
  <c r="X363" i="6"/>
  <c r="Y361" i="6"/>
  <c r="Z349" i="6"/>
  <c r="AA313" i="6"/>
  <c r="AA329" i="6"/>
  <c r="AA345" i="6"/>
  <c r="AA361" i="6"/>
  <c r="AD307" i="6"/>
  <c r="F307" i="6"/>
  <c r="I348" i="6"/>
  <c r="AU428" i="6"/>
  <c r="F321" i="6"/>
  <c r="T408" i="6"/>
  <c r="AC362" i="6"/>
  <c r="BI458" i="6"/>
  <c r="F345" i="6"/>
  <c r="AR408" i="6"/>
  <c r="H339" i="6"/>
  <c r="K335" i="6"/>
  <c r="M331" i="6"/>
  <c r="O327" i="6"/>
  <c r="Z438" i="6"/>
  <c r="Q323" i="6"/>
  <c r="S319" i="6"/>
  <c r="U315" i="6"/>
  <c r="AE342" i="6"/>
  <c r="AO468" i="6"/>
  <c r="H356" i="6"/>
  <c r="K356" i="6"/>
  <c r="M356" i="6"/>
  <c r="O356" i="6"/>
  <c r="BC438" i="6"/>
  <c r="Q356" i="6"/>
  <c r="S356" i="6"/>
  <c r="U356" i="6"/>
  <c r="W356" i="6"/>
  <c r="Y356" i="6"/>
  <c r="AA312" i="6"/>
  <c r="AD312" i="6"/>
  <c r="AF312" i="6"/>
  <c r="AG312" i="6"/>
  <c r="AH312" i="6"/>
  <c r="K478" i="6"/>
  <c r="AI312" i="6"/>
  <c r="K488" i="6"/>
  <c r="AJ312" i="6"/>
  <c r="K498" i="6"/>
  <c r="AK312" i="6"/>
  <c r="K508" i="6"/>
  <c r="AL312" i="6"/>
  <c r="K518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K528" i="6"/>
  <c r="BI312" i="6"/>
  <c r="BJ312" i="6"/>
  <c r="BK312" i="6"/>
  <c r="BL312" i="6"/>
  <c r="BM312" i="6"/>
  <c r="BN312" i="6"/>
  <c r="V361" i="6"/>
  <c r="W359" i="6"/>
  <c r="X357" i="6"/>
  <c r="Y355" i="6"/>
  <c r="I366" i="6"/>
  <c r="BM428" i="6"/>
  <c r="G352" i="6"/>
  <c r="AY418" i="6"/>
  <c r="AE356" i="6"/>
  <c r="BC468" i="6"/>
  <c r="AC333" i="6"/>
  <c r="AF458" i="6"/>
  <c r="AE314" i="6"/>
  <c r="M468" i="6"/>
  <c r="H369" i="6"/>
  <c r="K365" i="6"/>
  <c r="M361" i="6"/>
  <c r="O357" i="6"/>
  <c r="BD438" i="6"/>
  <c r="Q353" i="6"/>
  <c r="S349" i="6"/>
  <c r="U345" i="6"/>
  <c r="AC343" i="6"/>
  <c r="AP458" i="6"/>
  <c r="J322" i="6"/>
  <c r="L322" i="6"/>
  <c r="N322" i="6"/>
  <c r="P322" i="6"/>
  <c r="R322" i="6"/>
  <c r="T322" i="6"/>
  <c r="V322" i="6"/>
  <c r="X322" i="6"/>
  <c r="Z322" i="6"/>
  <c r="AD322" i="6"/>
  <c r="AF338" i="6"/>
  <c r="AG338" i="6"/>
  <c r="AH338" i="6"/>
  <c r="AK478" i="6"/>
  <c r="AI338" i="6"/>
  <c r="AK488" i="6"/>
  <c r="AJ338" i="6"/>
  <c r="AK498" i="6"/>
  <c r="AK338" i="6"/>
  <c r="AL338" i="6"/>
  <c r="AK518" i="6"/>
  <c r="AM338" i="6"/>
  <c r="AN338" i="6"/>
  <c r="AO338" i="6"/>
  <c r="AP338" i="6"/>
  <c r="AQ338" i="6"/>
  <c r="AR338" i="6"/>
  <c r="AS338" i="6"/>
  <c r="AT338" i="6"/>
  <c r="AU338" i="6"/>
  <c r="AV338" i="6"/>
  <c r="AW338" i="6"/>
  <c r="AX338" i="6"/>
  <c r="AY338" i="6"/>
  <c r="AZ338" i="6"/>
  <c r="BA338" i="6"/>
  <c r="BB338" i="6"/>
  <c r="BC338" i="6"/>
  <c r="BD338" i="6"/>
  <c r="BE338" i="6"/>
  <c r="BF338" i="6"/>
  <c r="BG338" i="6"/>
  <c r="BH338" i="6"/>
  <c r="AK528" i="6"/>
  <c r="BI338" i="6"/>
  <c r="BJ338" i="6"/>
  <c r="BK338" i="6"/>
  <c r="BL338" i="6"/>
  <c r="BM338" i="6"/>
  <c r="BN338" i="6"/>
  <c r="W321" i="6"/>
  <c r="X319" i="6"/>
  <c r="Y317" i="6"/>
  <c r="Z315" i="6"/>
  <c r="Z359" i="6"/>
  <c r="G347" i="6"/>
  <c r="AT418" i="6"/>
  <c r="G324" i="6"/>
  <c r="W418" i="6"/>
  <c r="F330" i="6"/>
  <c r="AC408" i="6"/>
  <c r="AB368" i="6"/>
  <c r="BO448" i="6"/>
  <c r="AC323" i="6"/>
  <c r="V458" i="6"/>
  <c r="J331" i="6"/>
  <c r="L327" i="6"/>
  <c r="N323" i="6"/>
  <c r="P319" i="6"/>
  <c r="R315" i="6"/>
  <c r="T311" i="6"/>
  <c r="V307" i="6"/>
  <c r="AB354" i="6"/>
  <c r="BA448" i="6"/>
  <c r="J350" i="6"/>
  <c r="L350" i="6"/>
  <c r="N350" i="6"/>
  <c r="P350" i="6"/>
  <c r="R350" i="6"/>
  <c r="T350" i="6"/>
  <c r="V350" i="6"/>
  <c r="X350" i="6"/>
  <c r="Z350" i="6"/>
  <c r="AD350" i="6"/>
  <c r="AG350" i="6"/>
  <c r="AI350" i="6"/>
  <c r="AW488" i="6"/>
  <c r="AK350" i="6"/>
  <c r="AW508" i="6"/>
  <c r="AM350" i="6"/>
  <c r="AO350" i="6"/>
  <c r="AQ350" i="6"/>
  <c r="AS350" i="6"/>
  <c r="AU350" i="6"/>
  <c r="AW350" i="6"/>
  <c r="AY350" i="6"/>
  <c r="BA350" i="6"/>
  <c r="BC350" i="6"/>
  <c r="BE350" i="6"/>
  <c r="BG350" i="6"/>
  <c r="BI350" i="6"/>
  <c r="BK350" i="6"/>
  <c r="BM350" i="6"/>
  <c r="W333" i="6"/>
  <c r="Y329" i="6"/>
  <c r="Z365" i="6"/>
  <c r="AA337" i="6"/>
  <c r="AA369" i="6"/>
  <c r="AD323" i="6"/>
  <c r="AD339" i="6"/>
  <c r="AD355" i="6"/>
  <c r="AD371" i="6"/>
  <c r="AF319" i="6"/>
  <c r="AF335" i="6"/>
  <c r="AF351" i="6"/>
  <c r="AF367" i="6"/>
  <c r="AG317" i="6"/>
  <c r="AG333" i="6"/>
  <c r="AG349" i="6"/>
  <c r="AG365" i="6"/>
  <c r="AH315" i="6"/>
  <c r="N478" i="6"/>
  <c r="AH331" i="6"/>
  <c r="AD478" i="6"/>
  <c r="AH347" i="6"/>
  <c r="AT478" i="6"/>
  <c r="AH363" i="6"/>
  <c r="BJ478" i="6"/>
  <c r="AI313" i="6"/>
  <c r="L488" i="6"/>
  <c r="AI329" i="6"/>
  <c r="AB488" i="6"/>
  <c r="AI345" i="6"/>
  <c r="AR488" i="6"/>
  <c r="AI361" i="6"/>
  <c r="BH488" i="6"/>
  <c r="AJ311" i="6"/>
  <c r="J498" i="6"/>
  <c r="AJ327" i="6"/>
  <c r="Z498" i="6"/>
  <c r="AJ343" i="6"/>
  <c r="AP498" i="6"/>
  <c r="AJ359" i="6"/>
  <c r="BF498" i="6"/>
  <c r="AK309" i="6"/>
  <c r="H508" i="6"/>
  <c r="AK325" i="6"/>
  <c r="X508" i="6"/>
  <c r="AK341" i="6"/>
  <c r="AN508" i="6"/>
  <c r="AK357" i="6"/>
  <c r="BD508" i="6"/>
  <c r="AL307" i="6"/>
  <c r="AL323" i="6"/>
  <c r="V518" i="6"/>
  <c r="AL339" i="6"/>
  <c r="AL355" i="6"/>
  <c r="BB518" i="6"/>
  <c r="AL371" i="6"/>
  <c r="BR518" i="6"/>
  <c r="AM321" i="6"/>
  <c r="AM337" i="6"/>
  <c r="AM353" i="6"/>
  <c r="AM369" i="6"/>
  <c r="AN319" i="6"/>
  <c r="AN335" i="6"/>
  <c r="AN351" i="6"/>
  <c r="AN367" i="6"/>
  <c r="AO317" i="6"/>
  <c r="AO333" i="6"/>
  <c r="AO349" i="6"/>
  <c r="AO365" i="6"/>
  <c r="AP315" i="6"/>
  <c r="AP331" i="6"/>
  <c r="AP347" i="6"/>
  <c r="AP363" i="6"/>
  <c r="AQ313" i="6"/>
  <c r="AQ329" i="6"/>
  <c r="AQ345" i="6"/>
  <c r="AQ361" i="6"/>
  <c r="AR311" i="6"/>
  <c r="AR327" i="6"/>
  <c r="AR343" i="6"/>
  <c r="AR359" i="6"/>
  <c r="AS309" i="6"/>
  <c r="AS325" i="6"/>
  <c r="AS341" i="6"/>
  <c r="AS357" i="6"/>
  <c r="AT307" i="6"/>
  <c r="AT323" i="6"/>
  <c r="AT339" i="6"/>
  <c r="AT355" i="6"/>
  <c r="AT371" i="6"/>
  <c r="AU321" i="6"/>
  <c r="AU337" i="6"/>
  <c r="AU353" i="6"/>
  <c r="AU369" i="6"/>
  <c r="AV319" i="6"/>
  <c r="AV335" i="6"/>
  <c r="AV351" i="6"/>
  <c r="AV367" i="6"/>
  <c r="AW317" i="6"/>
  <c r="AW333" i="6"/>
  <c r="AW349" i="6"/>
  <c r="AW365" i="6"/>
  <c r="AX315" i="6"/>
  <c r="AX331" i="6"/>
  <c r="AX347" i="6"/>
  <c r="AX363" i="6"/>
  <c r="AY313" i="6"/>
  <c r="AY329" i="6"/>
  <c r="AY345" i="6"/>
  <c r="AY361" i="6"/>
  <c r="AZ311" i="6"/>
  <c r="AZ327" i="6"/>
  <c r="AZ343" i="6"/>
  <c r="AZ359" i="6"/>
  <c r="BA309" i="6"/>
  <c r="BA325" i="6"/>
  <c r="BA341" i="6"/>
  <c r="BA357" i="6"/>
  <c r="BB307" i="6"/>
  <c r="BB323" i="6"/>
  <c r="BB339" i="6"/>
  <c r="BB355" i="6"/>
  <c r="BB371" i="6"/>
  <c r="BC321" i="6"/>
  <c r="BC337" i="6"/>
  <c r="BC353" i="6"/>
  <c r="BC369" i="6"/>
  <c r="BD319" i="6"/>
  <c r="BD335" i="6"/>
  <c r="BD351" i="6"/>
  <c r="BD367" i="6"/>
  <c r="BE317" i="6"/>
  <c r="BE333" i="6"/>
  <c r="BE349" i="6"/>
  <c r="BE365" i="6"/>
  <c r="BF315" i="6"/>
  <c r="BF331" i="6"/>
  <c r="BF347" i="6"/>
  <c r="BF363" i="6"/>
  <c r="BG313" i="6"/>
  <c r="BG329" i="6"/>
  <c r="BG345" i="6"/>
  <c r="BG361" i="6"/>
  <c r="BH311" i="6"/>
  <c r="J528" i="6"/>
  <c r="BH327" i="6"/>
  <c r="Z528" i="6"/>
  <c r="BH343" i="6"/>
  <c r="AP528" i="6"/>
  <c r="BH359" i="6"/>
  <c r="BF528" i="6"/>
  <c r="BI309" i="6"/>
  <c r="BI325" i="6"/>
  <c r="BI341" i="6"/>
  <c r="BI357" i="6"/>
  <c r="BJ307" i="6"/>
  <c r="BJ323" i="6"/>
  <c r="BJ339" i="6"/>
  <c r="BJ355" i="6"/>
  <c r="BJ371" i="6"/>
  <c r="BK321" i="6"/>
  <c r="BK337" i="6"/>
  <c r="BK353" i="6"/>
  <c r="BK369" i="6"/>
  <c r="BL319" i="6"/>
  <c r="BL335" i="6"/>
  <c r="BL351" i="6"/>
  <c r="BL367" i="6"/>
  <c r="BM317" i="6"/>
  <c r="BM333" i="6"/>
  <c r="BM349" i="6"/>
  <c r="BM365" i="6"/>
  <c r="BN315" i="6"/>
  <c r="BN331" i="6"/>
  <c r="BN347" i="6"/>
  <c r="BN363" i="6"/>
  <c r="BO313" i="6"/>
  <c r="BO329" i="6"/>
  <c r="BO345" i="6"/>
  <c r="BO361" i="6"/>
  <c r="BP311" i="6"/>
  <c r="BP327" i="6"/>
  <c r="BP343" i="6"/>
  <c r="BP359" i="6"/>
  <c r="BQ309" i="6"/>
  <c r="BQ325" i="6"/>
  <c r="BQ341" i="6"/>
  <c r="BQ357" i="6"/>
  <c r="BR307" i="6"/>
  <c r="BR323" i="6"/>
  <c r="BR339" i="6"/>
  <c r="BR355" i="6"/>
  <c r="BR371" i="6"/>
  <c r="BO322" i="6"/>
  <c r="BO338" i="6"/>
  <c r="BO354" i="6"/>
  <c r="BO370" i="6"/>
  <c r="BP322" i="6"/>
  <c r="BP338" i="6"/>
  <c r="BP354" i="6"/>
  <c r="BP370" i="6"/>
  <c r="BQ322" i="6"/>
  <c r="BQ338" i="6"/>
  <c r="BQ354" i="6"/>
  <c r="BQ370" i="6"/>
  <c r="BR322" i="6"/>
  <c r="BR338" i="6"/>
  <c r="BR354" i="6"/>
  <c r="BR370" i="6"/>
  <c r="I335" i="6"/>
  <c r="AH428" i="6"/>
  <c r="I367" i="6"/>
  <c r="BN428" i="6"/>
  <c r="I337" i="6"/>
  <c r="AJ428" i="6"/>
  <c r="I369" i="6"/>
  <c r="BP428" i="6"/>
  <c r="G355" i="6"/>
  <c r="BB418" i="6"/>
  <c r="I320" i="6"/>
  <c r="S428" i="6"/>
  <c r="G332" i="6"/>
  <c r="AE418" i="6"/>
  <c r="F332" i="6"/>
  <c r="AE408" i="6"/>
  <c r="F346" i="6"/>
  <c r="AS408" i="6"/>
  <c r="AE312" i="6"/>
  <c r="K468" i="6"/>
  <c r="AC313" i="6"/>
  <c r="L458" i="6"/>
  <c r="AB312" i="6"/>
  <c r="K448" i="6"/>
  <c r="AC339" i="6"/>
  <c r="AL458" i="6"/>
  <c r="H325" i="6"/>
  <c r="J323" i="6"/>
  <c r="K321" i="6"/>
  <c r="L319" i="6"/>
  <c r="M317" i="6"/>
  <c r="N315" i="6"/>
  <c r="O313" i="6"/>
  <c r="L438" i="6"/>
  <c r="P311" i="6"/>
  <c r="Q309" i="6"/>
  <c r="R307" i="6"/>
  <c r="R371" i="6"/>
  <c r="S369" i="6"/>
  <c r="T367" i="6"/>
  <c r="U365" i="6"/>
  <c r="F337" i="6"/>
  <c r="AJ408" i="6"/>
  <c r="AB370" i="6"/>
  <c r="BQ448" i="6"/>
  <c r="H342" i="6"/>
  <c r="J342" i="6"/>
  <c r="K342" i="6"/>
  <c r="L342" i="6"/>
  <c r="M342" i="6"/>
  <c r="N342" i="6"/>
  <c r="O342" i="6"/>
  <c r="AO438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D342" i="6"/>
  <c r="AF342" i="6"/>
  <c r="AG342" i="6"/>
  <c r="AH342" i="6"/>
  <c r="AO478" i="6"/>
  <c r="AI342" i="6"/>
  <c r="AO488" i="6"/>
  <c r="AJ342" i="6"/>
  <c r="AO498" i="6"/>
  <c r="AK342" i="6"/>
  <c r="AO508" i="6"/>
  <c r="AL342" i="6"/>
  <c r="AO518" i="6"/>
  <c r="AM342" i="6"/>
  <c r="AN342" i="6"/>
  <c r="AO342" i="6"/>
  <c r="AP342" i="6"/>
  <c r="AQ342" i="6"/>
  <c r="AR342" i="6"/>
  <c r="AS342" i="6"/>
  <c r="AT342" i="6"/>
  <c r="AU342" i="6"/>
  <c r="AV342" i="6"/>
  <c r="AW342" i="6"/>
  <c r="AX342" i="6"/>
  <c r="AY342" i="6"/>
  <c r="AZ342" i="6"/>
  <c r="BA342" i="6"/>
  <c r="BB342" i="6"/>
  <c r="BC342" i="6"/>
  <c r="BD342" i="6"/>
  <c r="BE342" i="6"/>
  <c r="BF342" i="6"/>
  <c r="BG342" i="6"/>
  <c r="BH342" i="6"/>
  <c r="AO528" i="6"/>
  <c r="BI342" i="6"/>
  <c r="BJ342" i="6"/>
  <c r="BK342" i="6"/>
  <c r="BL342" i="6"/>
  <c r="BM342" i="6"/>
  <c r="BN342" i="6"/>
  <c r="W325" i="6"/>
  <c r="X323" i="6"/>
  <c r="Y321" i="6"/>
  <c r="Z319" i="6"/>
  <c r="Z361" i="6"/>
  <c r="AA319" i="6"/>
  <c r="AA335" i="6"/>
  <c r="AA351" i="6"/>
  <c r="AA367" i="6"/>
  <c r="AD313" i="6"/>
  <c r="AD329" i="6"/>
  <c r="AD345" i="6"/>
  <c r="AD361" i="6"/>
  <c r="AF309" i="6"/>
  <c r="AF325" i="6"/>
  <c r="AF341" i="6"/>
  <c r="AF357" i="6"/>
  <c r="AG307" i="6"/>
  <c r="AG323" i="6"/>
  <c r="AG339" i="6"/>
  <c r="AG355" i="6"/>
  <c r="AG371" i="6"/>
  <c r="AH321" i="6"/>
  <c r="T478" i="6"/>
  <c r="AH337" i="6"/>
  <c r="AJ478" i="6"/>
  <c r="AH353" i="6"/>
  <c r="AZ478" i="6"/>
  <c r="AH369" i="6"/>
  <c r="BP478" i="6"/>
  <c r="AI319" i="6"/>
  <c r="R488" i="6"/>
  <c r="AI335" i="6"/>
  <c r="AH488" i="6"/>
  <c r="AI351" i="6"/>
  <c r="AX488" i="6"/>
  <c r="AI367" i="6"/>
  <c r="BN488" i="6"/>
  <c r="AJ317" i="6"/>
  <c r="P498" i="6"/>
  <c r="AJ333" i="6"/>
  <c r="AF498" i="6"/>
  <c r="AJ349" i="6"/>
  <c r="AV498" i="6"/>
  <c r="AJ365" i="6"/>
  <c r="BL498" i="6"/>
  <c r="AK315" i="6"/>
  <c r="N508" i="6"/>
  <c r="AK331" i="6"/>
  <c r="AD508" i="6"/>
  <c r="AK347" i="6"/>
  <c r="AT508" i="6"/>
  <c r="AK363" i="6"/>
  <c r="BJ508" i="6"/>
  <c r="AL313" i="6"/>
  <c r="L518" i="6"/>
  <c r="AL329" i="6"/>
  <c r="AB518" i="6"/>
  <c r="AL345" i="6"/>
  <c r="AR518" i="6"/>
  <c r="AL361" i="6"/>
  <c r="BH518" i="6"/>
  <c r="AM311" i="6"/>
  <c r="AM327" i="6"/>
  <c r="AM343" i="6"/>
  <c r="AM359" i="6"/>
  <c r="AN309" i="6"/>
  <c r="AN325" i="6"/>
  <c r="AN341" i="6"/>
  <c r="AN357" i="6"/>
  <c r="AO307" i="6"/>
  <c r="AO323" i="6"/>
  <c r="AO339" i="6"/>
  <c r="AO355" i="6"/>
  <c r="AO371" i="6"/>
  <c r="AP321" i="6"/>
  <c r="AP337" i="6"/>
  <c r="AP353" i="6"/>
  <c r="AP369" i="6"/>
  <c r="AQ319" i="6"/>
  <c r="AQ335" i="6"/>
  <c r="AQ351" i="6"/>
  <c r="AQ367" i="6"/>
  <c r="AR317" i="6"/>
  <c r="AR333" i="6"/>
  <c r="AR349" i="6"/>
  <c r="AR365" i="6"/>
  <c r="AS315" i="6"/>
  <c r="AS331" i="6"/>
  <c r="AS347" i="6"/>
  <c r="AS363" i="6"/>
  <c r="AT313" i="6"/>
  <c r="AT329" i="6"/>
  <c r="AT345" i="6"/>
  <c r="AT361" i="6"/>
  <c r="AU311" i="6"/>
  <c r="AU327" i="6"/>
  <c r="AU343" i="6"/>
  <c r="AU359" i="6"/>
  <c r="AV309" i="6"/>
  <c r="AV325" i="6"/>
  <c r="AV341" i="6"/>
  <c r="AV357" i="6"/>
  <c r="AW307" i="6"/>
  <c r="AW323" i="6"/>
  <c r="AW339" i="6"/>
  <c r="AW355" i="6"/>
  <c r="AW371" i="6"/>
  <c r="AX321" i="6"/>
  <c r="AX337" i="6"/>
  <c r="AX353" i="6"/>
  <c r="AX369" i="6"/>
  <c r="AY319" i="6"/>
  <c r="AY335" i="6"/>
  <c r="AY351" i="6"/>
  <c r="AY367" i="6"/>
  <c r="AZ317" i="6"/>
  <c r="AZ333" i="6"/>
  <c r="AZ349" i="6"/>
  <c r="AZ365" i="6"/>
  <c r="BA315" i="6"/>
  <c r="BA331" i="6"/>
  <c r="BA347" i="6"/>
  <c r="BA363" i="6"/>
  <c r="BB313" i="6"/>
  <c r="BB329" i="6"/>
  <c r="BB345" i="6"/>
  <c r="BB361" i="6"/>
  <c r="BC311" i="6"/>
  <c r="BC327" i="6"/>
  <c r="BC343" i="6"/>
  <c r="BC359" i="6"/>
  <c r="BD309" i="6"/>
  <c r="BD325" i="6"/>
  <c r="BD341" i="6"/>
  <c r="BD357" i="6"/>
  <c r="BE307" i="6"/>
  <c r="BE323" i="6"/>
  <c r="BE339" i="6"/>
  <c r="BE355" i="6"/>
  <c r="BE371" i="6"/>
  <c r="BF321" i="6"/>
  <c r="BF337" i="6"/>
  <c r="BF353" i="6"/>
  <c r="BF369" i="6"/>
  <c r="BG319" i="6"/>
  <c r="BG335" i="6"/>
  <c r="BG351" i="6"/>
  <c r="BG367" i="6"/>
  <c r="BH317" i="6"/>
  <c r="P528" i="6"/>
  <c r="BH333" i="6"/>
  <c r="AF528" i="6"/>
  <c r="BH349" i="6"/>
  <c r="AV528" i="6"/>
  <c r="BH365" i="6"/>
  <c r="BL528" i="6"/>
  <c r="BI315" i="6"/>
  <c r="BI331" i="6"/>
  <c r="BI347" i="6"/>
  <c r="BI363" i="6"/>
  <c r="BJ313" i="6"/>
  <c r="BJ329" i="6"/>
  <c r="BJ345" i="6"/>
  <c r="BJ361" i="6"/>
  <c r="BK311" i="6"/>
  <c r="BK327" i="6"/>
  <c r="BK343" i="6"/>
  <c r="BK359" i="6"/>
  <c r="BL309" i="6"/>
  <c r="BL325" i="6"/>
  <c r="BL341" i="6"/>
  <c r="BL357" i="6"/>
  <c r="BM307" i="6"/>
  <c r="BM323" i="6"/>
  <c r="BM339" i="6"/>
  <c r="BM355" i="6"/>
  <c r="BM371" i="6"/>
  <c r="BN321" i="6"/>
  <c r="BN337" i="6"/>
  <c r="BN353" i="6"/>
  <c r="BN369" i="6"/>
  <c r="BO319" i="6"/>
  <c r="BO335" i="6"/>
  <c r="BO351" i="6"/>
  <c r="BO367" i="6"/>
  <c r="BP317" i="6"/>
  <c r="BP333" i="6"/>
  <c r="BP349" i="6"/>
  <c r="BP365" i="6"/>
  <c r="BQ315" i="6"/>
  <c r="BQ331" i="6"/>
  <c r="BQ347" i="6"/>
  <c r="BQ363" i="6"/>
  <c r="BR313" i="6"/>
  <c r="BR329" i="6"/>
  <c r="BR345" i="6"/>
  <c r="BR361" i="6"/>
  <c r="BO312" i="6"/>
  <c r="BO328" i="6"/>
  <c r="BO344" i="6"/>
  <c r="BO360" i="6"/>
  <c r="BP312" i="6"/>
  <c r="BP328" i="6"/>
  <c r="BP344" i="6"/>
  <c r="BP360" i="6"/>
  <c r="BQ312" i="6"/>
  <c r="BQ328" i="6"/>
  <c r="BQ344" i="6"/>
  <c r="BQ360" i="6"/>
  <c r="BR312" i="6"/>
  <c r="BR328" i="6"/>
  <c r="BR344" i="6"/>
  <c r="BR360" i="6"/>
  <c r="I315" i="6"/>
  <c r="N428" i="6"/>
  <c r="I347" i="6"/>
  <c r="AT428" i="6"/>
  <c r="I309" i="6"/>
  <c r="H428" i="6"/>
  <c r="I341" i="6"/>
  <c r="AN428" i="6"/>
  <c r="G341" i="6"/>
  <c r="AN418" i="6"/>
  <c r="G318" i="6"/>
  <c r="Q418" i="6"/>
  <c r="F313" i="6"/>
  <c r="L408" i="6"/>
  <c r="AB363" i="6"/>
  <c r="BJ448" i="6"/>
  <c r="AC312" i="6"/>
  <c r="K458" i="6"/>
  <c r="J337" i="6"/>
  <c r="L333" i="6"/>
  <c r="N329" i="6"/>
  <c r="P325" i="6"/>
  <c r="R321" i="6"/>
  <c r="T317" i="6"/>
  <c r="V313" i="6"/>
  <c r="AB341" i="6"/>
  <c r="AN448" i="6"/>
  <c r="J356" i="6"/>
  <c r="L356" i="6"/>
  <c r="N356" i="6"/>
  <c r="P356" i="6"/>
  <c r="R356" i="6"/>
  <c r="T356" i="6"/>
  <c r="V356" i="6"/>
  <c r="X356" i="6"/>
  <c r="Z344" i="6"/>
  <c r="AA344" i="6"/>
  <c r="AD344" i="6"/>
  <c r="AF344" i="6"/>
  <c r="AG344" i="6"/>
  <c r="AH344" i="6"/>
  <c r="AQ478" i="6"/>
  <c r="AI344" i="6"/>
  <c r="AQ488" i="6"/>
  <c r="AJ344" i="6"/>
  <c r="AQ498" i="6"/>
  <c r="AK344" i="6"/>
  <c r="AQ508" i="6"/>
  <c r="AL344" i="6"/>
  <c r="AQ518" i="6"/>
  <c r="AM344" i="6"/>
  <c r="AN344" i="6"/>
  <c r="AO344" i="6"/>
  <c r="AP344" i="6"/>
  <c r="AQ344" i="6"/>
  <c r="AR344" i="6"/>
  <c r="AS344" i="6"/>
  <c r="AT344" i="6"/>
  <c r="AU344" i="6"/>
  <c r="AV344" i="6"/>
  <c r="AW344" i="6"/>
  <c r="AX344" i="6"/>
  <c r="AY344" i="6"/>
  <c r="AZ344" i="6"/>
  <c r="BA344" i="6"/>
  <c r="BB344" i="6"/>
  <c r="BC344" i="6"/>
  <c r="BD344" i="6"/>
  <c r="BE344" i="6"/>
  <c r="BF344" i="6"/>
  <c r="BG344" i="6"/>
  <c r="BH344" i="6"/>
  <c r="AQ528" i="6"/>
  <c r="BI344" i="6"/>
  <c r="BJ344" i="6"/>
  <c r="BK344" i="6"/>
  <c r="BL344" i="6"/>
  <c r="BM344" i="6"/>
  <c r="BN344" i="6"/>
  <c r="W327" i="6"/>
  <c r="X325" i="6"/>
  <c r="Y323" i="6"/>
  <c r="Z321" i="6"/>
  <c r="G311" i="6"/>
  <c r="J418" i="6"/>
  <c r="F352" i="6"/>
  <c r="AY408" i="6"/>
  <c r="AE332" i="6"/>
  <c r="AB332" i="6"/>
  <c r="AE448" i="6"/>
  <c r="AB313" i="6"/>
  <c r="L448" i="6"/>
  <c r="J367" i="6"/>
  <c r="L363" i="6"/>
  <c r="N359" i="6"/>
  <c r="P355" i="6"/>
  <c r="R351" i="6"/>
  <c r="T347" i="6"/>
  <c r="V343" i="6"/>
  <c r="H322" i="6"/>
  <c r="K322" i="6"/>
  <c r="M322" i="6"/>
  <c r="O322" i="6"/>
  <c r="U438" i="6"/>
  <c r="Q322" i="6"/>
  <c r="S322" i="6"/>
  <c r="U322" i="6"/>
  <c r="W322" i="6"/>
  <c r="Y322" i="6"/>
  <c r="AA322" i="6"/>
  <c r="AD370" i="6"/>
  <c r="AF370" i="6"/>
  <c r="AG370" i="6"/>
  <c r="AH370" i="6"/>
  <c r="BQ478" i="6"/>
  <c r="AI370" i="6"/>
  <c r="BQ488" i="6"/>
  <c r="AJ370" i="6"/>
  <c r="BQ498" i="6"/>
  <c r="AK370" i="6"/>
  <c r="BQ508" i="6"/>
  <c r="AL370" i="6"/>
  <c r="BQ518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BG370" i="6"/>
  <c r="BH370" i="6"/>
  <c r="BQ528" i="6"/>
  <c r="BI370" i="6"/>
  <c r="BJ370" i="6"/>
  <c r="BK370" i="6"/>
  <c r="BL370" i="6"/>
  <c r="BM370" i="6"/>
  <c r="BN370" i="6"/>
  <c r="W353" i="6"/>
  <c r="X351" i="6"/>
  <c r="Y349" i="6"/>
  <c r="Z343" i="6"/>
  <c r="AA309" i="6"/>
  <c r="I336" i="6"/>
  <c r="AI428" i="6"/>
  <c r="F324" i="6"/>
  <c r="W408" i="6"/>
  <c r="AC369" i="6"/>
  <c r="BP458" i="6"/>
  <c r="AB308" i="6"/>
  <c r="G448" i="6"/>
  <c r="H333" i="6"/>
  <c r="K329" i="6"/>
  <c r="M325" i="6"/>
  <c r="O321" i="6"/>
  <c r="T438" i="6"/>
  <c r="Q317" i="6"/>
  <c r="S313" i="6"/>
  <c r="U309" i="6"/>
  <c r="AE361" i="6"/>
  <c r="BH468" i="6"/>
  <c r="H350" i="6"/>
  <c r="K350" i="6"/>
  <c r="M350" i="6"/>
  <c r="O350" i="6"/>
  <c r="AW438" i="6"/>
  <c r="Q350" i="6"/>
  <c r="S350" i="6"/>
  <c r="U350" i="6"/>
  <c r="W350" i="6"/>
  <c r="Y350" i="6"/>
  <c r="AA350" i="6"/>
  <c r="AF350" i="6"/>
  <c r="AH350" i="6"/>
  <c r="AW478" i="6"/>
  <c r="AJ350" i="6"/>
  <c r="AW498" i="6"/>
  <c r="AL350" i="6"/>
  <c r="AW518" i="6"/>
  <c r="AN350" i="6"/>
  <c r="AP350" i="6"/>
  <c r="AR350" i="6"/>
  <c r="AT350" i="6"/>
  <c r="AV350" i="6"/>
  <c r="AX350" i="6"/>
  <c r="AZ350" i="6"/>
  <c r="BB350" i="6"/>
  <c r="BD350" i="6"/>
  <c r="BF350" i="6"/>
  <c r="BH350" i="6"/>
  <c r="AW528" i="6"/>
  <c r="BJ350" i="6"/>
  <c r="BL350" i="6"/>
  <c r="BN350" i="6"/>
  <c r="X331" i="6"/>
  <c r="Z327" i="6"/>
  <c r="AA321" i="6"/>
  <c r="AA353" i="6"/>
  <c r="AD315" i="6"/>
  <c r="AD331" i="6"/>
  <c r="AD347" i="6"/>
  <c r="AD363" i="6"/>
  <c r="AF311" i="6"/>
  <c r="AF327" i="6"/>
  <c r="AF343" i="6"/>
  <c r="AF359" i="6"/>
  <c r="AG309" i="6"/>
  <c r="AG325" i="6"/>
  <c r="AG341" i="6"/>
  <c r="AG357" i="6"/>
  <c r="AH307" i="6"/>
  <c r="AH323" i="6"/>
  <c r="V478" i="6"/>
  <c r="AH339" i="6"/>
  <c r="AL478" i="6"/>
  <c r="AH355" i="6"/>
  <c r="BB478" i="6"/>
  <c r="AH371" i="6"/>
  <c r="BR478" i="6"/>
  <c r="AI321" i="6"/>
  <c r="T488" i="6"/>
  <c r="AI337" i="6"/>
  <c r="AJ488" i="6"/>
  <c r="AI353" i="6"/>
  <c r="AZ488" i="6"/>
  <c r="AI369" i="6"/>
  <c r="BP488" i="6"/>
  <c r="AJ319" i="6"/>
  <c r="R498" i="6"/>
  <c r="AJ335" i="6"/>
  <c r="AH498" i="6"/>
  <c r="AJ351" i="6"/>
  <c r="AX498" i="6"/>
  <c r="AJ367" i="6"/>
  <c r="BN498" i="6"/>
  <c r="AK317" i="6"/>
  <c r="P508" i="6"/>
  <c r="AK333" i="6"/>
  <c r="AF508" i="6"/>
  <c r="AK349" i="6"/>
  <c r="AV508" i="6"/>
  <c r="AK365" i="6"/>
  <c r="BL508" i="6"/>
  <c r="AL315" i="6"/>
  <c r="N518" i="6"/>
  <c r="AL331" i="6"/>
  <c r="AD518" i="6"/>
  <c r="AL347" i="6"/>
  <c r="AT518" i="6"/>
  <c r="AL363" i="6"/>
  <c r="BJ518" i="6"/>
  <c r="AM313" i="6"/>
  <c r="AM329" i="6"/>
  <c r="AM345" i="6"/>
  <c r="AM361" i="6"/>
  <c r="AN311" i="6"/>
  <c r="AN327" i="6"/>
  <c r="AN343" i="6"/>
  <c r="AN359" i="6"/>
  <c r="AO309" i="6"/>
  <c r="AO325" i="6"/>
  <c r="AO341" i="6"/>
  <c r="AO357" i="6"/>
  <c r="AP307" i="6"/>
  <c r="AP323" i="6"/>
  <c r="AP339" i="6"/>
  <c r="AP355" i="6"/>
  <c r="AP371" i="6"/>
  <c r="AQ321" i="6"/>
  <c r="AQ337" i="6"/>
  <c r="AQ353" i="6"/>
  <c r="AQ369" i="6"/>
  <c r="AR319" i="6"/>
  <c r="AR335" i="6"/>
  <c r="AR351" i="6"/>
  <c r="AR367" i="6"/>
  <c r="AS317" i="6"/>
  <c r="AS333" i="6"/>
  <c r="AS349" i="6"/>
  <c r="AS365" i="6"/>
  <c r="AT315" i="6"/>
  <c r="AT331" i="6"/>
  <c r="AT347" i="6"/>
  <c r="AT363" i="6"/>
  <c r="AU313" i="6"/>
  <c r="AU329" i="6"/>
  <c r="AU345" i="6"/>
  <c r="AU361" i="6"/>
  <c r="AV311" i="6"/>
  <c r="AV327" i="6"/>
  <c r="AV343" i="6"/>
  <c r="AV359" i="6"/>
  <c r="AW309" i="6"/>
  <c r="AW325" i="6"/>
  <c r="AW341" i="6"/>
  <c r="AW357" i="6"/>
  <c r="AX307" i="6"/>
  <c r="AX323" i="6"/>
  <c r="AX339" i="6"/>
  <c r="AX355" i="6"/>
  <c r="AX371" i="6"/>
  <c r="AY321" i="6"/>
  <c r="AY337" i="6"/>
  <c r="AY353" i="6"/>
  <c r="AY369" i="6"/>
  <c r="AZ319" i="6"/>
  <c r="AZ335" i="6"/>
  <c r="AZ351" i="6"/>
  <c r="AZ367" i="6"/>
  <c r="BA317" i="6"/>
  <c r="BA333" i="6"/>
  <c r="BA349" i="6"/>
  <c r="BA365" i="6"/>
  <c r="BB315" i="6"/>
  <c r="BB331" i="6"/>
  <c r="BB347" i="6"/>
  <c r="BB363" i="6"/>
  <c r="BC313" i="6"/>
  <c r="BC329" i="6"/>
  <c r="BC345" i="6"/>
  <c r="BC361" i="6"/>
  <c r="BD311" i="6"/>
  <c r="BD327" i="6"/>
  <c r="BD343" i="6"/>
  <c r="BD359" i="6"/>
  <c r="BE309" i="6"/>
  <c r="BE325" i="6"/>
  <c r="BE341" i="6"/>
  <c r="BE357" i="6"/>
  <c r="BF307" i="6"/>
  <c r="BF323" i="6"/>
  <c r="BF339" i="6"/>
  <c r="BF355" i="6"/>
  <c r="BF371" i="6"/>
  <c r="BG321" i="6"/>
  <c r="BG337" i="6"/>
  <c r="BG353" i="6"/>
  <c r="BG369" i="6"/>
  <c r="BH319" i="6"/>
  <c r="R528" i="6"/>
  <c r="BH335" i="6"/>
  <c r="AH528" i="6"/>
  <c r="BH351" i="6"/>
  <c r="AX528" i="6"/>
  <c r="BH367" i="6"/>
  <c r="BN528" i="6"/>
  <c r="BI317" i="6"/>
  <c r="BI333" i="6"/>
  <c r="BI349" i="6"/>
  <c r="BI365" i="6"/>
  <c r="BJ315" i="6"/>
  <c r="BJ331" i="6"/>
  <c r="BJ347" i="6"/>
  <c r="BJ363" i="6"/>
  <c r="BK313" i="6"/>
  <c r="BK329" i="6"/>
  <c r="BK345" i="6"/>
  <c r="BK361" i="6"/>
  <c r="BL311" i="6"/>
  <c r="BL327" i="6"/>
  <c r="BL343" i="6"/>
  <c r="BL359" i="6"/>
  <c r="BM309" i="6"/>
  <c r="BM325" i="6"/>
  <c r="BM341" i="6"/>
  <c r="BM357" i="6"/>
  <c r="BN307" i="6"/>
  <c r="BN323" i="6"/>
  <c r="BN339" i="6"/>
  <c r="BN355" i="6"/>
  <c r="BN371" i="6"/>
  <c r="BO321" i="6"/>
  <c r="BO337" i="6"/>
  <c r="BO353" i="6"/>
  <c r="BO369" i="6"/>
  <c r="BP319" i="6"/>
  <c r="BP335" i="6"/>
  <c r="BP351" i="6"/>
  <c r="BP367" i="6"/>
  <c r="BQ317" i="6"/>
  <c r="BQ333" i="6"/>
  <c r="BQ349" i="6"/>
  <c r="BQ365" i="6"/>
  <c r="BR315" i="6"/>
  <c r="BR331" i="6"/>
  <c r="BR347" i="6"/>
  <c r="BR363" i="6"/>
  <c r="BO314" i="6"/>
  <c r="BO330" i="6"/>
  <c r="BO346" i="6"/>
  <c r="BO362" i="6"/>
  <c r="BP314" i="6"/>
  <c r="BP330" i="6"/>
  <c r="BP346" i="6"/>
  <c r="BP362" i="6"/>
  <c r="BQ314" i="6"/>
  <c r="BQ330" i="6"/>
  <c r="BQ346" i="6"/>
  <c r="BQ362" i="6"/>
  <c r="BR314" i="6"/>
  <c r="BR330" i="6"/>
  <c r="BR346" i="6"/>
  <c r="BR362" i="6"/>
  <c r="I319" i="6"/>
  <c r="R428" i="6"/>
  <c r="I351" i="6"/>
  <c r="AX428" i="6"/>
  <c r="I321" i="6"/>
  <c r="T428" i="6"/>
  <c r="I353" i="6"/>
  <c r="AZ428" i="6"/>
  <c r="I342" i="6"/>
  <c r="AO428" i="6"/>
  <c r="G323" i="6"/>
  <c r="V418" i="6"/>
  <c r="G364" i="6"/>
  <c r="BK418" i="6"/>
  <c r="F364" i="6"/>
  <c r="BK408" i="6"/>
  <c r="AE368" i="6"/>
  <c r="BO468" i="6"/>
  <c r="AE344" i="6"/>
  <c r="AQ468" i="6"/>
  <c r="AC345" i="6"/>
  <c r="AR458" i="6"/>
  <c r="AB344" i="6"/>
  <c r="AQ448" i="6"/>
  <c r="AE338" i="6"/>
  <c r="AK468" i="6"/>
  <c r="AB337" i="6"/>
  <c r="AJ448" i="6"/>
  <c r="H357" i="6"/>
  <c r="J355" i="6"/>
  <c r="K353" i="6"/>
  <c r="L351" i="6"/>
  <c r="M349" i="6"/>
  <c r="N347" i="6"/>
  <c r="O345" i="6"/>
  <c r="AR438" i="6"/>
  <c r="P343" i="6"/>
  <c r="Q341" i="6"/>
  <c r="R339" i="6"/>
  <c r="S337" i="6"/>
  <c r="T335" i="6"/>
  <c r="U333" i="6"/>
  <c r="V331" i="6"/>
  <c r="AC367" i="6"/>
  <c r="BN458" i="6"/>
  <c r="H310" i="6"/>
  <c r="J310" i="6"/>
  <c r="K310" i="6"/>
  <c r="L310" i="6"/>
  <c r="M310" i="6"/>
  <c r="N310" i="6"/>
  <c r="O310" i="6"/>
  <c r="I438" i="6"/>
  <c r="P310" i="6"/>
  <c r="Q310" i="6"/>
  <c r="I308" i="6"/>
  <c r="G428" i="6"/>
  <c r="F339" i="6"/>
  <c r="AL408" i="6"/>
  <c r="AE319" i="6"/>
  <c r="R468" i="6"/>
  <c r="AB319" i="6"/>
  <c r="R448" i="6"/>
  <c r="H319" i="6"/>
  <c r="K315" i="6"/>
  <c r="M311" i="6"/>
  <c r="O307" i="6"/>
  <c r="P369" i="6"/>
  <c r="R365" i="6"/>
  <c r="T361" i="6"/>
  <c r="F358" i="6"/>
  <c r="BE408" i="6"/>
  <c r="H336" i="6"/>
  <c r="K336" i="6"/>
  <c r="M336" i="6"/>
  <c r="O336" i="6"/>
  <c r="AI438" i="6"/>
  <c r="Q336" i="6"/>
  <c r="S336" i="6"/>
  <c r="U336" i="6"/>
  <c r="W336" i="6"/>
  <c r="Y336" i="6"/>
  <c r="Z364" i="6"/>
  <c r="AA364" i="6"/>
  <c r="AD364" i="6"/>
  <c r="AF364" i="6"/>
  <c r="AG364" i="6"/>
  <c r="AH364" i="6"/>
  <c r="BK478" i="6"/>
  <c r="AI364" i="6"/>
  <c r="BK488" i="6"/>
  <c r="AJ364" i="6"/>
  <c r="BK498" i="6"/>
  <c r="AK364" i="6"/>
  <c r="BK508" i="6"/>
  <c r="AL364" i="6"/>
  <c r="BK518" i="6"/>
  <c r="AM364" i="6"/>
  <c r="AN364" i="6"/>
  <c r="AO364" i="6"/>
  <c r="AP364" i="6"/>
  <c r="AQ364" i="6"/>
  <c r="AR364" i="6"/>
  <c r="AS364" i="6"/>
  <c r="AT364" i="6"/>
  <c r="AU364" i="6"/>
  <c r="AV364" i="6"/>
  <c r="AW364" i="6"/>
  <c r="AX364" i="6"/>
  <c r="AY364" i="6"/>
  <c r="AZ364" i="6"/>
  <c r="BA364" i="6"/>
  <c r="BB364" i="6"/>
  <c r="BC364" i="6"/>
  <c r="BD364" i="6"/>
  <c r="BE364" i="6"/>
  <c r="BF364" i="6"/>
  <c r="BG364" i="6"/>
  <c r="BH364" i="6"/>
  <c r="BK528" i="6"/>
  <c r="BI364" i="6"/>
  <c r="BJ364" i="6"/>
  <c r="BK364" i="6"/>
  <c r="BL364" i="6"/>
  <c r="BM364" i="6"/>
  <c r="BN364" i="6"/>
  <c r="W347" i="6"/>
  <c r="X345" i="6"/>
  <c r="Y343" i="6"/>
  <c r="I318" i="6"/>
  <c r="Q428" i="6"/>
  <c r="I360" i="6"/>
  <c r="BG428" i="6"/>
  <c r="F316" i="6"/>
  <c r="O408" i="6"/>
  <c r="AC357" i="6"/>
  <c r="BD458" i="6"/>
  <c r="F314" i="6"/>
  <c r="M408" i="6"/>
  <c r="H345" i="6"/>
  <c r="K341" i="6"/>
  <c r="M337" i="6"/>
  <c r="O333" i="6"/>
  <c r="AF438" i="6"/>
  <c r="Q329" i="6"/>
  <c r="S325" i="6"/>
  <c r="U321" i="6"/>
  <c r="AE329" i="6"/>
  <c r="AB468" i="6"/>
  <c r="H362" i="6"/>
  <c r="K362" i="6"/>
  <c r="M362" i="6"/>
  <c r="O362" i="6"/>
  <c r="BI438" i="6"/>
  <c r="Q362" i="6"/>
  <c r="S362" i="6"/>
  <c r="U362" i="6"/>
  <c r="W362" i="6"/>
  <c r="Y362" i="6"/>
  <c r="AA362" i="6"/>
  <c r="AF330" i="6"/>
  <c r="AG330" i="6"/>
  <c r="AH330" i="6"/>
  <c r="AC478" i="6"/>
  <c r="AI330" i="6"/>
  <c r="AC488" i="6"/>
  <c r="AJ330" i="6"/>
  <c r="AC498" i="6"/>
  <c r="AK330" i="6"/>
  <c r="AC508" i="6"/>
  <c r="AL330" i="6"/>
  <c r="AC518" i="6"/>
  <c r="AM330" i="6"/>
  <c r="AN330" i="6"/>
  <c r="AO330" i="6"/>
  <c r="AP330" i="6"/>
  <c r="AQ330" i="6"/>
  <c r="AR330" i="6"/>
  <c r="AS330" i="6"/>
  <c r="AT330" i="6"/>
  <c r="AU330" i="6"/>
  <c r="AV330" i="6"/>
  <c r="AW330" i="6"/>
  <c r="AX330" i="6"/>
  <c r="AY330" i="6"/>
  <c r="AZ330" i="6"/>
  <c r="BA330" i="6"/>
  <c r="BB330" i="6"/>
  <c r="BC330" i="6"/>
  <c r="BD330" i="6"/>
  <c r="BE330" i="6"/>
  <c r="BF330" i="6"/>
  <c r="BG330" i="6"/>
  <c r="BH330" i="6"/>
  <c r="AC528" i="6"/>
  <c r="BI330" i="6"/>
  <c r="BJ330" i="6"/>
  <c r="BK330" i="6"/>
  <c r="BL330" i="6"/>
  <c r="BM330" i="6"/>
  <c r="BN330" i="6"/>
  <c r="W313" i="6"/>
  <c r="X311" i="6"/>
  <c r="Y309" i="6"/>
  <c r="Z307" i="6"/>
  <c r="Z355" i="6"/>
  <c r="G363" i="6"/>
  <c r="BJ418" i="6"/>
  <c r="G340" i="6"/>
  <c r="AM418" i="6"/>
  <c r="F362" i="6"/>
  <c r="BI408" i="6"/>
  <c r="AC321" i="6"/>
  <c r="T458" i="6"/>
  <c r="AC355" i="6"/>
  <c r="BB458" i="6"/>
  <c r="J315" i="6"/>
  <c r="L311" i="6"/>
  <c r="N307" i="6"/>
  <c r="O369" i="6"/>
  <c r="BP438" i="6"/>
  <c r="Q365" i="6"/>
  <c r="S361" i="6"/>
  <c r="U357" i="6"/>
  <c r="AC319" i="6"/>
  <c r="R458" i="6"/>
  <c r="J334" i="6"/>
  <c r="L334" i="6"/>
  <c r="N334" i="6"/>
  <c r="P334" i="6"/>
  <c r="R334" i="6"/>
  <c r="T334" i="6"/>
  <c r="V334" i="6"/>
  <c r="X334" i="6"/>
  <c r="Z334" i="6"/>
  <c r="AD334" i="6"/>
  <c r="AG334" i="6"/>
  <c r="AI334" i="6"/>
  <c r="AG488" i="6"/>
  <c r="AK334" i="6"/>
  <c r="AG508" i="6"/>
  <c r="AM334" i="6"/>
  <c r="AO334" i="6"/>
  <c r="AQ334" i="6"/>
  <c r="AS334" i="6"/>
  <c r="AU334" i="6"/>
  <c r="AW334" i="6"/>
  <c r="AY334" i="6"/>
  <c r="BA334" i="6"/>
  <c r="BC334" i="6"/>
  <c r="BE334" i="6"/>
  <c r="BG334" i="6"/>
  <c r="BI334" i="6"/>
  <c r="BK334" i="6"/>
  <c r="BM334" i="6"/>
  <c r="W317" i="6"/>
  <c r="Y313" i="6"/>
  <c r="Z357" i="6"/>
  <c r="AA333" i="6"/>
  <c r="AA365" i="6"/>
  <c r="AD319" i="6"/>
  <c r="AD335" i="6"/>
  <c r="AD351" i="6"/>
  <c r="AD367" i="6"/>
  <c r="AF315" i="6"/>
  <c r="AF331" i="6"/>
  <c r="AF347" i="6"/>
  <c r="AF363" i="6"/>
  <c r="AG313" i="6"/>
  <c r="AG329" i="6"/>
  <c r="AG345" i="6"/>
  <c r="AG361" i="6"/>
  <c r="AH311" i="6"/>
  <c r="J478" i="6"/>
  <c r="AH327" i="6"/>
  <c r="Z478" i="6"/>
  <c r="AH343" i="6"/>
  <c r="AP478" i="6"/>
  <c r="AH359" i="6"/>
  <c r="BF478" i="6"/>
  <c r="AI309" i="6"/>
  <c r="H488" i="6"/>
  <c r="AI325" i="6"/>
  <c r="X488" i="6"/>
  <c r="AI341" i="6"/>
  <c r="AN488" i="6"/>
  <c r="AI357" i="6"/>
  <c r="BD488" i="6"/>
  <c r="AJ307" i="6"/>
  <c r="AJ323" i="6"/>
  <c r="V498" i="6"/>
  <c r="AJ339" i="6"/>
  <c r="AL498" i="6"/>
  <c r="AJ355" i="6"/>
  <c r="BB498" i="6"/>
  <c r="AJ371" i="6"/>
  <c r="BR498" i="6"/>
  <c r="AK321" i="6"/>
  <c r="T508" i="6"/>
  <c r="AK337" i="6"/>
  <c r="AJ508" i="6"/>
  <c r="AK353" i="6"/>
  <c r="AZ508" i="6"/>
  <c r="AK369" i="6"/>
  <c r="BP508" i="6"/>
  <c r="AL319" i="6"/>
  <c r="R518" i="6"/>
  <c r="AL335" i="6"/>
  <c r="AH518" i="6"/>
  <c r="AL351" i="6"/>
  <c r="AX518" i="6"/>
  <c r="AL367" i="6"/>
  <c r="BN518" i="6"/>
  <c r="AM317" i="6"/>
  <c r="AM333" i="6"/>
  <c r="AM349" i="6"/>
  <c r="AM365" i="6"/>
  <c r="AN315" i="6"/>
  <c r="AN331" i="6"/>
  <c r="AN347" i="6"/>
  <c r="AN363" i="6"/>
  <c r="AO313" i="6"/>
  <c r="AO329" i="6"/>
  <c r="AO345" i="6"/>
  <c r="AO361" i="6"/>
  <c r="AP311" i="6"/>
  <c r="AP327" i="6"/>
  <c r="AP343" i="6"/>
  <c r="AP359" i="6"/>
  <c r="AQ309" i="6"/>
  <c r="AQ325" i="6"/>
  <c r="AQ341" i="6"/>
  <c r="AQ357" i="6"/>
  <c r="AR307" i="6"/>
  <c r="AR323" i="6"/>
  <c r="AR339" i="6"/>
  <c r="AR355" i="6"/>
  <c r="AR371" i="6"/>
  <c r="AS321" i="6"/>
  <c r="AS337" i="6"/>
  <c r="AS353" i="6"/>
  <c r="AS369" i="6"/>
  <c r="AT319" i="6"/>
  <c r="AT335" i="6"/>
  <c r="AT351" i="6"/>
  <c r="AT367" i="6"/>
  <c r="AU317" i="6"/>
  <c r="AU333" i="6"/>
  <c r="AU349" i="6"/>
  <c r="AU365" i="6"/>
  <c r="AV315" i="6"/>
  <c r="AV331" i="6"/>
  <c r="AV347" i="6"/>
  <c r="AV363" i="6"/>
  <c r="AW313" i="6"/>
  <c r="AW329" i="6"/>
  <c r="AW345" i="6"/>
  <c r="AW361" i="6"/>
  <c r="AX311" i="6"/>
  <c r="AX327" i="6"/>
  <c r="AX343" i="6"/>
  <c r="AX359" i="6"/>
  <c r="AY309" i="6"/>
  <c r="AY325" i="6"/>
  <c r="AY341" i="6"/>
  <c r="AY357" i="6"/>
  <c r="AZ307" i="6"/>
  <c r="AZ323" i="6"/>
  <c r="AZ339" i="6"/>
  <c r="AZ355" i="6"/>
  <c r="AZ371" i="6"/>
  <c r="BA321" i="6"/>
  <c r="BA337" i="6"/>
  <c r="BA353" i="6"/>
  <c r="BA369" i="6"/>
  <c r="BB319" i="6"/>
  <c r="BB335" i="6"/>
  <c r="BB351" i="6"/>
  <c r="BB367" i="6"/>
  <c r="BC317" i="6"/>
  <c r="BC333" i="6"/>
  <c r="BC349" i="6"/>
  <c r="BC365" i="6"/>
  <c r="BD315" i="6"/>
  <c r="BD331" i="6"/>
  <c r="BD347" i="6"/>
  <c r="BD363" i="6"/>
  <c r="BE313" i="6"/>
  <c r="BE329" i="6"/>
  <c r="BE345" i="6"/>
  <c r="BE361" i="6"/>
  <c r="BF311" i="6"/>
  <c r="BF327" i="6"/>
  <c r="BF343" i="6"/>
  <c r="BF359" i="6"/>
  <c r="BG309" i="6"/>
  <c r="BG325" i="6"/>
  <c r="BG341" i="6"/>
  <c r="BG357" i="6"/>
  <c r="BH307" i="6"/>
  <c r="BH323" i="6"/>
  <c r="V528" i="6"/>
  <c r="BH339" i="6"/>
  <c r="AL528" i="6"/>
  <c r="BH355" i="6"/>
  <c r="BB528" i="6"/>
  <c r="BH371" i="6"/>
  <c r="BR528" i="6"/>
  <c r="BI321" i="6"/>
  <c r="BI337" i="6"/>
  <c r="BI353" i="6"/>
  <c r="BI369" i="6"/>
  <c r="BJ319" i="6"/>
  <c r="BJ335" i="6"/>
  <c r="BJ351" i="6"/>
  <c r="BJ367" i="6"/>
  <c r="BK317" i="6"/>
  <c r="BK333" i="6"/>
  <c r="BK349" i="6"/>
  <c r="BK365" i="6"/>
  <c r="BL315" i="6"/>
  <c r="BL331" i="6"/>
  <c r="BL347" i="6"/>
  <c r="BL363" i="6"/>
  <c r="BM313" i="6"/>
  <c r="BM329" i="6"/>
  <c r="BM345" i="6"/>
  <c r="BM361" i="6"/>
  <c r="BN311" i="6"/>
  <c r="BN327" i="6"/>
  <c r="BN343" i="6"/>
  <c r="BN359" i="6"/>
  <c r="BO309" i="6"/>
  <c r="BO325" i="6"/>
  <c r="BO341" i="6"/>
  <c r="BO357" i="6"/>
  <c r="BP307" i="6"/>
  <c r="BP323" i="6"/>
  <c r="BP339" i="6"/>
  <c r="BP355" i="6"/>
  <c r="BP371" i="6"/>
  <c r="BQ321" i="6"/>
  <c r="BQ337" i="6"/>
  <c r="BQ353" i="6"/>
  <c r="BQ369" i="6"/>
  <c r="BR319" i="6"/>
  <c r="BR335" i="6"/>
  <c r="BR351" i="6"/>
  <c r="BR367" i="6"/>
  <c r="BO318" i="6"/>
  <c r="BO334" i="6"/>
  <c r="BO350" i="6"/>
  <c r="BO366" i="6"/>
  <c r="BP318" i="6"/>
  <c r="BP334" i="6"/>
  <c r="BP350" i="6"/>
  <c r="BP366" i="6"/>
  <c r="BQ318" i="6"/>
  <c r="BQ334" i="6"/>
  <c r="BQ350" i="6"/>
  <c r="BQ366" i="6"/>
  <c r="BR318" i="6"/>
  <c r="BR334" i="6"/>
  <c r="BR350" i="6"/>
  <c r="BR366" i="6"/>
  <c r="I327" i="6"/>
  <c r="Z428" i="6"/>
  <c r="I359" i="6"/>
  <c r="BF428" i="6"/>
  <c r="I329" i="6"/>
  <c r="AB428" i="6"/>
  <c r="I361" i="6"/>
  <c r="BH428" i="6"/>
  <c r="G371" i="6"/>
  <c r="BR418" i="6"/>
  <c r="G307" i="6"/>
  <c r="G348" i="6"/>
  <c r="AU418" i="6"/>
  <c r="F348" i="6"/>
  <c r="AU408" i="6"/>
  <c r="AE352" i="6"/>
  <c r="AY468" i="6"/>
  <c r="AE328" i="6"/>
  <c r="AA468" i="6"/>
  <c r="AC329" i="6"/>
  <c r="AB458" i="6"/>
  <c r="AB328" i="6"/>
  <c r="AA448" i="6"/>
  <c r="AC371" i="6"/>
  <c r="BR458" i="6"/>
  <c r="H309" i="6"/>
  <c r="J307" i="6"/>
  <c r="J371" i="6"/>
  <c r="K369" i="6"/>
  <c r="L367" i="6"/>
  <c r="M365" i="6"/>
  <c r="N363" i="6"/>
  <c r="O361" i="6"/>
  <c r="BH438" i="6"/>
  <c r="P359" i="6"/>
  <c r="Q357" i="6"/>
  <c r="R355" i="6"/>
  <c r="S353" i="6"/>
  <c r="T351" i="6"/>
  <c r="U349" i="6"/>
  <c r="V347" i="6"/>
  <c r="AC335" i="6"/>
  <c r="AH458" i="6"/>
  <c r="H326" i="6"/>
  <c r="J326" i="6"/>
  <c r="K326" i="6"/>
  <c r="L326" i="6"/>
  <c r="M326" i="6"/>
  <c r="N326" i="6"/>
  <c r="O326" i="6"/>
  <c r="Y438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D326" i="6"/>
  <c r="AF326" i="6"/>
  <c r="AG326" i="6"/>
  <c r="AH326" i="6"/>
  <c r="Y478" i="6"/>
  <c r="AI326" i="6"/>
  <c r="Y488" i="6"/>
  <c r="AJ326" i="6"/>
  <c r="Y498" i="6"/>
  <c r="AK326" i="6"/>
  <c r="Y508" i="6"/>
  <c r="AL326" i="6"/>
  <c r="Y518" i="6"/>
  <c r="AM326" i="6"/>
  <c r="AN326" i="6"/>
  <c r="AO326" i="6"/>
  <c r="AP326" i="6"/>
  <c r="AQ326" i="6"/>
  <c r="AR326" i="6"/>
  <c r="AS326" i="6"/>
  <c r="AT326" i="6"/>
  <c r="AU326" i="6"/>
  <c r="AV326" i="6"/>
  <c r="AW326" i="6"/>
  <c r="AX326" i="6"/>
  <c r="AY326" i="6"/>
  <c r="AZ326" i="6"/>
  <c r="BA326" i="6"/>
  <c r="BB326" i="6"/>
  <c r="BC326" i="6"/>
  <c r="BD326" i="6"/>
  <c r="BE326" i="6"/>
  <c r="BF326" i="6"/>
  <c r="BG326" i="6"/>
  <c r="BH326" i="6"/>
  <c r="Y528" i="6"/>
  <c r="BI326" i="6"/>
  <c r="BJ326" i="6"/>
  <c r="BK326" i="6"/>
  <c r="BL326" i="6"/>
  <c r="BM326" i="6"/>
  <c r="BN326" i="6"/>
  <c r="W309" i="6"/>
  <c r="X307" i="6"/>
  <c r="X371" i="6"/>
  <c r="Y369" i="6"/>
  <c r="Z353" i="6"/>
  <c r="AA315" i="6"/>
  <c r="AA331" i="6"/>
  <c r="AA347" i="6"/>
  <c r="AA363" i="6"/>
  <c r="AD309" i="6"/>
  <c r="AD325" i="6"/>
  <c r="AD341" i="6"/>
  <c r="AD357" i="6"/>
  <c r="AE307" i="6"/>
  <c r="AF321" i="6"/>
  <c r="AF337" i="6"/>
  <c r="AF353" i="6"/>
  <c r="AF369" i="6"/>
  <c r="AG319" i="6"/>
  <c r="AG335" i="6"/>
  <c r="AG351" i="6"/>
  <c r="AG367" i="6"/>
  <c r="AH317" i="6"/>
  <c r="P478" i="6"/>
  <c r="AH333" i="6"/>
  <c r="AF478" i="6"/>
  <c r="AH349" i="6"/>
  <c r="AV478" i="6"/>
  <c r="AH365" i="6"/>
  <c r="BL478" i="6"/>
  <c r="AI315" i="6"/>
  <c r="N488" i="6"/>
  <c r="AI331" i="6"/>
  <c r="AD488" i="6"/>
  <c r="AI347" i="6"/>
  <c r="AT488" i="6"/>
  <c r="AI363" i="6"/>
  <c r="BJ488" i="6"/>
  <c r="AJ313" i="6"/>
  <c r="L498" i="6"/>
  <c r="AJ329" i="6"/>
  <c r="AB498" i="6"/>
  <c r="AJ345" i="6"/>
  <c r="AR498" i="6"/>
  <c r="AJ361" i="6"/>
  <c r="BH498" i="6"/>
  <c r="AK311" i="6"/>
  <c r="J508" i="6"/>
  <c r="AK327" i="6"/>
  <c r="Z508" i="6"/>
  <c r="AK343" i="6"/>
  <c r="AP508" i="6"/>
  <c r="AK359" i="6"/>
  <c r="BF508" i="6"/>
  <c r="AL309" i="6"/>
  <c r="H518" i="6"/>
  <c r="AL325" i="6"/>
  <c r="X518" i="6"/>
  <c r="AL341" i="6"/>
  <c r="AN518" i="6"/>
  <c r="AL357" i="6"/>
  <c r="BD518" i="6"/>
  <c r="AM307" i="6"/>
  <c r="AM323" i="6"/>
  <c r="AM339" i="6"/>
  <c r="AM355" i="6"/>
  <c r="AM371" i="6"/>
  <c r="AN321" i="6"/>
  <c r="AN337" i="6"/>
  <c r="AN353" i="6"/>
  <c r="AN369" i="6"/>
  <c r="AO319" i="6"/>
  <c r="AO335" i="6"/>
  <c r="AO351" i="6"/>
  <c r="AO367" i="6"/>
  <c r="AP317" i="6"/>
  <c r="AP333" i="6"/>
  <c r="AP349" i="6"/>
  <c r="AP365" i="6"/>
  <c r="AQ315" i="6"/>
  <c r="AQ331" i="6"/>
  <c r="AQ347" i="6"/>
  <c r="AQ363" i="6"/>
  <c r="AR313" i="6"/>
  <c r="AR329" i="6"/>
  <c r="AR345" i="6"/>
  <c r="AR361" i="6"/>
  <c r="AS311" i="6"/>
  <c r="AS327" i="6"/>
  <c r="AS343" i="6"/>
  <c r="AS359" i="6"/>
  <c r="AT309" i="6"/>
  <c r="AT325" i="6"/>
  <c r="AT341" i="6"/>
  <c r="AT357" i="6"/>
  <c r="AU307" i="6"/>
  <c r="AU323" i="6"/>
  <c r="AU339" i="6"/>
  <c r="AU355" i="6"/>
  <c r="AU371" i="6"/>
  <c r="AV321" i="6"/>
  <c r="AV337" i="6"/>
  <c r="AV353" i="6"/>
  <c r="AV369" i="6"/>
  <c r="AW319" i="6"/>
  <c r="AW335" i="6"/>
  <c r="AW351" i="6"/>
  <c r="AW367" i="6"/>
  <c r="AX317" i="6"/>
  <c r="AX333" i="6"/>
  <c r="AX349" i="6"/>
  <c r="AX365" i="6"/>
  <c r="AY315" i="6"/>
  <c r="AY331" i="6"/>
  <c r="AY347" i="6"/>
  <c r="AY363" i="6"/>
  <c r="AZ313" i="6"/>
  <c r="AZ329" i="6"/>
  <c r="AZ345" i="6"/>
  <c r="AZ361" i="6"/>
  <c r="BA311" i="6"/>
  <c r="BA327" i="6"/>
  <c r="BA343" i="6"/>
  <c r="BA359" i="6"/>
  <c r="BB309" i="6"/>
  <c r="BB325" i="6"/>
  <c r="BB341" i="6"/>
  <c r="BB357" i="6"/>
  <c r="BC307" i="6"/>
  <c r="BC323" i="6"/>
  <c r="BC339" i="6"/>
  <c r="BC355" i="6"/>
  <c r="BC371" i="6"/>
  <c r="BD321" i="6"/>
  <c r="BD337" i="6"/>
  <c r="BD353" i="6"/>
  <c r="BD369" i="6"/>
  <c r="BE319" i="6"/>
  <c r="BE335" i="6"/>
  <c r="BE351" i="6"/>
  <c r="BE367" i="6"/>
  <c r="BF317" i="6"/>
  <c r="BF333" i="6"/>
  <c r="BF349" i="6"/>
  <c r="BF365" i="6"/>
  <c r="BG315" i="6"/>
  <c r="BG331" i="6"/>
  <c r="BG347" i="6"/>
  <c r="BG363" i="6"/>
  <c r="BH313" i="6"/>
  <c r="L528" i="6"/>
  <c r="BH329" i="6"/>
  <c r="AB528" i="6"/>
  <c r="BH345" i="6"/>
  <c r="AR528" i="6"/>
  <c r="BH361" i="6"/>
  <c r="BI311" i="6"/>
  <c r="BI327" i="6"/>
  <c r="BI343" i="6"/>
  <c r="BI359" i="6"/>
  <c r="BJ309" i="6"/>
  <c r="BJ325" i="6"/>
  <c r="BJ341" i="6"/>
  <c r="BJ357" i="6"/>
  <c r="BK307" i="6"/>
  <c r="BK323" i="6"/>
  <c r="BK339" i="6"/>
  <c r="BK355" i="6"/>
  <c r="BK371" i="6"/>
  <c r="BL321" i="6"/>
  <c r="BL337" i="6"/>
  <c r="BL353" i="6"/>
  <c r="BL369" i="6"/>
  <c r="BM319" i="6"/>
  <c r="BM335" i="6"/>
  <c r="BM351" i="6"/>
  <c r="BM367" i="6"/>
  <c r="BN317" i="6"/>
  <c r="BN333" i="6"/>
  <c r="BN349" i="6"/>
  <c r="BN365" i="6"/>
  <c r="BO315" i="6"/>
  <c r="BO331" i="6"/>
  <c r="BO347" i="6"/>
  <c r="BO363" i="6"/>
  <c r="BP313" i="6"/>
  <c r="BP329" i="6"/>
  <c r="BP345" i="6"/>
  <c r="BP361" i="6"/>
  <c r="BQ311" i="6"/>
  <c r="BQ327" i="6"/>
  <c r="BQ343" i="6"/>
  <c r="BQ359" i="6"/>
  <c r="BR309" i="6"/>
  <c r="BR325" i="6"/>
  <c r="BR341" i="6"/>
  <c r="BR357" i="6"/>
  <c r="BO308" i="6"/>
  <c r="BO324" i="6"/>
  <c r="BO340" i="6"/>
  <c r="BO356" i="6"/>
  <c r="BP308" i="6"/>
  <c r="BP324" i="6"/>
  <c r="BP340" i="6"/>
  <c r="BP356" i="6"/>
  <c r="BQ308" i="6"/>
  <c r="BQ324" i="6"/>
  <c r="BQ340" i="6"/>
  <c r="BQ356" i="6"/>
  <c r="BR308" i="6"/>
  <c r="BR324" i="6"/>
  <c r="BR340" i="6"/>
  <c r="BR356" i="6"/>
  <c r="I307" i="6"/>
  <c r="I339" i="6"/>
  <c r="AL428" i="6"/>
  <c r="I371" i="6"/>
  <c r="BR428" i="6"/>
  <c r="I333" i="6"/>
  <c r="AF428" i="6"/>
  <c r="I365" i="6"/>
  <c r="BL428" i="6"/>
  <c r="G361" i="6"/>
  <c r="BH418" i="6"/>
  <c r="G338" i="6"/>
  <c r="AK418" i="6"/>
  <c r="F357" i="6"/>
  <c r="BD408" i="6"/>
  <c r="AC318" i="6"/>
  <c r="Q458" i="6"/>
  <c r="AC352" i="6"/>
  <c r="AY458" i="6"/>
  <c r="J317" i="6"/>
  <c r="L313" i="6"/>
  <c r="N309" i="6"/>
  <c r="O371" i="6"/>
  <c r="BR438" i="6"/>
  <c r="Q367" i="6"/>
  <c r="S363" i="6"/>
  <c r="U359" i="6"/>
  <c r="AC316" i="6"/>
  <c r="O458" i="6"/>
  <c r="J336" i="6"/>
  <c r="L336" i="6"/>
  <c r="N336" i="6"/>
  <c r="P336" i="6"/>
  <c r="R336" i="6"/>
  <c r="T336" i="6"/>
  <c r="V336" i="6"/>
  <c r="X336" i="6"/>
  <c r="Z332" i="6"/>
  <c r="AA332" i="6"/>
  <c r="AD332" i="6"/>
  <c r="AF332" i="6"/>
  <c r="AG332" i="6"/>
  <c r="AH332" i="6"/>
  <c r="AE478" i="6"/>
  <c r="AI332" i="6"/>
  <c r="AE488" i="6"/>
  <c r="AJ332" i="6"/>
  <c r="AE498" i="6"/>
  <c r="AK332" i="6"/>
  <c r="AE508" i="6"/>
  <c r="AL332" i="6"/>
  <c r="AE518" i="6"/>
  <c r="AM332" i="6"/>
  <c r="AN332" i="6"/>
  <c r="AO332" i="6"/>
  <c r="AP332" i="6"/>
  <c r="AQ332" i="6"/>
  <c r="AR332" i="6"/>
  <c r="AS332" i="6"/>
  <c r="AT332" i="6"/>
  <c r="AU332" i="6"/>
  <c r="AV332" i="6"/>
  <c r="AW332" i="6"/>
  <c r="AX332" i="6"/>
  <c r="AY332" i="6"/>
  <c r="AZ332" i="6"/>
  <c r="BA332" i="6"/>
  <c r="BB332" i="6"/>
  <c r="BC332" i="6"/>
  <c r="BD332" i="6"/>
  <c r="BE332" i="6"/>
  <c r="BF332" i="6"/>
  <c r="BG332" i="6"/>
  <c r="BH332" i="6"/>
  <c r="AE528" i="6"/>
  <c r="BL332" i="6"/>
  <c r="X313" i="6"/>
  <c r="G312" i="6"/>
  <c r="K418" i="6"/>
  <c r="J343" i="6"/>
  <c r="R327" i="6"/>
  <c r="J362" i="6"/>
  <c r="R362" i="6"/>
  <c r="Z362" i="6"/>
  <c r="AH362" i="6"/>
  <c r="BI478" i="6"/>
  <c r="AL362" i="6"/>
  <c r="BI518" i="6"/>
  <c r="AP362" i="6"/>
  <c r="AT362" i="6"/>
  <c r="AX362" i="6"/>
  <c r="BB362" i="6"/>
  <c r="BF362" i="6"/>
  <c r="BJ362" i="6"/>
  <c r="BN362" i="6"/>
  <c r="Z339" i="6"/>
  <c r="AE320" i="6"/>
  <c r="S468" i="6"/>
  <c r="M309" i="6"/>
  <c r="T359" i="6"/>
  <c r="M334" i="6"/>
  <c r="U334" i="6"/>
  <c r="AF334" i="6"/>
  <c r="AN334" i="6"/>
  <c r="AV334" i="6"/>
  <c r="BD334" i="6"/>
  <c r="BL334" i="6"/>
  <c r="AA317" i="6"/>
  <c r="AD343" i="6"/>
  <c r="AF339" i="6"/>
  <c r="AG337" i="6"/>
  <c r="AH335" i="6"/>
  <c r="AI333" i="6"/>
  <c r="AF488" i="6"/>
  <c r="AJ331" i="6"/>
  <c r="AD498" i="6"/>
  <c r="AK329" i="6"/>
  <c r="AB508" i="6"/>
  <c r="AL327" i="6"/>
  <c r="Z518" i="6"/>
  <c r="AM325" i="6"/>
  <c r="AN323" i="6"/>
  <c r="AO321" i="6"/>
  <c r="AP319" i="6"/>
  <c r="AQ317" i="6"/>
  <c r="AR315" i="6"/>
  <c r="AS313" i="6"/>
  <c r="AT311" i="6"/>
  <c r="AU309" i="6"/>
  <c r="AV307" i="6"/>
  <c r="AV371" i="6"/>
  <c r="AW369" i="6"/>
  <c r="AX367" i="6"/>
  <c r="AY365" i="6"/>
  <c r="AZ363" i="6"/>
  <c r="BA361" i="6"/>
  <c r="BB359" i="6"/>
  <c r="BC357" i="6"/>
  <c r="BD355" i="6"/>
  <c r="BE353" i="6"/>
  <c r="BF351" i="6"/>
  <c r="BG349" i="6"/>
  <c r="BH347" i="6"/>
  <c r="AT528" i="6"/>
  <c r="BI345" i="6"/>
  <c r="BJ343" i="6"/>
  <c r="BK341" i="6"/>
  <c r="BL339" i="6"/>
  <c r="BM337" i="6"/>
  <c r="BN335" i="6"/>
  <c r="BO333" i="6"/>
  <c r="BP331" i="6"/>
  <c r="BQ329" i="6"/>
  <c r="BR327" i="6"/>
  <c r="BO326" i="6"/>
  <c r="BP326" i="6"/>
  <c r="BQ326" i="6"/>
  <c r="BR326" i="6"/>
  <c r="I343" i="6"/>
  <c r="AP428" i="6"/>
  <c r="G339" i="6"/>
  <c r="AL418" i="6"/>
  <c r="F310" i="6"/>
  <c r="I408" i="6"/>
  <c r="AB369" i="6"/>
  <c r="BP448" i="6"/>
  <c r="L335" i="6"/>
  <c r="P327" i="6"/>
  <c r="T319" i="6"/>
  <c r="AB338" i="6"/>
  <c r="AK448" i="6"/>
  <c r="L358" i="6"/>
  <c r="P358" i="6"/>
  <c r="S310" i="6"/>
  <c r="U310" i="6"/>
  <c r="W310" i="6"/>
  <c r="Y310" i="6"/>
  <c r="AA310" i="6"/>
  <c r="AF310" i="6"/>
  <c r="AH310" i="6"/>
  <c r="I478" i="6"/>
  <c r="AJ310" i="6"/>
  <c r="I498" i="6"/>
  <c r="AL310" i="6"/>
  <c r="I518" i="6"/>
  <c r="AN310" i="6"/>
  <c r="AP310" i="6"/>
  <c r="AR310" i="6"/>
  <c r="AT310" i="6"/>
  <c r="AV310" i="6"/>
  <c r="AX310" i="6"/>
  <c r="AZ310" i="6"/>
  <c r="BB310" i="6"/>
  <c r="BD310" i="6"/>
  <c r="BF310" i="6"/>
  <c r="BH310" i="6"/>
  <c r="I528" i="6"/>
  <c r="BJ310" i="6"/>
  <c r="BL310" i="6"/>
  <c r="BN310" i="6"/>
  <c r="W357" i="6"/>
  <c r="Y353" i="6"/>
  <c r="AA311" i="6"/>
  <c r="AA343" i="6"/>
  <c r="AC307" i="6"/>
  <c r="AD337" i="6"/>
  <c r="AD369" i="6"/>
  <c r="AF333" i="6"/>
  <c r="AF365" i="6"/>
  <c r="AG331" i="6"/>
  <c r="AG363" i="6"/>
  <c r="AH329" i="6"/>
  <c r="AB478" i="6"/>
  <c r="AH361" i="6"/>
  <c r="BH478" i="6"/>
  <c r="AI327" i="6"/>
  <c r="Z488" i="6"/>
  <c r="AI359" i="6"/>
  <c r="BF488" i="6"/>
  <c r="AJ325" i="6"/>
  <c r="X498" i="6"/>
  <c r="AJ357" i="6"/>
  <c r="BD498" i="6"/>
  <c r="AK323" i="6"/>
  <c r="V508" i="6"/>
  <c r="AK355" i="6"/>
  <c r="BB508" i="6"/>
  <c r="AL321" i="6"/>
  <c r="T518" i="6"/>
  <c r="AL353" i="6"/>
  <c r="AZ518" i="6"/>
  <c r="AM319" i="6"/>
  <c r="AM351" i="6"/>
  <c r="AN317" i="6"/>
  <c r="AN349" i="6"/>
  <c r="AO315" i="6"/>
  <c r="AO347" i="6"/>
  <c r="AP313" i="6"/>
  <c r="AP345" i="6"/>
  <c r="AQ311" i="6"/>
  <c r="AQ343" i="6"/>
  <c r="AR309" i="6"/>
  <c r="AR341" i="6"/>
  <c r="AS307" i="6"/>
  <c r="AS339" i="6"/>
  <c r="AS371" i="6"/>
  <c r="AT337" i="6"/>
  <c r="AT369" i="6"/>
  <c r="AU335" i="6"/>
  <c r="AU367" i="6"/>
  <c r="AV333" i="6"/>
  <c r="AV365" i="6"/>
  <c r="AW331" i="6"/>
  <c r="AW363" i="6"/>
  <c r="AX329" i="6"/>
  <c r="AX361" i="6"/>
  <c r="AY327" i="6"/>
  <c r="AY359" i="6"/>
  <c r="AZ325" i="6"/>
  <c r="AZ357" i="6"/>
  <c r="BA323" i="6"/>
  <c r="BA355" i="6"/>
  <c r="BB321" i="6"/>
  <c r="BB353" i="6"/>
  <c r="BC319" i="6"/>
  <c r="BC351" i="6"/>
  <c r="BD317" i="6"/>
  <c r="BD349" i="6"/>
  <c r="BE315" i="6"/>
  <c r="BE347" i="6"/>
  <c r="BF313" i="6"/>
  <c r="BF345" i="6"/>
  <c r="BG311" i="6"/>
  <c r="BG343" i="6"/>
  <c r="BH309" i="6"/>
  <c r="H528" i="6"/>
  <c r="BH341" i="6"/>
  <c r="AN528" i="6"/>
  <c r="BI307" i="6"/>
  <c r="BI339" i="6"/>
  <c r="BI371" i="6"/>
  <c r="BJ337" i="6"/>
  <c r="BJ369" i="6"/>
  <c r="BK335" i="6"/>
  <c r="BK367" i="6"/>
  <c r="BL333" i="6"/>
  <c r="BL365" i="6"/>
  <c r="BM331" i="6"/>
  <c r="BM363" i="6"/>
  <c r="BN329" i="6"/>
  <c r="BN361" i="6"/>
  <c r="BO327" i="6"/>
  <c r="BO359" i="6"/>
  <c r="BP325" i="6"/>
  <c r="BP357" i="6"/>
  <c r="BQ323" i="6"/>
  <c r="BQ355" i="6"/>
  <c r="BR321" i="6"/>
  <c r="BR353" i="6"/>
  <c r="BO320" i="6"/>
  <c r="BO352" i="6"/>
  <c r="BP320" i="6"/>
  <c r="BP352" i="6"/>
  <c r="BQ320" i="6"/>
  <c r="BQ352" i="6"/>
  <c r="BR320" i="6"/>
  <c r="BR352" i="6"/>
  <c r="I331" i="6"/>
  <c r="AD428" i="6"/>
  <c r="I325" i="6"/>
  <c r="X428" i="6"/>
  <c r="BI332" i="6"/>
  <c r="BM332" i="6"/>
  <c r="Y311" i="6"/>
  <c r="AE365" i="6"/>
  <c r="BL468" i="6"/>
  <c r="L339" i="6"/>
  <c r="T323" i="6"/>
  <c r="L362" i="6"/>
  <c r="T362" i="6"/>
  <c r="AD362" i="6"/>
  <c r="AI362" i="6"/>
  <c r="BI488" i="6"/>
  <c r="AM362" i="6"/>
  <c r="AQ362" i="6"/>
  <c r="AU362" i="6"/>
  <c r="AY362" i="6"/>
  <c r="BC362" i="6"/>
  <c r="BG362" i="6"/>
  <c r="BK362" i="6"/>
  <c r="W345" i="6"/>
  <c r="Z371" i="6"/>
  <c r="AB320" i="6"/>
  <c r="S448" i="6"/>
  <c r="N371" i="6"/>
  <c r="V355" i="6"/>
  <c r="O334" i="6"/>
  <c r="AG438" i="6"/>
  <c r="W334" i="6"/>
  <c r="AH334" i="6"/>
  <c r="AG478" i="6"/>
  <c r="AP334" i="6"/>
  <c r="AX334" i="6"/>
  <c r="BF334" i="6"/>
  <c r="BN334" i="6"/>
  <c r="AA349" i="6"/>
  <c r="AD359" i="6"/>
  <c r="AF355" i="6"/>
  <c r="AG353" i="6"/>
  <c r="AH351" i="6"/>
  <c r="AX478" i="6"/>
  <c r="AI349" i="6"/>
  <c r="AV488" i="6"/>
  <c r="AJ347" i="6"/>
  <c r="AT498" i="6"/>
  <c r="AK345" i="6"/>
  <c r="AR508" i="6"/>
  <c r="AL343" i="6"/>
  <c r="AP518" i="6"/>
  <c r="AM341" i="6"/>
  <c r="AN339" i="6"/>
  <c r="AO337" i="6"/>
  <c r="AP335" i="6"/>
  <c r="AQ333" i="6"/>
  <c r="AR331" i="6"/>
  <c r="AS329" i="6"/>
  <c r="AT327" i="6"/>
  <c r="AU325" i="6"/>
  <c r="AV323" i="6"/>
  <c r="AW321" i="6"/>
  <c r="AX319" i="6"/>
  <c r="AY317" i="6"/>
  <c r="AZ315" i="6"/>
  <c r="BA313" i="6"/>
  <c r="BB311" i="6"/>
  <c r="BC309" i="6"/>
  <c r="BD307" i="6"/>
  <c r="BD371" i="6"/>
  <c r="BE369" i="6"/>
  <c r="BF367" i="6"/>
  <c r="BG365" i="6"/>
  <c r="BH363" i="6"/>
  <c r="BJ528" i="6"/>
  <c r="BI361" i="6"/>
  <c r="BJ359" i="6"/>
  <c r="BK357" i="6"/>
  <c r="BL355" i="6"/>
  <c r="BM353" i="6"/>
  <c r="BN351" i="6"/>
  <c r="BO349" i="6"/>
  <c r="BP347" i="6"/>
  <c r="BQ345" i="6"/>
  <c r="BR343" i="6"/>
  <c r="BO342" i="6"/>
  <c r="BP342" i="6"/>
  <c r="BQ342" i="6"/>
  <c r="BR342" i="6"/>
  <c r="I313" i="6"/>
  <c r="L428" i="6"/>
  <c r="I352" i="6"/>
  <c r="AY428" i="6"/>
  <c r="AC361" i="6"/>
  <c r="BH458" i="6"/>
  <c r="H341" i="6"/>
  <c r="M333" i="6"/>
  <c r="Q325" i="6"/>
  <c r="U317" i="6"/>
  <c r="H358" i="6"/>
  <c r="M358" i="6"/>
  <c r="Q358" i="6"/>
  <c r="S358" i="6"/>
  <c r="U358" i="6"/>
  <c r="W358" i="6"/>
  <c r="Y358" i="6"/>
  <c r="AA358" i="6"/>
  <c r="AF358" i="6"/>
  <c r="AH358" i="6"/>
  <c r="BE478" i="6"/>
  <c r="AJ358" i="6"/>
  <c r="BE498" i="6"/>
  <c r="AL358" i="6"/>
  <c r="BE518" i="6"/>
  <c r="AN358" i="6"/>
  <c r="AP358" i="6"/>
  <c r="AR358" i="6"/>
  <c r="AT358" i="6"/>
  <c r="AV358" i="6"/>
  <c r="AX358" i="6"/>
  <c r="AZ358" i="6"/>
  <c r="BB358" i="6"/>
  <c r="BD358" i="6"/>
  <c r="BF358" i="6"/>
  <c r="BH358" i="6"/>
  <c r="BE528" i="6"/>
  <c r="BJ358" i="6"/>
  <c r="BL358" i="6"/>
  <c r="BN358" i="6"/>
  <c r="X339" i="6"/>
  <c r="Z335" i="6"/>
  <c r="AA323" i="6"/>
  <c r="AA355" i="6"/>
  <c r="AD317" i="6"/>
  <c r="AD349" i="6"/>
  <c r="AF313" i="6"/>
  <c r="AF345" i="6"/>
  <c r="AG311" i="6"/>
  <c r="AG343" i="6"/>
  <c r="AH309" i="6"/>
  <c r="H478" i="6"/>
  <c r="AH341" i="6"/>
  <c r="AN478" i="6"/>
  <c r="AI307" i="6"/>
  <c r="AI339" i="6"/>
  <c r="AL488" i="6"/>
  <c r="AI371" i="6"/>
  <c r="BR488" i="6"/>
  <c r="AJ337" i="6"/>
  <c r="AJ369" i="6"/>
  <c r="BP498" i="6"/>
  <c r="AK335" i="6"/>
  <c r="AH508" i="6"/>
  <c r="AK367" i="6"/>
  <c r="BN508" i="6"/>
  <c r="AL333" i="6"/>
  <c r="AF518" i="6"/>
  <c r="AL365" i="6"/>
  <c r="BL518" i="6"/>
  <c r="AM331" i="6"/>
  <c r="AM363" i="6"/>
  <c r="AN329" i="6"/>
  <c r="AN361" i="6"/>
  <c r="AO327" i="6"/>
  <c r="AO359" i="6"/>
  <c r="AP325" i="6"/>
  <c r="AP357" i="6"/>
  <c r="AQ323" i="6"/>
  <c r="AQ355" i="6"/>
  <c r="AR321" i="6"/>
  <c r="AR353" i="6"/>
  <c r="AS319" i="6"/>
  <c r="AS351" i="6"/>
  <c r="AT317" i="6"/>
  <c r="AT349" i="6"/>
  <c r="AU315" i="6"/>
  <c r="AU347" i="6"/>
  <c r="AV313" i="6"/>
  <c r="AV345" i="6"/>
  <c r="AW311" i="6"/>
  <c r="AW343" i="6"/>
  <c r="AX309" i="6"/>
  <c r="AX341" i="6"/>
  <c r="AY307" i="6"/>
  <c r="AY339" i="6"/>
  <c r="AY371" i="6"/>
  <c r="AZ337" i="6"/>
  <c r="AZ369" i="6"/>
  <c r="BA335" i="6"/>
  <c r="BA367" i="6"/>
  <c r="BB333" i="6"/>
  <c r="BB365" i="6"/>
  <c r="BC331" i="6"/>
  <c r="BC363" i="6"/>
  <c r="BD329" i="6"/>
  <c r="BD361" i="6"/>
  <c r="BE327" i="6"/>
  <c r="BE359" i="6"/>
  <c r="BF325" i="6"/>
  <c r="BF357" i="6"/>
  <c r="BG323" i="6"/>
  <c r="BG355" i="6"/>
  <c r="BH321" i="6"/>
  <c r="T528" i="6"/>
  <c r="BH353" i="6"/>
  <c r="AZ528" i="6"/>
  <c r="BI319" i="6"/>
  <c r="BI351" i="6"/>
  <c r="BJ317" i="6"/>
  <c r="BJ349" i="6"/>
  <c r="BK315" i="6"/>
  <c r="BK347" i="6"/>
  <c r="BL313" i="6"/>
  <c r="BL345" i="6"/>
  <c r="BM311" i="6"/>
  <c r="BM343" i="6"/>
  <c r="BN309" i="6"/>
  <c r="BN341" i="6"/>
  <c r="BO307" i="6"/>
  <c r="BO339" i="6"/>
  <c r="BO371" i="6"/>
  <c r="BP337" i="6"/>
  <c r="BP369" i="6"/>
  <c r="BQ335" i="6"/>
  <c r="BQ367" i="6"/>
  <c r="BR333" i="6"/>
  <c r="BR365" i="6"/>
  <c r="BO332" i="6"/>
  <c r="BO364" i="6"/>
  <c r="BP332" i="6"/>
  <c r="BP364" i="6"/>
  <c r="BQ332" i="6"/>
  <c r="BQ364" i="6"/>
  <c r="BR332" i="6"/>
  <c r="BR364" i="6"/>
  <c r="I355" i="6"/>
  <c r="BB428" i="6"/>
  <c r="I349" i="6"/>
  <c r="AV428" i="6"/>
  <c r="BJ332" i="6"/>
  <c r="BN332" i="6"/>
  <c r="Z309" i="6"/>
  <c r="AB356" i="6"/>
  <c r="BC448" i="6"/>
  <c r="N335" i="6"/>
  <c r="V319" i="6"/>
  <c r="N362" i="6"/>
  <c r="V362" i="6"/>
  <c r="AF362" i="6"/>
  <c r="AJ362" i="6"/>
  <c r="BI498" i="6"/>
  <c r="AN362" i="6"/>
  <c r="AR362" i="6"/>
  <c r="AV362" i="6"/>
  <c r="AZ362" i="6"/>
  <c r="BD362" i="6"/>
  <c r="BH362" i="6"/>
  <c r="BI528" i="6"/>
  <c r="BL362" i="6"/>
  <c r="X343" i="6"/>
  <c r="F365" i="6"/>
  <c r="BL408" i="6"/>
  <c r="H317" i="6"/>
  <c r="P367" i="6"/>
  <c r="H334" i="6"/>
  <c r="Q334" i="6"/>
  <c r="Y334" i="6"/>
  <c r="AJ334" i="6"/>
  <c r="AG498" i="6"/>
  <c r="AR334" i="6"/>
  <c r="AZ334" i="6"/>
  <c r="BH334" i="6"/>
  <c r="AG528" i="6"/>
  <c r="X315" i="6"/>
  <c r="AD311" i="6"/>
  <c r="AF307" i="6"/>
  <c r="AF371" i="6"/>
  <c r="AG369" i="6"/>
  <c r="AH367" i="6"/>
  <c r="BN478" i="6"/>
  <c r="AI365" i="6"/>
  <c r="BL488" i="6"/>
  <c r="AJ363" i="6"/>
  <c r="BJ498" i="6"/>
  <c r="AK361" i="6"/>
  <c r="BH508" i="6"/>
  <c r="AL359" i="6"/>
  <c r="BF518" i="6"/>
  <c r="AM357" i="6"/>
  <c r="AN355" i="6"/>
  <c r="AO353" i="6"/>
  <c r="AP351" i="6"/>
  <c r="AQ349" i="6"/>
  <c r="AR347" i="6"/>
  <c r="AS345" i="6"/>
  <c r="AT343" i="6"/>
  <c r="AU341" i="6"/>
  <c r="AV339" i="6"/>
  <c r="AW337" i="6"/>
  <c r="AX335" i="6"/>
  <c r="AY333" i="6"/>
  <c r="AZ331" i="6"/>
  <c r="BA329" i="6"/>
  <c r="BB327" i="6"/>
  <c r="BC325" i="6"/>
  <c r="BD323" i="6"/>
  <c r="BE321" i="6"/>
  <c r="BF319" i="6"/>
  <c r="BG317" i="6"/>
  <c r="BH315" i="6"/>
  <c r="N528" i="6"/>
  <c r="BI313" i="6"/>
  <c r="BJ311" i="6"/>
  <c r="BK309" i="6"/>
  <c r="BL307" i="6"/>
  <c r="BL371" i="6"/>
  <c r="BM369" i="6"/>
  <c r="BN367" i="6"/>
  <c r="BO365" i="6"/>
  <c r="BP363" i="6"/>
  <c r="BQ361" i="6"/>
  <c r="BR359" i="6"/>
  <c r="BO358" i="6"/>
  <c r="BP358" i="6"/>
  <c r="BQ358" i="6"/>
  <c r="BR358" i="6"/>
  <c r="I345" i="6"/>
  <c r="AR428" i="6"/>
  <c r="G316" i="6"/>
  <c r="O418" i="6"/>
  <c r="AB360" i="6"/>
  <c r="BG448" i="6"/>
  <c r="J339" i="6"/>
  <c r="N331" i="6"/>
  <c r="R323" i="6"/>
  <c r="V315" i="6"/>
  <c r="J358" i="6"/>
  <c r="N358" i="6"/>
  <c r="R310" i="6"/>
  <c r="T310" i="6"/>
  <c r="V310" i="6"/>
  <c r="X310" i="6"/>
  <c r="Z310" i="6"/>
  <c r="AD310" i="6"/>
  <c r="AG310" i="6"/>
  <c r="AI310" i="6"/>
  <c r="I488" i="6"/>
  <c r="AK310" i="6"/>
  <c r="I508" i="6"/>
  <c r="AM310" i="6"/>
  <c r="AO310" i="6"/>
  <c r="AQ310" i="6"/>
  <c r="AS310" i="6"/>
  <c r="AU310" i="6"/>
  <c r="AW310" i="6"/>
  <c r="AY310" i="6"/>
  <c r="BA310" i="6"/>
  <c r="BC310" i="6"/>
  <c r="BE310" i="6"/>
  <c r="BG310" i="6"/>
  <c r="BI310" i="6"/>
  <c r="BK310" i="6"/>
  <c r="BM310" i="6"/>
  <c r="V359" i="6"/>
  <c r="X355" i="6"/>
  <c r="Z345" i="6"/>
  <c r="AA327" i="6"/>
  <c r="AA359" i="6"/>
  <c r="AD321" i="6"/>
  <c r="AD353" i="6"/>
  <c r="AF317" i="6"/>
  <c r="AF349" i="6"/>
  <c r="AG315" i="6"/>
  <c r="AG347" i="6"/>
  <c r="AH313" i="6"/>
  <c r="L478" i="6"/>
  <c r="AH345" i="6"/>
  <c r="AR478" i="6"/>
  <c r="AI311" i="6"/>
  <c r="J488" i="6"/>
  <c r="AI343" i="6"/>
  <c r="AP488" i="6"/>
  <c r="AJ309" i="6"/>
  <c r="H498" i="6"/>
  <c r="AJ341" i="6"/>
  <c r="AN498" i="6"/>
  <c r="AK307" i="6"/>
  <c r="AK339" i="6"/>
  <c r="AL508" i="6"/>
  <c r="AK371" i="6"/>
  <c r="BR508" i="6"/>
  <c r="AL337" i="6"/>
  <c r="AJ518" i="6"/>
  <c r="AL369" i="6"/>
  <c r="BP518" i="6"/>
  <c r="AM335" i="6"/>
  <c r="AM367" i="6"/>
  <c r="AN333" i="6"/>
  <c r="AN365" i="6"/>
  <c r="AO331" i="6"/>
  <c r="AO363" i="6"/>
  <c r="AP329" i="6"/>
  <c r="AP361" i="6"/>
  <c r="AQ327" i="6"/>
  <c r="AQ359" i="6"/>
  <c r="AR325" i="6"/>
  <c r="AR357" i="6"/>
  <c r="AS323" i="6"/>
  <c r="AS355" i="6"/>
  <c r="AT321" i="6"/>
  <c r="AT353" i="6"/>
  <c r="AU319" i="6"/>
  <c r="AU351" i="6"/>
  <c r="AV317" i="6"/>
  <c r="AV349" i="6"/>
  <c r="AW315" i="6"/>
  <c r="AW347" i="6"/>
  <c r="AX313" i="6"/>
  <c r="AX345" i="6"/>
  <c r="AY311" i="6"/>
  <c r="AY343" i="6"/>
  <c r="AZ309" i="6"/>
  <c r="AZ341" i="6"/>
  <c r="BA307" i="6"/>
  <c r="BA339" i="6"/>
  <c r="BA371" i="6"/>
  <c r="BB337" i="6"/>
  <c r="BB369" i="6"/>
  <c r="BC335" i="6"/>
  <c r="BC367" i="6"/>
  <c r="BD333" i="6"/>
  <c r="BD365" i="6"/>
  <c r="BE331" i="6"/>
  <c r="BE363" i="6"/>
  <c r="BF329" i="6"/>
  <c r="BF361" i="6"/>
  <c r="BG327" i="6"/>
  <c r="BG359" i="6"/>
  <c r="BH325" i="6"/>
  <c r="X528" i="6"/>
  <c r="BH357" i="6"/>
  <c r="BD528" i="6"/>
  <c r="BI323" i="6"/>
  <c r="BI355" i="6"/>
  <c r="BJ321" i="6"/>
  <c r="BJ353" i="6"/>
  <c r="BK319" i="6"/>
  <c r="BK351" i="6"/>
  <c r="BL317" i="6"/>
  <c r="BL349" i="6"/>
  <c r="BM315" i="6"/>
  <c r="BM347" i="6"/>
  <c r="BN313" i="6"/>
  <c r="BN345" i="6"/>
  <c r="BO311" i="6"/>
  <c r="BO343" i="6"/>
  <c r="BP309" i="6"/>
  <c r="BP341" i="6"/>
  <c r="BQ307" i="6"/>
  <c r="BQ372" i="6"/>
  <c r="BQ339" i="6"/>
  <c r="BQ371" i="6"/>
  <c r="BR337" i="6"/>
  <c r="BR369" i="6"/>
  <c r="BO336" i="6"/>
  <c r="BO368" i="6"/>
  <c r="BP336" i="6"/>
  <c r="BP368" i="6"/>
  <c r="BQ336" i="6"/>
  <c r="BQ368" i="6"/>
  <c r="BR336" i="6"/>
  <c r="BR368" i="6"/>
  <c r="I363" i="6"/>
  <c r="BJ428" i="6"/>
  <c r="I357" i="6"/>
  <c r="BD428" i="6"/>
  <c r="BK332" i="6"/>
  <c r="W315" i="6"/>
  <c r="G335" i="6"/>
  <c r="AH418" i="6"/>
  <c r="AB361" i="6"/>
  <c r="BH448" i="6"/>
  <c r="P331" i="6"/>
  <c r="AB330" i="6"/>
  <c r="AC448" i="6"/>
  <c r="P362" i="6"/>
  <c r="X362" i="6"/>
  <c r="AG362" i="6"/>
  <c r="AK362" i="6"/>
  <c r="BI508" i="6"/>
  <c r="AO362" i="6"/>
  <c r="AS362" i="6"/>
  <c r="AW362" i="6"/>
  <c r="BA362" i="6"/>
  <c r="BE362" i="6"/>
  <c r="BI362" i="6"/>
  <c r="BM362" i="6"/>
  <c r="Y341" i="6"/>
  <c r="F340" i="6"/>
  <c r="AM408" i="6"/>
  <c r="K313" i="6"/>
  <c r="R363" i="6"/>
  <c r="K334" i="6"/>
  <c r="S334" i="6"/>
  <c r="AA334" i="6"/>
  <c r="AL334" i="6"/>
  <c r="AG518" i="6"/>
  <c r="AT334" i="6"/>
  <c r="BB334" i="6"/>
  <c r="BJ334" i="6"/>
  <c r="Z311" i="6"/>
  <c r="AD327" i="6"/>
  <c r="AF323" i="6"/>
  <c r="AG321" i="6"/>
  <c r="AH319" i="6"/>
  <c r="R478" i="6"/>
  <c r="AI317" i="6"/>
  <c r="P488" i="6"/>
  <c r="AJ315" i="6"/>
  <c r="N498" i="6"/>
  <c r="AK313" i="6"/>
  <c r="L508" i="6"/>
  <c r="AL311" i="6"/>
  <c r="J518" i="6"/>
  <c r="AM309" i="6"/>
  <c r="AN307" i="6"/>
  <c r="AN371" i="6"/>
  <c r="AO369" i="6"/>
  <c r="AP367" i="6"/>
  <c r="AQ365" i="6"/>
  <c r="AR363" i="6"/>
  <c r="AS361" i="6"/>
  <c r="AT359" i="6"/>
  <c r="AU357" i="6"/>
  <c r="AV355" i="6"/>
  <c r="AW353" i="6"/>
  <c r="AX351" i="6"/>
  <c r="AY349" i="6"/>
  <c r="AZ347" i="6"/>
  <c r="BA345" i="6"/>
  <c r="BB343" i="6"/>
  <c r="BC341" i="6"/>
  <c r="BD339" i="6"/>
  <c r="BE337" i="6"/>
  <c r="BF335" i="6"/>
  <c r="BG333" i="6"/>
  <c r="BH331" i="6"/>
  <c r="AD528" i="6"/>
  <c r="BI329" i="6"/>
  <c r="BJ327" i="6"/>
  <c r="BK325" i="6"/>
  <c r="BL323" i="6"/>
  <c r="BM321" i="6"/>
  <c r="BN319" i="6"/>
  <c r="BO317" i="6"/>
  <c r="BP315" i="6"/>
  <c r="BP310" i="6"/>
  <c r="I310" i="6"/>
  <c r="O329" i="6"/>
  <c r="AB438" i="6"/>
  <c r="O358" i="6"/>
  <c r="BE438" i="6"/>
  <c r="X358" i="6"/>
  <c r="AI358" i="6"/>
  <c r="BE488" i="6"/>
  <c r="AQ358" i="6"/>
  <c r="AY358" i="6"/>
  <c r="BG358" i="6"/>
  <c r="W341" i="6"/>
  <c r="AA371" i="6"/>
  <c r="AF361" i="6"/>
  <c r="AH357" i="6"/>
  <c r="BD478" i="6"/>
  <c r="AJ353" i="6"/>
  <c r="AZ498" i="6"/>
  <c r="AL349" i="6"/>
  <c r="AV518" i="6"/>
  <c r="AN345" i="6"/>
  <c r="AP341" i="6"/>
  <c r="AR337" i="6"/>
  <c r="AT333" i="6"/>
  <c r="AV329" i="6"/>
  <c r="AX325" i="6"/>
  <c r="AZ321" i="6"/>
  <c r="BB317" i="6"/>
  <c r="BD313" i="6"/>
  <c r="BF309" i="6"/>
  <c r="BG371" i="6"/>
  <c r="BI367" i="6"/>
  <c r="BK363" i="6"/>
  <c r="BM359" i="6"/>
  <c r="BO355" i="6"/>
  <c r="BQ351" i="6"/>
  <c r="BO348" i="6"/>
  <c r="BQ348" i="6"/>
  <c r="I317" i="6"/>
  <c r="P428" i="6"/>
  <c r="BQ313" i="6"/>
  <c r="BQ310" i="6"/>
  <c r="F320" i="6"/>
  <c r="S408" i="6"/>
  <c r="S321" i="6"/>
  <c r="R358" i="6"/>
  <c r="Z358" i="6"/>
  <c r="AK358" i="6"/>
  <c r="BE508" i="6"/>
  <c r="AS358" i="6"/>
  <c r="BA358" i="6"/>
  <c r="BI358" i="6"/>
  <c r="Y337" i="6"/>
  <c r="AD333" i="6"/>
  <c r="AG327" i="6"/>
  <c r="AI323" i="6"/>
  <c r="V488" i="6"/>
  <c r="AK319" i="6"/>
  <c r="R508" i="6"/>
  <c r="AM315" i="6"/>
  <c r="AO311" i="6"/>
  <c r="AQ307" i="6"/>
  <c r="AR369" i="6"/>
  <c r="AT365" i="6"/>
  <c r="AV361" i="6"/>
  <c r="AX357" i="6"/>
  <c r="AZ353" i="6"/>
  <c r="BB349" i="6"/>
  <c r="BD345" i="6"/>
  <c r="BF341" i="6"/>
  <c r="BH337" i="6"/>
  <c r="AJ528" i="6"/>
  <c r="BJ333" i="6"/>
  <c r="BL329" i="6"/>
  <c r="BN325" i="6"/>
  <c r="BP321" i="6"/>
  <c r="BR317" i="6"/>
  <c r="BP316" i="6"/>
  <c r="BR316" i="6"/>
  <c r="BR311" i="6"/>
  <c r="BR310" i="6"/>
  <c r="F334" i="6"/>
  <c r="AG408" i="6"/>
  <c r="AE337" i="6"/>
  <c r="AJ468" i="6"/>
  <c r="T358" i="6"/>
  <c r="AD358" i="6"/>
  <c r="AM358" i="6"/>
  <c r="AU358" i="6"/>
  <c r="BC358" i="6"/>
  <c r="BK358" i="6"/>
  <c r="Z369" i="6"/>
  <c r="AD365" i="6"/>
  <c r="AG359" i="6"/>
  <c r="AI355" i="6"/>
  <c r="BB488" i="6"/>
  <c r="AK351" i="6"/>
  <c r="AX508" i="6"/>
  <c r="AM347" i="6"/>
  <c r="AO343" i="6"/>
  <c r="AQ339" i="6"/>
  <c r="AS335" i="6"/>
  <c r="AU331" i="6"/>
  <c r="AW327" i="6"/>
  <c r="AY323" i="6"/>
  <c r="BA319" i="6"/>
  <c r="BC315" i="6"/>
  <c r="BE311" i="6"/>
  <c r="BG307" i="6"/>
  <c r="BG372" i="6"/>
  <c r="BH369" i="6"/>
  <c r="BP528" i="6"/>
  <c r="BJ365" i="6"/>
  <c r="BL361" i="6"/>
  <c r="BN357" i="6"/>
  <c r="BP353" i="6"/>
  <c r="BR349" i="6"/>
  <c r="BP348" i="6"/>
  <c r="BR348" i="6"/>
  <c r="BO310" i="6"/>
  <c r="I311" i="6"/>
  <c r="J428" i="6"/>
  <c r="K337" i="6"/>
  <c r="K358" i="6"/>
  <c r="V358" i="6"/>
  <c r="AG358" i="6"/>
  <c r="AO358" i="6"/>
  <c r="AW358" i="6"/>
  <c r="BE358" i="6"/>
  <c r="BM358" i="6"/>
  <c r="AA339" i="6"/>
  <c r="AF329" i="6"/>
  <c r="AH325" i="6"/>
  <c r="X478" i="6"/>
  <c r="AJ321" i="6"/>
  <c r="T498" i="6"/>
  <c r="AL317" i="6"/>
  <c r="P518" i="6"/>
  <c r="AN313" i="6"/>
  <c r="AP309" i="6"/>
  <c r="AQ371" i="6"/>
  <c r="AS367" i="6"/>
  <c r="AU363" i="6"/>
  <c r="AW359" i="6"/>
  <c r="AY355" i="6"/>
  <c r="BA351" i="6"/>
  <c r="BC347" i="6"/>
  <c r="BE343" i="6"/>
  <c r="BG339" i="6"/>
  <c r="BI335" i="6"/>
  <c r="BK331" i="6"/>
  <c r="BM327" i="6"/>
  <c r="BO323" i="6"/>
  <c r="BQ319" i="6"/>
  <c r="BO316" i="6"/>
  <c r="BQ316" i="6"/>
  <c r="I323" i="6"/>
  <c r="V428" i="6"/>
  <c r="BG397" i="6"/>
  <c r="BG382" i="6"/>
  <c r="BG388" i="6"/>
  <c r="BG400" i="6"/>
  <c r="BG379" i="6"/>
  <c r="BG391" i="6"/>
  <c r="AZ499" i="6"/>
  <c r="AZ500" i="6"/>
  <c r="AZ504" i="6"/>
  <c r="AZ503" i="6"/>
  <c r="AZ501" i="6"/>
  <c r="AZ502" i="6"/>
  <c r="E426" i="6"/>
  <c r="I428" i="6"/>
  <c r="BQ397" i="6"/>
  <c r="BQ382" i="6"/>
  <c r="BQ400" i="6"/>
  <c r="BQ388" i="6"/>
  <c r="BQ391" i="6"/>
  <c r="BQ379" i="6"/>
  <c r="L481" i="6"/>
  <c r="L483" i="6"/>
  <c r="L480" i="6"/>
  <c r="L482" i="6"/>
  <c r="L484" i="6"/>
  <c r="L479" i="6"/>
  <c r="BL411" i="6"/>
  <c r="BL409" i="6"/>
  <c r="BL412" i="6"/>
  <c r="BL410" i="6"/>
  <c r="BL413" i="6"/>
  <c r="BL414" i="6"/>
  <c r="AF519" i="6"/>
  <c r="AF521" i="6"/>
  <c r="AF523" i="6"/>
  <c r="AF524" i="6"/>
  <c r="AF520" i="6"/>
  <c r="AF522" i="6"/>
  <c r="E496" i="6"/>
  <c r="AJ498" i="6"/>
  <c r="BE480" i="6"/>
  <c r="BE481" i="6"/>
  <c r="BE484" i="6"/>
  <c r="BE483" i="6"/>
  <c r="BE479" i="6"/>
  <c r="BE482" i="6"/>
  <c r="AT502" i="6"/>
  <c r="AT500" i="6"/>
  <c r="AT499" i="6"/>
  <c r="AT504" i="6"/>
  <c r="AT503" i="6"/>
  <c r="AT501" i="6"/>
  <c r="BL470" i="6"/>
  <c r="BL469" i="6"/>
  <c r="BL472" i="6"/>
  <c r="BL474" i="6"/>
  <c r="BL473" i="6"/>
  <c r="BL471" i="6"/>
  <c r="H531" i="6"/>
  <c r="H534" i="6"/>
  <c r="H529" i="6"/>
  <c r="H532" i="6"/>
  <c r="H533" i="6"/>
  <c r="H530" i="6"/>
  <c r="BD501" i="6"/>
  <c r="BD503" i="6"/>
  <c r="BD500" i="6"/>
  <c r="BD502" i="6"/>
  <c r="BD504" i="6"/>
  <c r="BD499" i="6"/>
  <c r="I532" i="6"/>
  <c r="I533" i="6"/>
  <c r="I534" i="6"/>
  <c r="I529" i="6"/>
  <c r="I531" i="6"/>
  <c r="I530" i="6"/>
  <c r="AL422" i="6"/>
  <c r="AL424" i="6"/>
  <c r="AL420" i="6"/>
  <c r="AL423" i="6"/>
  <c r="AL419" i="6"/>
  <c r="AL421" i="6"/>
  <c r="AB513" i="6"/>
  <c r="AB510" i="6"/>
  <c r="AB512" i="6"/>
  <c r="AB509" i="6"/>
  <c r="AB514" i="6"/>
  <c r="AB511" i="6"/>
  <c r="O460" i="6"/>
  <c r="O461" i="6"/>
  <c r="O462" i="6"/>
  <c r="O464" i="6"/>
  <c r="O463" i="6"/>
  <c r="O459" i="6"/>
  <c r="X521" i="6"/>
  <c r="X523" i="6"/>
  <c r="X519" i="6"/>
  <c r="X520" i="6"/>
  <c r="X522" i="6"/>
  <c r="X524" i="6"/>
  <c r="V431" i="6"/>
  <c r="V429" i="6"/>
  <c r="V433" i="6"/>
  <c r="V432" i="6"/>
  <c r="V430" i="6"/>
  <c r="V434" i="6"/>
  <c r="J432" i="6"/>
  <c r="J430" i="6"/>
  <c r="J429" i="6"/>
  <c r="J431" i="6"/>
  <c r="J434" i="6"/>
  <c r="J433" i="6"/>
  <c r="AJ472" i="6"/>
  <c r="AJ469" i="6"/>
  <c r="AJ470" i="6"/>
  <c r="AJ474" i="6"/>
  <c r="AJ471" i="6"/>
  <c r="AJ473" i="6"/>
  <c r="V490" i="6"/>
  <c r="V493" i="6"/>
  <c r="V494" i="6"/>
  <c r="V492" i="6"/>
  <c r="V491" i="6"/>
  <c r="V489" i="6"/>
  <c r="BE444" i="6"/>
  <c r="BE440" i="6"/>
  <c r="BE443" i="6"/>
  <c r="BE441" i="6"/>
  <c r="BE439" i="6"/>
  <c r="BE442" i="6"/>
  <c r="AD533" i="6"/>
  <c r="AD530" i="6"/>
  <c r="AD532" i="6"/>
  <c r="AD529" i="6"/>
  <c r="AD531" i="6"/>
  <c r="AD534" i="6"/>
  <c r="BD431" i="6"/>
  <c r="BD434" i="6"/>
  <c r="BD429" i="6"/>
  <c r="BD430" i="6"/>
  <c r="BD432" i="6"/>
  <c r="BD433" i="6"/>
  <c r="X529" i="6"/>
  <c r="X532" i="6"/>
  <c r="X533" i="6"/>
  <c r="X530" i="6"/>
  <c r="X531" i="6"/>
  <c r="X534" i="6"/>
  <c r="J492" i="6"/>
  <c r="J494" i="6"/>
  <c r="J489" i="6"/>
  <c r="J491" i="6"/>
  <c r="J493" i="6"/>
  <c r="J490" i="6"/>
  <c r="O421" i="6"/>
  <c r="O420" i="6"/>
  <c r="O419" i="6"/>
  <c r="O424" i="6"/>
  <c r="O423" i="6"/>
  <c r="O422" i="6"/>
  <c r="BH513" i="6"/>
  <c r="BH509" i="6"/>
  <c r="BH514" i="6"/>
  <c r="BH511" i="6"/>
  <c r="BH510" i="6"/>
  <c r="BH512" i="6"/>
  <c r="AG503" i="6"/>
  <c r="AG504" i="6"/>
  <c r="AG501" i="6"/>
  <c r="AG502" i="6"/>
  <c r="AG500" i="6"/>
  <c r="AG499" i="6"/>
  <c r="AH509" i="6"/>
  <c r="AH512" i="6"/>
  <c r="AH513" i="6"/>
  <c r="AH514" i="6"/>
  <c r="AH511" i="6"/>
  <c r="AH510" i="6"/>
  <c r="BE522" i="6"/>
  <c r="BE521" i="6"/>
  <c r="BE520" i="6"/>
  <c r="BE524" i="6"/>
  <c r="BE519" i="6"/>
  <c r="BE523" i="6"/>
  <c r="BH461" i="6"/>
  <c r="BH460" i="6"/>
  <c r="BH462" i="6"/>
  <c r="BH464" i="6"/>
  <c r="BH463" i="6"/>
  <c r="BH459" i="6"/>
  <c r="AX484" i="6"/>
  <c r="AX479" i="6"/>
  <c r="AX483" i="6"/>
  <c r="AX481" i="6"/>
  <c r="AX482" i="6"/>
  <c r="AX480" i="6"/>
  <c r="BI493" i="6"/>
  <c r="BI494" i="6"/>
  <c r="BI491" i="6"/>
  <c r="BI489" i="6"/>
  <c r="BI490" i="6"/>
  <c r="BI492" i="6"/>
  <c r="BF492" i="6"/>
  <c r="BF494" i="6"/>
  <c r="BF489" i="6"/>
  <c r="BF491" i="6"/>
  <c r="BF493" i="6"/>
  <c r="BF490" i="6"/>
  <c r="BP453" i="6"/>
  <c r="BP452" i="6"/>
  <c r="BP454" i="6"/>
  <c r="BP449" i="6"/>
  <c r="BP451" i="6"/>
  <c r="BP450" i="6"/>
  <c r="AF491" i="6"/>
  <c r="AF494" i="6"/>
  <c r="AF492" i="6"/>
  <c r="AF493" i="6"/>
  <c r="AF490" i="6"/>
  <c r="AF489" i="6"/>
  <c r="BI521" i="6"/>
  <c r="BI523" i="6"/>
  <c r="BI520" i="6"/>
  <c r="BI524" i="6"/>
  <c r="BI522" i="6"/>
  <c r="BI519" i="6"/>
  <c r="AE483" i="6"/>
  <c r="AE484" i="6"/>
  <c r="AE479" i="6"/>
  <c r="AE482" i="6"/>
  <c r="AE481" i="6"/>
  <c r="AE480" i="6"/>
  <c r="AF432" i="6"/>
  <c r="AF430" i="6"/>
  <c r="AF434" i="6"/>
  <c r="AF429" i="6"/>
  <c r="AF433" i="6"/>
  <c r="AF431" i="6"/>
  <c r="BK372" i="6"/>
  <c r="L534" i="6"/>
  <c r="L533" i="6"/>
  <c r="L530" i="6"/>
  <c r="L529" i="6"/>
  <c r="L531" i="6"/>
  <c r="L532" i="6"/>
  <c r="BD524" i="6"/>
  <c r="BD521" i="6"/>
  <c r="BD519" i="6"/>
  <c r="BD523" i="6"/>
  <c r="BD522" i="6"/>
  <c r="BD520" i="6"/>
  <c r="BH500" i="6"/>
  <c r="BH502" i="6"/>
  <c r="BH504" i="6"/>
  <c r="BH499" i="6"/>
  <c r="BH503" i="6"/>
  <c r="BH501" i="6"/>
  <c r="BJ489" i="6"/>
  <c r="BJ491" i="6"/>
  <c r="BJ492" i="6"/>
  <c r="BJ493" i="6"/>
  <c r="BJ490" i="6"/>
  <c r="BJ494" i="6"/>
  <c r="F468" i="6"/>
  <c r="AE372" i="6"/>
  <c r="X372" i="6"/>
  <c r="Y530" i="6"/>
  <c r="Y531" i="6"/>
  <c r="Y532" i="6"/>
  <c r="Y534" i="6"/>
  <c r="Y529" i="6"/>
  <c r="Y533" i="6"/>
  <c r="BF431" i="6"/>
  <c r="BF429" i="6"/>
  <c r="BF434" i="6"/>
  <c r="BF432" i="6"/>
  <c r="BF433" i="6"/>
  <c r="BF430" i="6"/>
  <c r="BB532" i="6"/>
  <c r="BB534" i="6"/>
  <c r="BB531" i="6"/>
  <c r="BB529" i="6"/>
  <c r="BB530" i="6"/>
  <c r="BB533" i="6"/>
  <c r="X479" i="6"/>
  <c r="X480" i="6"/>
  <c r="X484" i="6"/>
  <c r="X483" i="6"/>
  <c r="X481" i="6"/>
  <c r="X482" i="6"/>
  <c r="BP534" i="6"/>
  <c r="BP533" i="6"/>
  <c r="BP532" i="6"/>
  <c r="BP529" i="6"/>
  <c r="BP530" i="6"/>
  <c r="BP531" i="6"/>
  <c r="AX509" i="6"/>
  <c r="AX512" i="6"/>
  <c r="AX513" i="6"/>
  <c r="AX510" i="6"/>
  <c r="AX514" i="6"/>
  <c r="AX511" i="6"/>
  <c r="AG413" i="6"/>
  <c r="AG410" i="6"/>
  <c r="AG414" i="6"/>
  <c r="AG412" i="6"/>
  <c r="AG409" i="6"/>
  <c r="AG411" i="6"/>
  <c r="AV519" i="6"/>
  <c r="AV523" i="6"/>
  <c r="AV524" i="6"/>
  <c r="AV522" i="6"/>
  <c r="AV520" i="6"/>
  <c r="AV521" i="6"/>
  <c r="AB444" i="6"/>
  <c r="AB443" i="6"/>
  <c r="AB441" i="6"/>
  <c r="AB439" i="6"/>
  <c r="AB442" i="6"/>
  <c r="AB440" i="6"/>
  <c r="AN372" i="6"/>
  <c r="N502" i="6"/>
  <c r="N503" i="6"/>
  <c r="N501" i="6"/>
  <c r="N500" i="6"/>
  <c r="N499" i="6"/>
  <c r="N504" i="6"/>
  <c r="AM411" i="6"/>
  <c r="AM409" i="6"/>
  <c r="AM414" i="6"/>
  <c r="AM412" i="6"/>
  <c r="AM410" i="6"/>
  <c r="AM413" i="6"/>
  <c r="AH423" i="6"/>
  <c r="AH420" i="6"/>
  <c r="AH419" i="6"/>
  <c r="AH421" i="6"/>
  <c r="AH424" i="6"/>
  <c r="AH422" i="6"/>
  <c r="BJ430" i="6"/>
  <c r="BJ429" i="6"/>
  <c r="BJ434" i="6"/>
  <c r="BJ431" i="6"/>
  <c r="BJ433" i="6"/>
  <c r="BJ432" i="6"/>
  <c r="AJ522" i="6"/>
  <c r="AJ520" i="6"/>
  <c r="AJ521" i="6"/>
  <c r="AJ523" i="6"/>
  <c r="AJ524" i="6"/>
  <c r="AJ519" i="6"/>
  <c r="AN501" i="6"/>
  <c r="AN503" i="6"/>
  <c r="AN500" i="6"/>
  <c r="AN502" i="6"/>
  <c r="AN504" i="6"/>
  <c r="AN499" i="6"/>
  <c r="AR481" i="6"/>
  <c r="AR483" i="6"/>
  <c r="AR480" i="6"/>
  <c r="AR482" i="6"/>
  <c r="AR484" i="6"/>
  <c r="AR479" i="6"/>
  <c r="I494" i="6"/>
  <c r="I490" i="6"/>
  <c r="I492" i="6"/>
  <c r="I489" i="6"/>
  <c r="I493" i="6"/>
  <c r="I491" i="6"/>
  <c r="AR433" i="6"/>
  <c r="AR432" i="6"/>
  <c r="AR431" i="6"/>
  <c r="AR434" i="6"/>
  <c r="AR430" i="6"/>
  <c r="AR429" i="6"/>
  <c r="BL372" i="6"/>
  <c r="N533" i="6"/>
  <c r="N530" i="6"/>
  <c r="N534" i="6"/>
  <c r="N532" i="6"/>
  <c r="N529" i="6"/>
  <c r="N531" i="6"/>
  <c r="BJ502" i="6"/>
  <c r="BJ499" i="6"/>
  <c r="BJ504" i="6"/>
  <c r="BJ503" i="6"/>
  <c r="BJ501" i="6"/>
  <c r="BJ500" i="6"/>
  <c r="AG530" i="6"/>
  <c r="AG531" i="6"/>
  <c r="AG529" i="6"/>
  <c r="AG533" i="6"/>
  <c r="AG532" i="6"/>
  <c r="AG534" i="6"/>
  <c r="BI530" i="6"/>
  <c r="BI531" i="6"/>
  <c r="BI534" i="6"/>
  <c r="BI529" i="6"/>
  <c r="BI533" i="6"/>
  <c r="BI532" i="6"/>
  <c r="BC454" i="6"/>
  <c r="BC450" i="6"/>
  <c r="BC453" i="6"/>
  <c r="BC452" i="6"/>
  <c r="BC449" i="6"/>
  <c r="BC451" i="6"/>
  <c r="AV430" i="6"/>
  <c r="AV434" i="6"/>
  <c r="AV432" i="6"/>
  <c r="AV431" i="6"/>
  <c r="AV429" i="6"/>
  <c r="AV433" i="6"/>
  <c r="T533" i="6"/>
  <c r="T530" i="6"/>
  <c r="T534" i="6"/>
  <c r="T532" i="6"/>
  <c r="T529" i="6"/>
  <c r="T531" i="6"/>
  <c r="BL519" i="6"/>
  <c r="BL524" i="6"/>
  <c r="BL521" i="6"/>
  <c r="BL520" i="6"/>
  <c r="BL523" i="6"/>
  <c r="BL522" i="6"/>
  <c r="BP499" i="6"/>
  <c r="BP504" i="6"/>
  <c r="BP503" i="6"/>
  <c r="BP501" i="6"/>
  <c r="BP502" i="6"/>
  <c r="BP500" i="6"/>
  <c r="AI372" i="6"/>
  <c r="F488" i="6"/>
  <c r="BE534" i="6"/>
  <c r="BE532" i="6"/>
  <c r="BE529" i="6"/>
  <c r="BE531" i="6"/>
  <c r="BE530" i="6"/>
  <c r="BE533" i="6"/>
  <c r="BE500" i="6"/>
  <c r="BE499" i="6"/>
  <c r="BE503" i="6"/>
  <c r="BE504" i="6"/>
  <c r="BE501" i="6"/>
  <c r="BE502" i="6"/>
  <c r="AY431" i="6"/>
  <c r="AY430" i="6"/>
  <c r="AY432" i="6"/>
  <c r="AY434" i="6"/>
  <c r="AY429" i="6"/>
  <c r="AY433" i="6"/>
  <c r="BJ534" i="6"/>
  <c r="BJ533" i="6"/>
  <c r="BJ531" i="6"/>
  <c r="BJ532" i="6"/>
  <c r="BJ529" i="6"/>
  <c r="BJ530" i="6"/>
  <c r="AR513" i="6"/>
  <c r="AR512" i="6"/>
  <c r="AR509" i="6"/>
  <c r="AR514" i="6"/>
  <c r="AR511" i="6"/>
  <c r="AR510" i="6"/>
  <c r="AG480" i="6"/>
  <c r="AG481" i="6"/>
  <c r="AG484" i="6"/>
  <c r="AG479" i="6"/>
  <c r="AG483" i="6"/>
  <c r="AG482" i="6"/>
  <c r="AN531" i="6"/>
  <c r="AN534" i="6"/>
  <c r="AN529" i="6"/>
  <c r="AN532" i="6"/>
  <c r="AN533" i="6"/>
  <c r="AN530" i="6"/>
  <c r="AS372" i="6"/>
  <c r="V510" i="6"/>
  <c r="V511" i="6"/>
  <c r="V512" i="6"/>
  <c r="V513" i="6"/>
  <c r="V514" i="6"/>
  <c r="V509" i="6"/>
  <c r="Z492" i="6"/>
  <c r="Z494" i="6"/>
  <c r="Z489" i="6"/>
  <c r="Z491" i="6"/>
  <c r="Z493" i="6"/>
  <c r="Z490" i="6"/>
  <c r="I523" i="6"/>
  <c r="I524" i="6"/>
  <c r="I522" i="6"/>
  <c r="I519" i="6"/>
  <c r="I520" i="6"/>
  <c r="I521" i="6"/>
  <c r="I411" i="6"/>
  <c r="I410" i="6"/>
  <c r="I412" i="6"/>
  <c r="I413" i="6"/>
  <c r="I414" i="6"/>
  <c r="I409" i="6"/>
  <c r="Z523" i="6"/>
  <c r="Z522" i="6"/>
  <c r="Z521" i="6"/>
  <c r="Z519" i="6"/>
  <c r="Z524" i="6"/>
  <c r="Z520" i="6"/>
  <c r="AH478" i="6"/>
  <c r="E476" i="6"/>
  <c r="BI481" i="6"/>
  <c r="BI482" i="6"/>
  <c r="BI484" i="6"/>
  <c r="BI483" i="6"/>
  <c r="BI480" i="6"/>
  <c r="BI479" i="6"/>
  <c r="AE512" i="6"/>
  <c r="AE513" i="6"/>
  <c r="AE510" i="6"/>
  <c r="AE509" i="6"/>
  <c r="AE511" i="6"/>
  <c r="AE514" i="6"/>
  <c r="AK421" i="6"/>
  <c r="AK420" i="6"/>
  <c r="AK422" i="6"/>
  <c r="AK419" i="6"/>
  <c r="AK424" i="6"/>
  <c r="AK423" i="6"/>
  <c r="BR433" i="6"/>
  <c r="BR431" i="6"/>
  <c r="BR429" i="6"/>
  <c r="BR432" i="6"/>
  <c r="BR430" i="6"/>
  <c r="BR434" i="6"/>
  <c r="BH528" i="6"/>
  <c r="E526" i="6"/>
  <c r="BC372" i="6"/>
  <c r="AN521" i="6"/>
  <c r="AN523" i="6"/>
  <c r="AN519" i="6"/>
  <c r="AN522" i="6"/>
  <c r="AN524" i="6"/>
  <c r="AN520" i="6"/>
  <c r="AP512" i="6"/>
  <c r="AP513" i="6"/>
  <c r="AP509" i="6"/>
  <c r="AP510" i="6"/>
  <c r="AP514" i="6"/>
  <c r="AP511" i="6"/>
  <c r="AR500" i="6"/>
  <c r="AR502" i="6"/>
  <c r="AR501" i="6"/>
  <c r="AR504" i="6"/>
  <c r="AR499" i="6"/>
  <c r="AR503" i="6"/>
  <c r="AT489" i="6"/>
  <c r="AT491" i="6"/>
  <c r="AT494" i="6"/>
  <c r="AT492" i="6"/>
  <c r="AT493" i="6"/>
  <c r="AT490" i="6"/>
  <c r="AV480" i="6"/>
  <c r="AV482" i="6"/>
  <c r="AV479" i="6"/>
  <c r="AV483" i="6"/>
  <c r="AV481" i="6"/>
  <c r="AV484" i="6"/>
  <c r="Y491" i="6"/>
  <c r="Y493" i="6"/>
  <c r="Y494" i="6"/>
  <c r="Y492" i="6"/>
  <c r="Y489" i="6"/>
  <c r="Y490" i="6"/>
  <c r="AH461" i="6"/>
  <c r="AH464" i="6"/>
  <c r="AH462" i="6"/>
  <c r="AH460" i="6"/>
  <c r="AH463" i="6"/>
  <c r="AH459" i="6"/>
  <c r="BH443" i="6"/>
  <c r="BH440" i="6"/>
  <c r="BH439" i="6"/>
  <c r="BH444" i="6"/>
  <c r="BH442" i="6"/>
  <c r="BH441" i="6"/>
  <c r="BR464" i="6"/>
  <c r="BR462" i="6"/>
  <c r="BR461" i="6"/>
  <c r="BR459" i="6"/>
  <c r="BR460" i="6"/>
  <c r="BR463" i="6"/>
  <c r="AY470" i="6"/>
  <c r="AY469" i="6"/>
  <c r="AY472" i="6"/>
  <c r="AY471" i="6"/>
  <c r="AY473" i="6"/>
  <c r="AY474" i="6"/>
  <c r="BR421" i="6"/>
  <c r="BR422" i="6"/>
  <c r="BR424" i="6"/>
  <c r="BR420" i="6"/>
  <c r="BR419" i="6"/>
  <c r="BR423" i="6"/>
  <c r="Z431" i="6"/>
  <c r="Z429" i="6"/>
  <c r="Z430" i="6"/>
  <c r="Z434" i="6"/>
  <c r="Z432" i="6"/>
  <c r="Z433" i="6"/>
  <c r="AL534" i="6"/>
  <c r="AL529" i="6"/>
  <c r="AL530" i="6"/>
  <c r="AL533" i="6"/>
  <c r="AL531" i="6"/>
  <c r="AL532" i="6"/>
  <c r="AR372" i="6"/>
  <c r="R519" i="6"/>
  <c r="R521" i="6"/>
  <c r="R523" i="6"/>
  <c r="R522" i="6"/>
  <c r="R524" i="6"/>
  <c r="R520" i="6"/>
  <c r="T509" i="6"/>
  <c r="T512" i="6"/>
  <c r="T513" i="6"/>
  <c r="T510" i="6"/>
  <c r="T514" i="6"/>
  <c r="T511" i="6"/>
  <c r="V499" i="6"/>
  <c r="V500" i="6"/>
  <c r="V502" i="6"/>
  <c r="V501" i="6"/>
  <c r="V504" i="6"/>
  <c r="V503" i="6"/>
  <c r="X490" i="6"/>
  <c r="X493" i="6"/>
  <c r="X494" i="6"/>
  <c r="X491" i="6"/>
  <c r="X492" i="6"/>
  <c r="X489" i="6"/>
  <c r="Z481" i="6"/>
  <c r="Z483" i="6"/>
  <c r="Z482" i="6"/>
  <c r="Z480" i="6"/>
  <c r="Z484" i="6"/>
  <c r="Z479" i="6"/>
  <c r="BI411" i="6"/>
  <c r="BI409" i="6"/>
  <c r="BI412" i="6"/>
  <c r="BI410" i="6"/>
  <c r="BI413" i="6"/>
  <c r="BI414" i="6"/>
  <c r="Z372" i="6"/>
  <c r="AC520" i="6"/>
  <c r="AC521" i="6"/>
  <c r="AC519" i="6"/>
  <c r="AC524" i="6"/>
  <c r="AC523" i="6"/>
  <c r="AC522" i="6"/>
  <c r="AC480" i="6"/>
  <c r="AC481" i="6"/>
  <c r="AC479" i="6"/>
  <c r="AC483" i="6"/>
  <c r="AC482" i="6"/>
  <c r="AC484" i="6"/>
  <c r="BG432" i="6"/>
  <c r="BG430" i="6"/>
  <c r="BG431" i="6"/>
  <c r="BG433" i="6"/>
  <c r="BG434" i="6"/>
  <c r="BG429" i="6"/>
  <c r="BK492" i="6"/>
  <c r="BK493" i="6"/>
  <c r="BK491" i="6"/>
  <c r="BK494" i="6"/>
  <c r="BK489" i="6"/>
  <c r="BK490" i="6"/>
  <c r="AI443" i="6"/>
  <c r="AI440" i="6"/>
  <c r="AI444" i="6"/>
  <c r="AI439" i="6"/>
  <c r="AI442" i="6"/>
  <c r="AI441" i="6"/>
  <c r="BE413" i="6"/>
  <c r="BE411" i="6"/>
  <c r="BE409" i="6"/>
  <c r="BE414" i="6"/>
  <c r="BE412" i="6"/>
  <c r="BE410" i="6"/>
  <c r="F438" i="6"/>
  <c r="O372" i="6"/>
  <c r="R453" i="6"/>
  <c r="R451" i="6"/>
  <c r="R449" i="6"/>
  <c r="R450" i="6"/>
  <c r="R452" i="6"/>
  <c r="R454" i="6"/>
  <c r="AJ454" i="6"/>
  <c r="AJ452" i="6"/>
  <c r="AJ451" i="6"/>
  <c r="AJ449" i="6"/>
  <c r="AJ450" i="6"/>
  <c r="AJ453" i="6"/>
  <c r="AQ473" i="6"/>
  <c r="AQ474" i="6"/>
  <c r="AQ471" i="6"/>
  <c r="AQ472" i="6"/>
  <c r="AQ469" i="6"/>
  <c r="AQ470" i="6"/>
  <c r="V423" i="6"/>
  <c r="V420" i="6"/>
  <c r="V421" i="6"/>
  <c r="V419" i="6"/>
  <c r="V424" i="6"/>
  <c r="V422" i="6"/>
  <c r="AX433" i="6"/>
  <c r="AX432" i="6"/>
  <c r="AX429" i="6"/>
  <c r="AX430" i="6"/>
  <c r="AX431" i="6"/>
  <c r="AX434" i="6"/>
  <c r="AX532" i="6"/>
  <c r="AX530" i="6"/>
  <c r="AX529" i="6"/>
  <c r="AX534" i="6"/>
  <c r="AX533" i="6"/>
  <c r="AX531" i="6"/>
  <c r="AX372" i="6"/>
  <c r="AD519" i="6"/>
  <c r="AD521" i="6"/>
  <c r="AD520" i="6"/>
  <c r="AD524" i="6"/>
  <c r="AD523" i="6"/>
  <c r="AD522" i="6"/>
  <c r="AF509" i="6"/>
  <c r="AF512" i="6"/>
  <c r="AF511" i="6"/>
  <c r="AF514" i="6"/>
  <c r="AF513" i="6"/>
  <c r="AF510" i="6"/>
  <c r="AH499" i="6"/>
  <c r="AH500" i="6"/>
  <c r="AH503" i="6"/>
  <c r="AH504" i="6"/>
  <c r="AH502" i="6"/>
  <c r="AH501" i="6"/>
  <c r="AJ490" i="6"/>
  <c r="AJ489" i="6"/>
  <c r="AJ494" i="6"/>
  <c r="AJ493" i="6"/>
  <c r="AJ491" i="6"/>
  <c r="AJ492" i="6"/>
  <c r="AL481" i="6"/>
  <c r="AL483" i="6"/>
  <c r="AL480" i="6"/>
  <c r="AL482" i="6"/>
  <c r="AL484" i="6"/>
  <c r="AL479" i="6"/>
  <c r="BP460" i="6"/>
  <c r="BP459" i="6"/>
  <c r="BP464" i="6"/>
  <c r="BP462" i="6"/>
  <c r="BP463" i="6"/>
  <c r="BP461" i="6"/>
  <c r="BQ521" i="6"/>
  <c r="BQ523" i="6"/>
  <c r="BQ524" i="6"/>
  <c r="BQ520" i="6"/>
  <c r="BQ522" i="6"/>
  <c r="BQ519" i="6"/>
  <c r="BQ482" i="6"/>
  <c r="BQ483" i="6"/>
  <c r="BQ480" i="6"/>
  <c r="BQ484" i="6"/>
  <c r="BQ479" i="6"/>
  <c r="BQ481" i="6"/>
  <c r="AY411" i="6"/>
  <c r="AY409" i="6"/>
  <c r="AY413" i="6"/>
  <c r="AY412" i="6"/>
  <c r="AY410" i="6"/>
  <c r="AY414" i="6"/>
  <c r="AQ534" i="6"/>
  <c r="AQ530" i="6"/>
  <c r="AQ531" i="6"/>
  <c r="AQ532" i="6"/>
  <c r="AQ529" i="6"/>
  <c r="AQ533" i="6"/>
  <c r="AQ504" i="6"/>
  <c r="AQ500" i="6"/>
  <c r="AQ501" i="6"/>
  <c r="AQ502" i="6"/>
  <c r="AQ499" i="6"/>
  <c r="AQ503" i="6"/>
  <c r="AN454" i="6"/>
  <c r="AN451" i="6"/>
  <c r="AN453" i="6"/>
  <c r="AN450" i="6"/>
  <c r="AN452" i="6"/>
  <c r="AN449" i="6"/>
  <c r="K460" i="6"/>
  <c r="K461" i="6"/>
  <c r="K459" i="6"/>
  <c r="K464" i="6"/>
  <c r="K463" i="6"/>
  <c r="K462" i="6"/>
  <c r="AN423" i="6"/>
  <c r="AN420" i="6"/>
  <c r="AN419" i="6"/>
  <c r="AN421" i="6"/>
  <c r="AN424" i="6"/>
  <c r="AN422" i="6"/>
  <c r="N433" i="6"/>
  <c r="N432" i="6"/>
  <c r="N429" i="6"/>
  <c r="N431" i="6"/>
  <c r="N434" i="6"/>
  <c r="N430" i="6"/>
  <c r="AF533" i="6"/>
  <c r="AF530" i="6"/>
  <c r="AF534" i="6"/>
  <c r="AF532" i="6"/>
  <c r="AF529" i="6"/>
  <c r="AF531" i="6"/>
  <c r="AO372" i="6"/>
  <c r="L524" i="6"/>
  <c r="L519" i="6"/>
  <c r="L522" i="6"/>
  <c r="L520" i="6"/>
  <c r="L523" i="6"/>
  <c r="L521" i="6"/>
  <c r="N514" i="6"/>
  <c r="N509" i="6"/>
  <c r="N510" i="6"/>
  <c r="N511" i="6"/>
  <c r="N513" i="6"/>
  <c r="N512" i="6"/>
  <c r="P504" i="6"/>
  <c r="P499" i="6"/>
  <c r="P501" i="6"/>
  <c r="P503" i="6"/>
  <c r="P500" i="6"/>
  <c r="P502" i="6"/>
  <c r="R493" i="6"/>
  <c r="R490" i="6"/>
  <c r="R492" i="6"/>
  <c r="R494" i="6"/>
  <c r="R489" i="6"/>
  <c r="R491" i="6"/>
  <c r="T484" i="6"/>
  <c r="T479" i="6"/>
  <c r="T481" i="6"/>
  <c r="T483" i="6"/>
  <c r="T480" i="6"/>
  <c r="T482" i="6"/>
  <c r="AO510" i="6"/>
  <c r="AO511" i="6"/>
  <c r="AO509" i="6"/>
  <c r="AO512" i="6"/>
  <c r="AO513" i="6"/>
  <c r="AO514" i="6"/>
  <c r="R372" i="6"/>
  <c r="L463" i="6"/>
  <c r="L461" i="6"/>
  <c r="L460" i="6"/>
  <c r="L459" i="6"/>
  <c r="L464" i="6"/>
  <c r="L462" i="6"/>
  <c r="AE419" i="6"/>
  <c r="AE421" i="6"/>
  <c r="AE423" i="6"/>
  <c r="AE424" i="6"/>
  <c r="AE420" i="6"/>
  <c r="AE422" i="6"/>
  <c r="AJ430" i="6"/>
  <c r="AJ429" i="6"/>
  <c r="AJ432" i="6"/>
  <c r="AJ433" i="6"/>
  <c r="AJ434" i="6"/>
  <c r="AJ431" i="6"/>
  <c r="BJ372" i="6"/>
  <c r="J533" i="6"/>
  <c r="J530" i="6"/>
  <c r="J531" i="6"/>
  <c r="J534" i="6"/>
  <c r="J529" i="6"/>
  <c r="J532" i="6"/>
  <c r="BB520" i="6"/>
  <c r="BB522" i="6"/>
  <c r="BB519" i="6"/>
  <c r="BB524" i="6"/>
  <c r="BB523" i="6"/>
  <c r="BB521" i="6"/>
  <c r="BD513" i="6"/>
  <c r="BD510" i="6"/>
  <c r="BD509" i="6"/>
  <c r="BD512" i="6"/>
  <c r="BD511" i="6"/>
  <c r="BD514" i="6"/>
  <c r="BF502" i="6"/>
  <c r="BF501" i="6"/>
  <c r="BF499" i="6"/>
  <c r="BF500" i="6"/>
  <c r="BF503" i="6"/>
  <c r="BF504" i="6"/>
  <c r="BH491" i="6"/>
  <c r="BH492" i="6"/>
  <c r="BH490" i="6"/>
  <c r="BH489" i="6"/>
  <c r="BH494" i="6"/>
  <c r="BH493" i="6"/>
  <c r="BJ484" i="6"/>
  <c r="BJ479" i="6"/>
  <c r="BJ481" i="6"/>
  <c r="BJ483" i="6"/>
  <c r="BJ480" i="6"/>
  <c r="BJ482" i="6"/>
  <c r="AW492" i="6"/>
  <c r="AW491" i="6"/>
  <c r="AW490" i="6"/>
  <c r="AW489" i="6"/>
  <c r="AW493" i="6"/>
  <c r="AW494" i="6"/>
  <c r="BA452" i="6"/>
  <c r="BA450" i="6"/>
  <c r="BA449" i="6"/>
  <c r="BA454" i="6"/>
  <c r="BA453" i="6"/>
  <c r="BA451" i="6"/>
  <c r="V460" i="6"/>
  <c r="V459" i="6"/>
  <c r="V464" i="6"/>
  <c r="V462" i="6"/>
  <c r="V463" i="6"/>
  <c r="V461" i="6"/>
  <c r="AT423" i="6"/>
  <c r="AT420" i="6"/>
  <c r="AT421" i="6"/>
  <c r="AT419" i="6"/>
  <c r="AT424" i="6"/>
  <c r="AT422" i="6"/>
  <c r="AK530" i="6"/>
  <c r="AK531" i="6"/>
  <c r="AK532" i="6"/>
  <c r="AK533" i="6"/>
  <c r="AK534" i="6"/>
  <c r="AK529" i="6"/>
  <c r="AK503" i="6"/>
  <c r="AK504" i="6"/>
  <c r="AK500" i="6"/>
  <c r="AK499" i="6"/>
  <c r="AK501" i="6"/>
  <c r="AK502" i="6"/>
  <c r="AF464" i="6"/>
  <c r="AF462" i="6"/>
  <c r="AF461" i="6"/>
  <c r="AF459" i="6"/>
  <c r="AF460" i="6"/>
  <c r="AF463" i="6"/>
  <c r="K522" i="6"/>
  <c r="K520" i="6"/>
  <c r="K521" i="6"/>
  <c r="K523" i="6"/>
  <c r="K519" i="6"/>
  <c r="K524" i="6"/>
  <c r="K480" i="6"/>
  <c r="K481" i="6"/>
  <c r="K482" i="6"/>
  <c r="K484" i="6"/>
  <c r="K483" i="6"/>
  <c r="K479" i="6"/>
  <c r="T412" i="6"/>
  <c r="T414" i="6"/>
  <c r="T409" i="6"/>
  <c r="T411" i="6"/>
  <c r="T410" i="6"/>
  <c r="T413" i="6"/>
  <c r="Q489" i="6"/>
  <c r="Q491" i="6"/>
  <c r="Q493" i="6"/>
  <c r="Q494" i="6"/>
  <c r="Q490" i="6"/>
  <c r="Q492" i="6"/>
  <c r="AX460" i="6"/>
  <c r="AX461" i="6"/>
  <c r="AX464" i="6"/>
  <c r="AX459" i="6"/>
  <c r="AX463" i="6"/>
  <c r="AX462" i="6"/>
  <c r="AZ442" i="6"/>
  <c r="AZ440" i="6"/>
  <c r="AZ441" i="6"/>
  <c r="AZ443" i="6"/>
  <c r="AZ439" i="6"/>
  <c r="AZ444" i="6"/>
  <c r="U469" i="6"/>
  <c r="U470" i="6"/>
  <c r="U473" i="6"/>
  <c r="U474" i="6"/>
  <c r="U471" i="6"/>
  <c r="U472" i="6"/>
  <c r="BG474" i="6"/>
  <c r="BG472" i="6"/>
  <c r="BG473" i="6"/>
  <c r="BG471" i="6"/>
  <c r="BG470" i="6"/>
  <c r="BG469" i="6"/>
  <c r="BE434" i="6"/>
  <c r="BE429" i="6"/>
  <c r="BE430" i="6"/>
  <c r="BE431" i="6"/>
  <c r="BE432" i="6"/>
  <c r="BE433" i="6"/>
  <c r="U534" i="6"/>
  <c r="U529" i="6"/>
  <c r="U530" i="6"/>
  <c r="U531" i="6"/>
  <c r="U533" i="6"/>
  <c r="U532" i="6"/>
  <c r="U522" i="6"/>
  <c r="U519" i="6"/>
  <c r="U520" i="6"/>
  <c r="U521" i="6"/>
  <c r="U523" i="6"/>
  <c r="U524" i="6"/>
  <c r="U500" i="6"/>
  <c r="U501" i="6"/>
  <c r="U502" i="6"/>
  <c r="U504" i="6"/>
  <c r="U503" i="6"/>
  <c r="U499" i="6"/>
  <c r="U484" i="6"/>
  <c r="U480" i="6"/>
  <c r="U481" i="6"/>
  <c r="U483" i="6"/>
  <c r="U482" i="6"/>
  <c r="U479" i="6"/>
  <c r="BL464" i="6"/>
  <c r="BL462" i="6"/>
  <c r="BL461" i="6"/>
  <c r="BL460" i="6"/>
  <c r="BL463" i="6"/>
  <c r="BL459" i="6"/>
  <c r="AQ429" i="6"/>
  <c r="AQ434" i="6"/>
  <c r="AQ433" i="6"/>
  <c r="AQ430" i="6"/>
  <c r="AQ432" i="6"/>
  <c r="AQ431" i="6"/>
  <c r="BG514" i="6"/>
  <c r="BG511" i="6"/>
  <c r="BG509" i="6"/>
  <c r="BG513" i="6"/>
  <c r="BG512" i="6"/>
  <c r="BG510" i="6"/>
  <c r="BG494" i="6"/>
  <c r="BG490" i="6"/>
  <c r="BG492" i="6"/>
  <c r="BG493" i="6"/>
  <c r="BG491" i="6"/>
  <c r="BG489" i="6"/>
  <c r="W442" i="6"/>
  <c r="W444" i="6"/>
  <c r="W440" i="6"/>
  <c r="W443" i="6"/>
  <c r="W441" i="6"/>
  <c r="W439" i="6"/>
  <c r="AD454" i="6"/>
  <c r="AD452" i="6"/>
  <c r="AD451" i="6"/>
  <c r="AD449" i="6"/>
  <c r="AD450" i="6"/>
  <c r="AD453" i="6"/>
  <c r="AX412" i="6"/>
  <c r="AX414" i="6"/>
  <c r="AX409" i="6"/>
  <c r="AX411" i="6"/>
  <c r="AX410" i="6"/>
  <c r="AX413" i="6"/>
  <c r="AB372" i="6"/>
  <c r="F448" i="6"/>
  <c r="AA372" i="6"/>
  <c r="BM490" i="6"/>
  <c r="BM491" i="6"/>
  <c r="BM494" i="6"/>
  <c r="BM492" i="6"/>
  <c r="BM493" i="6"/>
  <c r="BM489" i="6"/>
  <c r="U453" i="6"/>
  <c r="U451" i="6"/>
  <c r="U449" i="6"/>
  <c r="U450" i="6"/>
  <c r="U454" i="6"/>
  <c r="U452" i="6"/>
  <c r="AZ453" i="6"/>
  <c r="AZ451" i="6"/>
  <c r="AZ450" i="6"/>
  <c r="AZ452" i="6"/>
  <c r="AZ454" i="6"/>
  <c r="AZ449" i="6"/>
  <c r="BD471" i="6"/>
  <c r="BD474" i="6"/>
  <c r="BD473" i="6"/>
  <c r="BD469" i="6"/>
  <c r="BD470" i="6"/>
  <c r="BD472" i="6"/>
  <c r="AD422" i="6"/>
  <c r="AD423" i="6"/>
  <c r="AD419" i="6"/>
  <c r="AD421" i="6"/>
  <c r="AD424" i="6"/>
  <c r="AD420" i="6"/>
  <c r="AS534" i="6"/>
  <c r="AS532" i="6"/>
  <c r="AS529" i="6"/>
  <c r="AS531" i="6"/>
  <c r="AS530" i="6"/>
  <c r="AS533" i="6"/>
  <c r="AS522" i="6"/>
  <c r="AS523" i="6"/>
  <c r="AS521" i="6"/>
  <c r="AS520" i="6"/>
  <c r="AS524" i="6"/>
  <c r="AS519" i="6"/>
  <c r="AS500" i="6"/>
  <c r="AS503" i="6"/>
  <c r="AS504" i="6"/>
  <c r="AS501" i="6"/>
  <c r="AS502" i="6"/>
  <c r="AS499" i="6"/>
  <c r="AS484" i="6"/>
  <c r="AS481" i="6"/>
  <c r="AS480" i="6"/>
  <c r="AS483" i="6"/>
  <c r="AS482" i="6"/>
  <c r="AS479" i="6"/>
  <c r="X460" i="6"/>
  <c r="X459" i="6"/>
  <c r="X461" i="6"/>
  <c r="X462" i="6"/>
  <c r="X464" i="6"/>
  <c r="X463" i="6"/>
  <c r="AQ423" i="6"/>
  <c r="AQ424" i="6"/>
  <c r="AQ421" i="6"/>
  <c r="AQ422" i="6"/>
  <c r="AQ420" i="6"/>
  <c r="AQ419" i="6"/>
  <c r="O532" i="6"/>
  <c r="O533" i="6"/>
  <c r="O534" i="6"/>
  <c r="O529" i="6"/>
  <c r="O531" i="6"/>
  <c r="O530" i="6"/>
  <c r="O523" i="6"/>
  <c r="O524" i="6"/>
  <c r="O522" i="6"/>
  <c r="O519" i="6"/>
  <c r="O521" i="6"/>
  <c r="O520" i="6"/>
  <c r="O502" i="6"/>
  <c r="O503" i="6"/>
  <c r="O504" i="6"/>
  <c r="O499" i="6"/>
  <c r="O501" i="6"/>
  <c r="O500" i="6"/>
  <c r="O483" i="6"/>
  <c r="O484" i="6"/>
  <c r="O480" i="6"/>
  <c r="O479" i="6"/>
  <c r="O482" i="6"/>
  <c r="O481" i="6"/>
  <c r="BO443" i="6"/>
  <c r="BO440" i="6"/>
  <c r="BO444" i="6"/>
  <c r="BO439" i="6"/>
  <c r="BO442" i="6"/>
  <c r="BO441" i="6"/>
  <c r="Q470" i="6"/>
  <c r="Q471" i="6"/>
  <c r="Q472" i="6"/>
  <c r="Q474" i="6"/>
  <c r="Q473" i="6"/>
  <c r="Q469" i="6"/>
  <c r="AL439" i="6"/>
  <c r="AL440" i="6"/>
  <c r="AL441" i="6"/>
  <c r="AL443" i="6"/>
  <c r="AL444" i="6"/>
  <c r="AL442" i="6"/>
  <c r="BE472" i="6"/>
  <c r="BE470" i="6"/>
  <c r="BE469" i="6"/>
  <c r="BE474" i="6"/>
  <c r="BE471" i="6"/>
  <c r="BE473" i="6"/>
  <c r="J414" i="6"/>
  <c r="J410" i="6"/>
  <c r="J413" i="6"/>
  <c r="J412" i="6"/>
  <c r="J409" i="6"/>
  <c r="J411" i="6"/>
  <c r="AC431" i="6"/>
  <c r="AC434" i="6"/>
  <c r="AC432" i="6"/>
  <c r="AC429" i="6"/>
  <c r="AC433" i="6"/>
  <c r="AC430" i="6"/>
  <c r="M444" i="6"/>
  <c r="M443" i="6"/>
  <c r="M441" i="6"/>
  <c r="M439" i="6"/>
  <c r="M442" i="6"/>
  <c r="M440" i="6"/>
  <c r="E446" i="6"/>
  <c r="AB448" i="6"/>
  <c r="AM449" i="6"/>
  <c r="AM454" i="6"/>
  <c r="AM453" i="6"/>
  <c r="AM452" i="6"/>
  <c r="AM451" i="6"/>
  <c r="AM450" i="6"/>
  <c r="AM469" i="6"/>
  <c r="AM473" i="6"/>
  <c r="AM472" i="6"/>
  <c r="AM471" i="6"/>
  <c r="AM470" i="6"/>
  <c r="AM474" i="6"/>
  <c r="BG410" i="6"/>
  <c r="BG412" i="6"/>
  <c r="BG409" i="6"/>
  <c r="BG411" i="6"/>
  <c r="BG413" i="6"/>
  <c r="BG414" i="6"/>
  <c r="R424" i="6"/>
  <c r="R423" i="6"/>
  <c r="R419" i="6"/>
  <c r="R421" i="6"/>
  <c r="R422" i="6"/>
  <c r="R420" i="6"/>
  <c r="AM529" i="6"/>
  <c r="AM531" i="6"/>
  <c r="AM530" i="6"/>
  <c r="AM533" i="6"/>
  <c r="AM532" i="6"/>
  <c r="AM534" i="6"/>
  <c r="AM519" i="6"/>
  <c r="AM521" i="6"/>
  <c r="AM520" i="6"/>
  <c r="AM524" i="6"/>
  <c r="AM523" i="6"/>
  <c r="AM522" i="6"/>
  <c r="AM510" i="6"/>
  <c r="AM509" i="6"/>
  <c r="AM511" i="6"/>
  <c r="AM513" i="6"/>
  <c r="AM512" i="6"/>
  <c r="AM514" i="6"/>
  <c r="AM499" i="6"/>
  <c r="AM501" i="6"/>
  <c r="AM500" i="6"/>
  <c r="AM503" i="6"/>
  <c r="AM502" i="6"/>
  <c r="AM504" i="6"/>
  <c r="AM489" i="6"/>
  <c r="AM490" i="6"/>
  <c r="AM492" i="6"/>
  <c r="AM493" i="6"/>
  <c r="AM491" i="6"/>
  <c r="AM494" i="6"/>
  <c r="AM479" i="6"/>
  <c r="AM482" i="6"/>
  <c r="AM481" i="6"/>
  <c r="AM484" i="6"/>
  <c r="AM483" i="6"/>
  <c r="AM480" i="6"/>
  <c r="AV453" i="6"/>
  <c r="AV451" i="6"/>
  <c r="AV449" i="6"/>
  <c r="AV454" i="6"/>
  <c r="AV450" i="6"/>
  <c r="AV452" i="6"/>
  <c r="S460" i="6"/>
  <c r="S461" i="6"/>
  <c r="S462" i="6"/>
  <c r="S463" i="6"/>
  <c r="S459" i="6"/>
  <c r="S464" i="6"/>
  <c r="BN453" i="6"/>
  <c r="BN451" i="6"/>
  <c r="BN449" i="6"/>
  <c r="BN454" i="6"/>
  <c r="BN450" i="6"/>
  <c r="BN452" i="6"/>
  <c r="X413" i="6"/>
  <c r="X411" i="6"/>
  <c r="X409" i="6"/>
  <c r="X412" i="6"/>
  <c r="X410" i="6"/>
  <c r="X414" i="6"/>
  <c r="U421" i="6"/>
  <c r="U420" i="6"/>
  <c r="U422" i="6"/>
  <c r="U423" i="6"/>
  <c r="U419" i="6"/>
  <c r="U424" i="6"/>
  <c r="AR422" i="6"/>
  <c r="AR421" i="6"/>
  <c r="AR419" i="6"/>
  <c r="AR423" i="6"/>
  <c r="AR424" i="6"/>
  <c r="AR420" i="6"/>
  <c r="AK441" i="6"/>
  <c r="AK443" i="6"/>
  <c r="AK442" i="6"/>
  <c r="AK440" i="6"/>
  <c r="AK439" i="6"/>
  <c r="AK444" i="6"/>
  <c r="AZ413" i="6"/>
  <c r="AZ411" i="6"/>
  <c r="AZ409" i="6"/>
  <c r="AZ412" i="6"/>
  <c r="AZ410" i="6"/>
  <c r="AZ414" i="6"/>
  <c r="H440" i="6"/>
  <c r="H444" i="6"/>
  <c r="H439" i="6"/>
  <c r="H442" i="6"/>
  <c r="H443" i="6"/>
  <c r="H441" i="6"/>
  <c r="O451" i="6"/>
  <c r="O452" i="6"/>
  <c r="O453" i="6"/>
  <c r="O449" i="6"/>
  <c r="O450" i="6"/>
  <c r="O454" i="6"/>
  <c r="O470" i="6"/>
  <c r="O471" i="6"/>
  <c r="O472" i="6"/>
  <c r="O469" i="6"/>
  <c r="O474" i="6"/>
  <c r="O473" i="6"/>
  <c r="AI413" i="6"/>
  <c r="AI411" i="6"/>
  <c r="AI409" i="6"/>
  <c r="AI412" i="6"/>
  <c r="AI410" i="6"/>
  <c r="AI414" i="6"/>
  <c r="K433" i="6"/>
  <c r="K429" i="6"/>
  <c r="K434" i="6"/>
  <c r="K432" i="6"/>
  <c r="K431" i="6"/>
  <c r="K430" i="6"/>
  <c r="AY530" i="6"/>
  <c r="AY531" i="6"/>
  <c r="AY534" i="6"/>
  <c r="AY532" i="6"/>
  <c r="AY529" i="6"/>
  <c r="AY533" i="6"/>
  <c r="AY520" i="6"/>
  <c r="AY521" i="6"/>
  <c r="AY522" i="6"/>
  <c r="AY523" i="6"/>
  <c r="AY519" i="6"/>
  <c r="AY524" i="6"/>
  <c r="AY511" i="6"/>
  <c r="AY509" i="6"/>
  <c r="AY514" i="6"/>
  <c r="AY512" i="6"/>
  <c r="AY510" i="6"/>
  <c r="AY513" i="6"/>
  <c r="AY500" i="6"/>
  <c r="AY501" i="6"/>
  <c r="AY504" i="6"/>
  <c r="AY502" i="6"/>
  <c r="AY499" i="6"/>
  <c r="AY503" i="6"/>
  <c r="AY490" i="6"/>
  <c r="AY492" i="6"/>
  <c r="AY494" i="6"/>
  <c r="AY491" i="6"/>
  <c r="AY489" i="6"/>
  <c r="AY493" i="6"/>
  <c r="AY481" i="6"/>
  <c r="AY482" i="6"/>
  <c r="AY480" i="6"/>
  <c r="AY479" i="6"/>
  <c r="AY484" i="6"/>
  <c r="AY483" i="6"/>
  <c r="G442" i="6"/>
  <c r="G443" i="6"/>
  <c r="G441" i="6"/>
  <c r="G439" i="6"/>
  <c r="G444" i="6"/>
  <c r="G440" i="6"/>
  <c r="AO453" i="6"/>
  <c r="AO450" i="6"/>
  <c r="AO452" i="6"/>
  <c r="AO454" i="6"/>
  <c r="AO449" i="6"/>
  <c r="AO451" i="6"/>
  <c r="AT454" i="6"/>
  <c r="AT452" i="6"/>
  <c r="AT451" i="6"/>
  <c r="AT449" i="6"/>
  <c r="AT450" i="6"/>
  <c r="AT453" i="6"/>
  <c r="AS473" i="6"/>
  <c r="AS471" i="6"/>
  <c r="AS470" i="6"/>
  <c r="AS469" i="6"/>
  <c r="AS474" i="6"/>
  <c r="AS472" i="6"/>
  <c r="BN412" i="6"/>
  <c r="BN414" i="6"/>
  <c r="BN409" i="6"/>
  <c r="BN411" i="6"/>
  <c r="BN410" i="6"/>
  <c r="BN413" i="6"/>
  <c r="X423" i="6"/>
  <c r="X420" i="6"/>
  <c r="X421" i="6"/>
  <c r="X419" i="6"/>
  <c r="X424" i="6"/>
  <c r="X422" i="6"/>
  <c r="BK444" i="6"/>
  <c r="BK439" i="6"/>
  <c r="BK441" i="6"/>
  <c r="BK442" i="6"/>
  <c r="BK440" i="6"/>
  <c r="BK443" i="6"/>
  <c r="X450" i="6"/>
  <c r="X449" i="6"/>
  <c r="X452" i="6"/>
  <c r="X451" i="6"/>
  <c r="X453" i="6"/>
  <c r="X454" i="6"/>
  <c r="Y474" i="6"/>
  <c r="Y469" i="6"/>
  <c r="Y471" i="6"/>
  <c r="Y470" i="6"/>
  <c r="Y472" i="6"/>
  <c r="Y473" i="6"/>
  <c r="AH442" i="6"/>
  <c r="AH441" i="6"/>
  <c r="AH443" i="6"/>
  <c r="AH440" i="6"/>
  <c r="AH439" i="6"/>
  <c r="AH444" i="6"/>
  <c r="BE451" i="6"/>
  <c r="BE449" i="6"/>
  <c r="BE450" i="6"/>
  <c r="BE453" i="6"/>
  <c r="BE452" i="6"/>
  <c r="BE454" i="6"/>
  <c r="H410" i="6"/>
  <c r="H413" i="6"/>
  <c r="H412" i="6"/>
  <c r="H414" i="6"/>
  <c r="H409" i="6"/>
  <c r="H411" i="6"/>
  <c r="BB450" i="6"/>
  <c r="BB453" i="6"/>
  <c r="BB454" i="6"/>
  <c r="BB452" i="6"/>
  <c r="BB451" i="6"/>
  <c r="BB449" i="6"/>
  <c r="BA464" i="6"/>
  <c r="BA462" i="6"/>
  <c r="BA463" i="6"/>
  <c r="BA461" i="6"/>
  <c r="BA459" i="6"/>
  <c r="BA460" i="6"/>
  <c r="BI474" i="6"/>
  <c r="BI472" i="6"/>
  <c r="BI473" i="6"/>
  <c r="BI471" i="6"/>
  <c r="BI470" i="6"/>
  <c r="BI469" i="6"/>
  <c r="N412" i="6"/>
  <c r="N414" i="6"/>
  <c r="N411" i="6"/>
  <c r="N409" i="6"/>
  <c r="N410" i="6"/>
  <c r="N413" i="6"/>
  <c r="I419" i="6"/>
  <c r="I421" i="6"/>
  <c r="I423" i="6"/>
  <c r="I424" i="6"/>
  <c r="I420" i="6"/>
  <c r="I422" i="6"/>
  <c r="BK429" i="6"/>
  <c r="BK431" i="6"/>
  <c r="BK430" i="6"/>
  <c r="BK433" i="6"/>
  <c r="BK434" i="6"/>
  <c r="BK432" i="6"/>
  <c r="AF424" i="6"/>
  <c r="AF422" i="6"/>
  <c r="AF423" i="6"/>
  <c r="AF420" i="6"/>
  <c r="AF421" i="6"/>
  <c r="AF419" i="6"/>
  <c r="U431" i="6"/>
  <c r="U433" i="6"/>
  <c r="U432" i="6"/>
  <c r="U430" i="6"/>
  <c r="U434" i="6"/>
  <c r="U429" i="6"/>
  <c r="AQ442" i="6"/>
  <c r="AQ441" i="6"/>
  <c r="AQ443" i="6"/>
  <c r="AQ439" i="6"/>
  <c r="AQ444" i="6"/>
  <c r="AQ440" i="6"/>
  <c r="BL449" i="6"/>
  <c r="BL453" i="6"/>
  <c r="BL451" i="6"/>
  <c r="BL450" i="6"/>
  <c r="BL452" i="6"/>
  <c r="BL454" i="6"/>
  <c r="Y409" i="6"/>
  <c r="Y413" i="6"/>
  <c r="Y411" i="6"/>
  <c r="Y410" i="6"/>
  <c r="Y414" i="6"/>
  <c r="Y412" i="6"/>
  <c r="S372" i="6"/>
  <c r="N440" i="6"/>
  <c r="N444" i="6"/>
  <c r="N439" i="6"/>
  <c r="N441" i="6"/>
  <c r="N442" i="6"/>
  <c r="N443" i="6"/>
  <c r="AI461" i="6"/>
  <c r="AI462" i="6"/>
  <c r="AI460" i="6"/>
  <c r="AI463" i="6"/>
  <c r="AI459" i="6"/>
  <c r="AI464" i="6"/>
  <c r="J452" i="6"/>
  <c r="J454" i="6"/>
  <c r="J451" i="6"/>
  <c r="J453" i="6"/>
  <c r="J449" i="6"/>
  <c r="J450" i="6"/>
  <c r="I461" i="6"/>
  <c r="I462" i="6"/>
  <c r="I460" i="6"/>
  <c r="I463" i="6"/>
  <c r="I459" i="6"/>
  <c r="I464" i="6"/>
  <c r="J474" i="6"/>
  <c r="J472" i="6"/>
  <c r="J471" i="6"/>
  <c r="J470" i="6"/>
  <c r="J473" i="6"/>
  <c r="J469" i="6"/>
  <c r="AN411" i="6"/>
  <c r="AN409" i="6"/>
  <c r="AN413" i="6"/>
  <c r="AN412" i="6"/>
  <c r="AN410" i="6"/>
  <c r="AN414" i="6"/>
  <c r="AD411" i="6"/>
  <c r="AD409" i="6"/>
  <c r="AD413" i="6"/>
  <c r="AD412" i="6"/>
  <c r="AD410" i="6"/>
  <c r="AD414" i="6"/>
  <c r="AC420" i="6"/>
  <c r="AC422" i="6"/>
  <c r="AC421" i="6"/>
  <c r="AC423" i="6"/>
  <c r="AC419" i="6"/>
  <c r="AC424" i="6"/>
  <c r="W434" i="6"/>
  <c r="W432" i="6"/>
  <c r="W431" i="6"/>
  <c r="W430" i="6"/>
  <c r="W429" i="6"/>
  <c r="W433" i="6"/>
  <c r="AZ421" i="6"/>
  <c r="AZ419" i="6"/>
  <c r="AZ422" i="6"/>
  <c r="AZ423" i="6"/>
  <c r="AZ424" i="6"/>
  <c r="AZ420" i="6"/>
  <c r="BF534" i="6"/>
  <c r="BF533" i="6"/>
  <c r="BF531" i="6"/>
  <c r="BF532" i="6"/>
  <c r="BF530" i="6"/>
  <c r="BF529" i="6"/>
  <c r="BB372" i="6"/>
  <c r="AL518" i="6"/>
  <c r="E516" i="6"/>
  <c r="AN513" i="6"/>
  <c r="AN510" i="6"/>
  <c r="AN509" i="6"/>
  <c r="AN512" i="6"/>
  <c r="AN511" i="6"/>
  <c r="AN514" i="6"/>
  <c r="AP502" i="6"/>
  <c r="AP501" i="6"/>
  <c r="AP499" i="6"/>
  <c r="AP500" i="6"/>
  <c r="AP503" i="6"/>
  <c r="AP504" i="6"/>
  <c r="AR491" i="6"/>
  <c r="AR492" i="6"/>
  <c r="AR490" i="6"/>
  <c r="AR489" i="6"/>
  <c r="AR494" i="6"/>
  <c r="AR493" i="6"/>
  <c r="AT484" i="6"/>
  <c r="AT479" i="6"/>
  <c r="AT481" i="6"/>
  <c r="AT483" i="6"/>
  <c r="AT480" i="6"/>
  <c r="AT482" i="6"/>
  <c r="V372" i="6"/>
  <c r="BO454" i="6"/>
  <c r="BO450" i="6"/>
  <c r="BO452" i="6"/>
  <c r="BO453" i="6"/>
  <c r="BO449" i="6"/>
  <c r="BO451" i="6"/>
  <c r="AK491" i="6"/>
  <c r="AK493" i="6"/>
  <c r="AK490" i="6"/>
  <c r="AK489" i="6"/>
  <c r="AK492" i="6"/>
  <c r="AK494" i="6"/>
  <c r="BC470" i="6"/>
  <c r="BC469" i="6"/>
  <c r="BC472" i="6"/>
  <c r="BC473" i="6"/>
  <c r="BC474" i="6"/>
  <c r="BC471" i="6"/>
  <c r="K514" i="6"/>
  <c r="K511" i="6"/>
  <c r="K509" i="6"/>
  <c r="K512" i="6"/>
  <c r="K510" i="6"/>
  <c r="K513" i="6"/>
  <c r="AU430" i="6"/>
  <c r="AU433" i="6"/>
  <c r="AU432" i="6"/>
  <c r="AU434" i="6"/>
  <c r="AU429" i="6"/>
  <c r="AU431" i="6"/>
  <c r="Q519" i="6"/>
  <c r="Q520" i="6"/>
  <c r="Q521" i="6"/>
  <c r="Q523" i="6"/>
  <c r="Q524" i="6"/>
  <c r="Q522" i="6"/>
  <c r="Q479" i="6"/>
  <c r="Q480" i="6"/>
  <c r="Q481" i="6"/>
  <c r="Q482" i="6"/>
  <c r="Q483" i="6"/>
  <c r="Q484" i="6"/>
  <c r="Q444" i="6"/>
  <c r="Q443" i="6"/>
  <c r="Q442" i="6"/>
  <c r="Q441" i="6"/>
  <c r="Q440" i="6"/>
  <c r="Q439" i="6"/>
  <c r="AI449" i="6"/>
  <c r="AI451" i="6"/>
  <c r="AI454" i="6"/>
  <c r="AI450" i="6"/>
  <c r="AI452" i="6"/>
  <c r="AI453" i="6"/>
  <c r="BC410" i="6"/>
  <c r="BC413" i="6"/>
  <c r="BC412" i="6"/>
  <c r="BC414" i="6"/>
  <c r="BC411" i="6"/>
  <c r="BC409" i="6"/>
  <c r="BA514" i="6"/>
  <c r="BA510" i="6"/>
  <c r="BA511" i="6"/>
  <c r="BA509" i="6"/>
  <c r="BA512" i="6"/>
  <c r="BA513" i="6"/>
  <c r="BA491" i="6"/>
  <c r="BA493" i="6"/>
  <c r="BA494" i="6"/>
  <c r="BA492" i="6"/>
  <c r="BA489" i="6"/>
  <c r="BA490" i="6"/>
  <c r="AS449" i="6"/>
  <c r="AS453" i="6"/>
  <c r="AS451" i="6"/>
  <c r="AS452" i="6"/>
  <c r="AS454" i="6"/>
  <c r="AS450" i="6"/>
  <c r="N464" i="6"/>
  <c r="N462" i="6"/>
  <c r="N461" i="6"/>
  <c r="N460" i="6"/>
  <c r="N463" i="6"/>
  <c r="N459" i="6"/>
  <c r="Q414" i="6"/>
  <c r="Q413" i="6"/>
  <c r="Q411" i="6"/>
  <c r="Q410" i="6"/>
  <c r="Q412" i="6"/>
  <c r="Q409" i="6"/>
  <c r="AP421" i="6"/>
  <c r="AP419" i="6"/>
  <c r="AP422" i="6"/>
  <c r="AP420" i="6"/>
  <c r="AP423" i="6"/>
  <c r="AP424" i="6"/>
  <c r="Y372" i="6"/>
  <c r="AA514" i="6"/>
  <c r="AA511" i="6"/>
  <c r="AA509" i="6"/>
  <c r="AA513" i="6"/>
  <c r="AA512" i="6"/>
  <c r="AA510" i="6"/>
  <c r="AA494" i="6"/>
  <c r="AA490" i="6"/>
  <c r="AA492" i="6"/>
  <c r="AA491" i="6"/>
  <c r="AA489" i="6"/>
  <c r="AA493" i="6"/>
  <c r="AC458" i="6"/>
  <c r="E456" i="6"/>
  <c r="AW423" i="6"/>
  <c r="AW420" i="6"/>
  <c r="AW421" i="6"/>
  <c r="AW419" i="6"/>
  <c r="AW424" i="6"/>
  <c r="AW422" i="6"/>
  <c r="BM522" i="6"/>
  <c r="BM519" i="6"/>
  <c r="BM523" i="6"/>
  <c r="BM521" i="6"/>
  <c r="BM520" i="6"/>
  <c r="BM524" i="6"/>
  <c r="BM480" i="6"/>
  <c r="BM479" i="6"/>
  <c r="BM483" i="6"/>
  <c r="BM482" i="6"/>
  <c r="BM481" i="6"/>
  <c r="BM484" i="6"/>
  <c r="BM442" i="6"/>
  <c r="BM444" i="6"/>
  <c r="BM440" i="6"/>
  <c r="BM443" i="6"/>
  <c r="BM441" i="6"/>
  <c r="BM439" i="6"/>
  <c r="T472" i="6"/>
  <c r="T474" i="6"/>
  <c r="T471" i="6"/>
  <c r="T473" i="6"/>
  <c r="T469" i="6"/>
  <c r="T470" i="6"/>
  <c r="AJ442" i="6"/>
  <c r="AJ440" i="6"/>
  <c r="AJ443" i="6"/>
  <c r="AJ441" i="6"/>
  <c r="AJ439" i="6"/>
  <c r="AJ444" i="6"/>
  <c r="BP471" i="6"/>
  <c r="BP470" i="6"/>
  <c r="BP472" i="6"/>
  <c r="BP474" i="6"/>
  <c r="BP473" i="6"/>
  <c r="BP469" i="6"/>
  <c r="K411" i="6"/>
  <c r="K412" i="6"/>
  <c r="K413" i="6"/>
  <c r="K414" i="6"/>
  <c r="K409" i="6"/>
  <c r="K410" i="6"/>
  <c r="Y431" i="6"/>
  <c r="Y433" i="6"/>
  <c r="Y430" i="6"/>
  <c r="Y432" i="6"/>
  <c r="Y434" i="6"/>
  <c r="Y429" i="6"/>
  <c r="M534" i="6"/>
  <c r="M530" i="6"/>
  <c r="M533" i="6"/>
  <c r="M532" i="6"/>
  <c r="M529" i="6"/>
  <c r="M531" i="6"/>
  <c r="M522" i="6"/>
  <c r="M519" i="6"/>
  <c r="M521" i="6"/>
  <c r="M520" i="6"/>
  <c r="M524" i="6"/>
  <c r="M523" i="6"/>
  <c r="M504" i="6"/>
  <c r="M499" i="6"/>
  <c r="M501" i="6"/>
  <c r="M500" i="6"/>
  <c r="M503" i="6"/>
  <c r="M502" i="6"/>
  <c r="M484" i="6"/>
  <c r="M479" i="6"/>
  <c r="M481" i="6"/>
  <c r="M480" i="6"/>
  <c r="M483" i="6"/>
  <c r="M482" i="6"/>
  <c r="W473" i="6"/>
  <c r="W474" i="6"/>
  <c r="W471" i="6"/>
  <c r="W469" i="6"/>
  <c r="W470" i="6"/>
  <c r="W472" i="6"/>
  <c r="BP412" i="6"/>
  <c r="BP414" i="6"/>
  <c r="BP411" i="6"/>
  <c r="BP410" i="6"/>
  <c r="BP413" i="6"/>
  <c r="BP409" i="6"/>
  <c r="AU512" i="6"/>
  <c r="AU513" i="6"/>
  <c r="AU509" i="6"/>
  <c r="AU511" i="6"/>
  <c r="AU514" i="6"/>
  <c r="AU510" i="6"/>
  <c r="AU490" i="6"/>
  <c r="AU493" i="6"/>
  <c r="AU492" i="6"/>
  <c r="AU491" i="6"/>
  <c r="AU494" i="6"/>
  <c r="AU489" i="6"/>
  <c r="AX453" i="6"/>
  <c r="AX451" i="6"/>
  <c r="AX449" i="6"/>
  <c r="AX450" i="6"/>
  <c r="AX452" i="6"/>
  <c r="AX454" i="6"/>
  <c r="BR413" i="6"/>
  <c r="BR411" i="6"/>
  <c r="BR409" i="6"/>
  <c r="BR410" i="6"/>
  <c r="BR414" i="6"/>
  <c r="BR412" i="6"/>
  <c r="BI449" i="6"/>
  <c r="BI451" i="6"/>
  <c r="BI453" i="6"/>
  <c r="BI450" i="6"/>
  <c r="BI452" i="6"/>
  <c r="BI454" i="6"/>
  <c r="T372" i="6"/>
  <c r="AD463" i="6"/>
  <c r="AD459" i="6"/>
  <c r="AD460" i="6"/>
  <c r="AD462" i="6"/>
  <c r="AD464" i="6"/>
  <c r="AD461" i="6"/>
  <c r="H463" i="6"/>
  <c r="H459" i="6"/>
  <c r="H460" i="6"/>
  <c r="H462" i="6"/>
  <c r="H464" i="6"/>
  <c r="H461" i="6"/>
  <c r="AK410" i="6"/>
  <c r="AK414" i="6"/>
  <c r="AK412" i="6"/>
  <c r="AK409" i="6"/>
  <c r="AK411" i="6"/>
  <c r="AK413" i="6"/>
  <c r="AA419" i="6"/>
  <c r="AA424" i="6"/>
  <c r="AA423" i="6"/>
  <c r="AA422" i="6"/>
  <c r="AA420" i="6"/>
  <c r="AA421" i="6"/>
  <c r="AX424" i="6"/>
  <c r="AX420" i="6"/>
  <c r="AX423" i="6"/>
  <c r="AX419" i="6"/>
  <c r="AX421" i="6"/>
  <c r="AX422" i="6"/>
  <c r="W372" i="6"/>
  <c r="W529" i="6"/>
  <c r="W534" i="6"/>
  <c r="W531" i="6"/>
  <c r="W530" i="6"/>
  <c r="W533" i="6"/>
  <c r="W532" i="6"/>
  <c r="W519" i="6"/>
  <c r="W522" i="6"/>
  <c r="W521" i="6"/>
  <c r="W520" i="6"/>
  <c r="W524" i="6"/>
  <c r="W523" i="6"/>
  <c r="W510" i="6"/>
  <c r="W514" i="6"/>
  <c r="W509" i="6"/>
  <c r="W511" i="6"/>
  <c r="W513" i="6"/>
  <c r="W512" i="6"/>
  <c r="W499" i="6"/>
  <c r="W504" i="6"/>
  <c r="W501" i="6"/>
  <c r="W500" i="6"/>
  <c r="W503" i="6"/>
  <c r="W502" i="6"/>
  <c r="W489" i="6"/>
  <c r="W494" i="6"/>
  <c r="W492" i="6"/>
  <c r="W490" i="6"/>
  <c r="W493" i="6"/>
  <c r="W491" i="6"/>
  <c r="W479" i="6"/>
  <c r="W480" i="6"/>
  <c r="W482" i="6"/>
  <c r="W481" i="6"/>
  <c r="W484" i="6"/>
  <c r="W483" i="6"/>
  <c r="AU462" i="6"/>
  <c r="AU460" i="6"/>
  <c r="AU459" i="6"/>
  <c r="AU463" i="6"/>
  <c r="AU464" i="6"/>
  <c r="AU461" i="6"/>
  <c r="BB439" i="6"/>
  <c r="BB440" i="6"/>
  <c r="BB441" i="6"/>
  <c r="BB442" i="6"/>
  <c r="BB443" i="6"/>
  <c r="BB444" i="6"/>
  <c r="P471" i="6"/>
  <c r="P474" i="6"/>
  <c r="P472" i="6"/>
  <c r="P470" i="6"/>
  <c r="P473" i="6"/>
  <c r="P469" i="6"/>
  <c r="AG460" i="6"/>
  <c r="AG461" i="6"/>
  <c r="AG462" i="6"/>
  <c r="AG463" i="6"/>
  <c r="AG459" i="6"/>
  <c r="AG464" i="6"/>
  <c r="BF471" i="6"/>
  <c r="BF474" i="6"/>
  <c r="BF472" i="6"/>
  <c r="BF470" i="6"/>
  <c r="BF473" i="6"/>
  <c r="BF469" i="6"/>
  <c r="BA422" i="6"/>
  <c r="BA421" i="6"/>
  <c r="BA419" i="6"/>
  <c r="BA423" i="6"/>
  <c r="BA424" i="6"/>
  <c r="BA420" i="6"/>
  <c r="BI431" i="6"/>
  <c r="BI434" i="6"/>
  <c r="BI432" i="6"/>
  <c r="BI430" i="6"/>
  <c r="BI429" i="6"/>
  <c r="BI433" i="6"/>
  <c r="M451" i="6"/>
  <c r="M452" i="6"/>
  <c r="M453" i="6"/>
  <c r="M450" i="6"/>
  <c r="M454" i="6"/>
  <c r="M449" i="6"/>
  <c r="AR453" i="6"/>
  <c r="AR451" i="6"/>
  <c r="AR449" i="6"/>
  <c r="AR454" i="6"/>
  <c r="AR450" i="6"/>
  <c r="AR452" i="6"/>
  <c r="AU451" i="6"/>
  <c r="AU452" i="6"/>
  <c r="AU453" i="6"/>
  <c r="AU454" i="6"/>
  <c r="AU449" i="6"/>
  <c r="AU450" i="6"/>
  <c r="AV471" i="6"/>
  <c r="AV474" i="6"/>
  <c r="AV472" i="6"/>
  <c r="AV473" i="6"/>
  <c r="AV469" i="6"/>
  <c r="AV470" i="6"/>
  <c r="BO413" i="6"/>
  <c r="BO411" i="6"/>
  <c r="BO409" i="6"/>
  <c r="BO410" i="6"/>
  <c r="BO414" i="6"/>
  <c r="BO412" i="6"/>
  <c r="Z422" i="6"/>
  <c r="Z421" i="6"/>
  <c r="Z419" i="6"/>
  <c r="Z424" i="6"/>
  <c r="Z420" i="6"/>
  <c r="Z423" i="6"/>
  <c r="AI530" i="6"/>
  <c r="AI531" i="6"/>
  <c r="AI534" i="6"/>
  <c r="AI529" i="6"/>
  <c r="AI533" i="6"/>
  <c r="AI532" i="6"/>
  <c r="AI520" i="6"/>
  <c r="AI521" i="6"/>
  <c r="AI522" i="6"/>
  <c r="AI519" i="6"/>
  <c r="AI524" i="6"/>
  <c r="AI523" i="6"/>
  <c r="AI511" i="6"/>
  <c r="AI509" i="6"/>
  <c r="AI514" i="6"/>
  <c r="AI510" i="6"/>
  <c r="AI513" i="6"/>
  <c r="AI512" i="6"/>
  <c r="AI500" i="6"/>
  <c r="AI501" i="6"/>
  <c r="AI504" i="6"/>
  <c r="AI499" i="6"/>
  <c r="AI503" i="6"/>
  <c r="AI502" i="6"/>
  <c r="E486" i="6"/>
  <c r="AI488" i="6"/>
  <c r="AI481" i="6"/>
  <c r="AI482" i="6"/>
  <c r="AI480" i="6"/>
  <c r="AI483" i="6"/>
  <c r="AI479" i="6"/>
  <c r="AI484" i="6"/>
  <c r="G463" i="6"/>
  <c r="G462" i="6"/>
  <c r="G461" i="6"/>
  <c r="G460" i="6"/>
  <c r="G459" i="6"/>
  <c r="G464" i="6"/>
  <c r="AQ462" i="6"/>
  <c r="AQ463" i="6"/>
  <c r="AQ459" i="6"/>
  <c r="AQ460" i="6"/>
  <c r="AQ464" i="6"/>
  <c r="AQ461" i="6"/>
  <c r="M463" i="6"/>
  <c r="M464" i="6"/>
  <c r="M461" i="6"/>
  <c r="M462" i="6"/>
  <c r="M459" i="6"/>
  <c r="M460" i="6"/>
  <c r="AV412" i="6"/>
  <c r="AV414" i="6"/>
  <c r="AV411" i="6"/>
  <c r="AV409" i="6"/>
  <c r="AV410" i="6"/>
  <c r="AV413" i="6"/>
  <c r="AG423" i="6"/>
  <c r="AG424" i="6"/>
  <c r="AG420" i="6"/>
  <c r="AG422" i="6"/>
  <c r="AG419" i="6"/>
  <c r="AG421" i="6"/>
  <c r="BD423" i="6"/>
  <c r="BD420" i="6"/>
  <c r="BD419" i="6"/>
  <c r="BD421" i="6"/>
  <c r="BD424" i="6"/>
  <c r="BD422" i="6"/>
  <c r="AU444" i="6"/>
  <c r="AU439" i="6"/>
  <c r="AU443" i="6"/>
  <c r="AU441" i="6"/>
  <c r="AU442" i="6"/>
  <c r="AU440" i="6"/>
  <c r="BD452" i="6"/>
  <c r="BD450" i="6"/>
  <c r="BD454" i="6"/>
  <c r="BD451" i="6"/>
  <c r="BD453" i="6"/>
  <c r="BD449" i="6"/>
  <c r="BM471" i="6"/>
  <c r="BM474" i="6"/>
  <c r="BM473" i="6"/>
  <c r="BM470" i="6"/>
  <c r="BM472" i="6"/>
  <c r="BM469" i="6"/>
  <c r="U372" i="6"/>
  <c r="R440" i="6"/>
  <c r="R444" i="6"/>
  <c r="R442" i="6"/>
  <c r="R443" i="6"/>
  <c r="R441" i="6"/>
  <c r="R439" i="6"/>
  <c r="AA461" i="6"/>
  <c r="AA462" i="6"/>
  <c r="AA463" i="6"/>
  <c r="AA459" i="6"/>
  <c r="AA460" i="6"/>
  <c r="AA464" i="6"/>
  <c r="H450" i="6"/>
  <c r="H453" i="6"/>
  <c r="H451" i="6"/>
  <c r="H454" i="6"/>
  <c r="H452" i="6"/>
  <c r="H449" i="6"/>
  <c r="BR450" i="6"/>
  <c r="BR453" i="6"/>
  <c r="BR454" i="6"/>
  <c r="BR452" i="6"/>
  <c r="BR451" i="6"/>
  <c r="BR449" i="6"/>
  <c r="BQ464" i="6"/>
  <c r="BQ462" i="6"/>
  <c r="BQ463" i="6"/>
  <c r="BQ461" i="6"/>
  <c r="BQ460" i="6"/>
  <c r="BQ459" i="6"/>
  <c r="AF410" i="6"/>
  <c r="AF413" i="6"/>
  <c r="AF412" i="6"/>
  <c r="AF414" i="6"/>
  <c r="AF411" i="6"/>
  <c r="AF409" i="6"/>
  <c r="Z410" i="6"/>
  <c r="Z413" i="6"/>
  <c r="Z412" i="6"/>
  <c r="Z414" i="6"/>
  <c r="Z411" i="6"/>
  <c r="Z409" i="6"/>
  <c r="Y419" i="6"/>
  <c r="Y421" i="6"/>
  <c r="Y423" i="6"/>
  <c r="Y424" i="6"/>
  <c r="Y420" i="6"/>
  <c r="Y422" i="6"/>
  <c r="AE431" i="6"/>
  <c r="AE433" i="6"/>
  <c r="AE432" i="6"/>
  <c r="AE430" i="6"/>
  <c r="AE429" i="6"/>
  <c r="AE434" i="6"/>
  <c r="AV424" i="6"/>
  <c r="AV422" i="6"/>
  <c r="AV423" i="6"/>
  <c r="AV420" i="6"/>
  <c r="AV421" i="6"/>
  <c r="AV419" i="6"/>
  <c r="AA444" i="6"/>
  <c r="AA443" i="6"/>
  <c r="AA440" i="6"/>
  <c r="AA441" i="6"/>
  <c r="AA442" i="6"/>
  <c r="AA439" i="6"/>
  <c r="AE462" i="6"/>
  <c r="AE460" i="6"/>
  <c r="AE461" i="6"/>
  <c r="AE464" i="6"/>
  <c r="AE463" i="6"/>
  <c r="AE459" i="6"/>
  <c r="BJ440" i="6"/>
  <c r="BJ444" i="6"/>
  <c r="BJ439" i="6"/>
  <c r="BJ442" i="6"/>
  <c r="BJ443" i="6"/>
  <c r="BJ441" i="6"/>
  <c r="K372" i="6"/>
  <c r="BO460" i="6"/>
  <c r="BO459" i="6"/>
  <c r="BO462" i="6"/>
  <c r="BO461" i="6"/>
  <c r="BO463" i="6"/>
  <c r="BO464" i="6"/>
  <c r="Z451" i="6"/>
  <c r="Z449" i="6"/>
  <c r="Z453" i="6"/>
  <c r="Z452" i="6"/>
  <c r="Z454" i="6"/>
  <c r="Z450" i="6"/>
  <c r="Y461" i="6"/>
  <c r="Y462" i="6"/>
  <c r="Y460" i="6"/>
  <c r="Y464" i="6"/>
  <c r="Y463" i="6"/>
  <c r="Y459" i="6"/>
  <c r="Z474" i="6"/>
  <c r="Z472" i="6"/>
  <c r="Z471" i="6"/>
  <c r="Z469" i="6"/>
  <c r="Z470" i="6"/>
  <c r="Z473" i="6"/>
  <c r="AX474" i="6"/>
  <c r="AX472" i="6"/>
  <c r="AX471" i="6"/>
  <c r="AX469" i="6"/>
  <c r="AX470" i="6"/>
  <c r="AX473" i="6"/>
  <c r="AT411" i="6"/>
  <c r="AT409" i="6"/>
  <c r="AT413" i="6"/>
  <c r="AT414" i="6"/>
  <c r="AT412" i="6"/>
  <c r="AT410" i="6"/>
  <c r="AS420" i="6"/>
  <c r="AS422" i="6"/>
  <c r="AS421" i="6"/>
  <c r="AS424" i="6"/>
  <c r="AS423" i="6"/>
  <c r="AS419" i="6"/>
  <c r="BQ411" i="6"/>
  <c r="BQ409" i="6"/>
  <c r="BQ413" i="6"/>
  <c r="BQ414" i="6"/>
  <c r="BQ412" i="6"/>
  <c r="BQ410" i="6"/>
  <c r="BP421" i="6"/>
  <c r="BP419" i="6"/>
  <c r="BP422" i="6"/>
  <c r="BP420" i="6"/>
  <c r="BP423" i="6"/>
  <c r="BP424" i="6"/>
  <c r="BB490" i="6"/>
  <c r="BB492" i="6"/>
  <c r="BB491" i="6"/>
  <c r="BB489" i="6"/>
  <c r="BB493" i="6"/>
  <c r="BB494" i="6"/>
  <c r="BE490" i="6"/>
  <c r="BE491" i="6"/>
  <c r="BE489" i="6"/>
  <c r="BE494" i="6"/>
  <c r="BE493" i="6"/>
  <c r="BE492" i="6"/>
  <c r="P491" i="6"/>
  <c r="P490" i="6"/>
  <c r="P489" i="6"/>
  <c r="P494" i="6"/>
  <c r="P492" i="6"/>
  <c r="P493" i="6"/>
  <c r="AC453" i="6"/>
  <c r="AC451" i="6"/>
  <c r="AC450" i="6"/>
  <c r="AC452" i="6"/>
  <c r="AC449" i="6"/>
  <c r="AC454" i="6"/>
  <c r="BR510" i="6"/>
  <c r="BR511" i="6"/>
  <c r="BR512" i="6"/>
  <c r="BR513" i="6"/>
  <c r="BR514" i="6"/>
  <c r="BR509" i="6"/>
  <c r="BL491" i="6"/>
  <c r="BL489" i="6"/>
  <c r="BL490" i="6"/>
  <c r="BL493" i="6"/>
  <c r="BL494" i="6"/>
  <c r="BL492" i="6"/>
  <c r="BB431" i="6"/>
  <c r="BB429" i="6"/>
  <c r="BB433" i="6"/>
  <c r="BB430" i="6"/>
  <c r="BB434" i="6"/>
  <c r="BB432" i="6"/>
  <c r="AN479" i="6"/>
  <c r="AN484" i="6"/>
  <c r="AN483" i="6"/>
  <c r="AN481" i="6"/>
  <c r="AN482" i="6"/>
  <c r="AN480" i="6"/>
  <c r="L433" i="6"/>
  <c r="L429" i="6"/>
  <c r="L432" i="6"/>
  <c r="L431" i="6"/>
  <c r="L434" i="6"/>
  <c r="L430" i="6"/>
  <c r="S452" i="6"/>
  <c r="S453" i="6"/>
  <c r="S450" i="6"/>
  <c r="S454" i="6"/>
  <c r="S449" i="6"/>
  <c r="S451" i="6"/>
  <c r="X429" i="6"/>
  <c r="X430" i="6"/>
  <c r="X432" i="6"/>
  <c r="X433" i="6"/>
  <c r="X431" i="6"/>
  <c r="X434" i="6"/>
  <c r="AZ522" i="6"/>
  <c r="AZ521" i="6"/>
  <c r="AZ523" i="6"/>
  <c r="AZ524" i="6"/>
  <c r="AZ520" i="6"/>
  <c r="AZ519" i="6"/>
  <c r="BH481" i="6"/>
  <c r="BH483" i="6"/>
  <c r="BH480" i="6"/>
  <c r="BH482" i="6"/>
  <c r="BH484" i="6"/>
  <c r="BH479" i="6"/>
  <c r="F458" i="6"/>
  <c r="AC372" i="6"/>
  <c r="I502" i="6"/>
  <c r="I503" i="6"/>
  <c r="I504" i="6"/>
  <c r="I499" i="6"/>
  <c r="I500" i="6"/>
  <c r="I501" i="6"/>
  <c r="AT534" i="6"/>
  <c r="AT533" i="6"/>
  <c r="AT530" i="6"/>
  <c r="AT531" i="6"/>
  <c r="AT532" i="6"/>
  <c r="AT529" i="6"/>
  <c r="AE532" i="6"/>
  <c r="AE533" i="6"/>
  <c r="AE529" i="6"/>
  <c r="AE531" i="6"/>
  <c r="AE530" i="6"/>
  <c r="AE534" i="6"/>
  <c r="AE502" i="6"/>
  <c r="AE503" i="6"/>
  <c r="AE499" i="6"/>
  <c r="AE501" i="6"/>
  <c r="AE500" i="6"/>
  <c r="AE504" i="6"/>
  <c r="BR439" i="6"/>
  <c r="BR441" i="6"/>
  <c r="BR442" i="6"/>
  <c r="BR443" i="6"/>
  <c r="BR444" i="6"/>
  <c r="BR440" i="6"/>
  <c r="AY462" i="6"/>
  <c r="AY460" i="6"/>
  <c r="AY459" i="6"/>
  <c r="AY464" i="6"/>
  <c r="AY461" i="6"/>
  <c r="AY463" i="6"/>
  <c r="BH422" i="6"/>
  <c r="BH421" i="6"/>
  <c r="BH419" i="6"/>
  <c r="BH424" i="6"/>
  <c r="BH420" i="6"/>
  <c r="BH423" i="6"/>
  <c r="AL433" i="6"/>
  <c r="AL431" i="6"/>
  <c r="AL429" i="6"/>
  <c r="AL434" i="6"/>
  <c r="AL432" i="6"/>
  <c r="AL430" i="6"/>
  <c r="AR532" i="6"/>
  <c r="AR534" i="6"/>
  <c r="AR533" i="6"/>
  <c r="AR530" i="6"/>
  <c r="AR531" i="6"/>
  <c r="AR529" i="6"/>
  <c r="AU372" i="6"/>
  <c r="Z512" i="6"/>
  <c r="Z513" i="6"/>
  <c r="Z509" i="6"/>
  <c r="Z511" i="6"/>
  <c r="Z510" i="6"/>
  <c r="Z514" i="6"/>
  <c r="AB500" i="6"/>
  <c r="AB502" i="6"/>
  <c r="AB499" i="6"/>
  <c r="AB503" i="6"/>
  <c r="AB501" i="6"/>
  <c r="AB504" i="6"/>
  <c r="AD489" i="6"/>
  <c r="AD491" i="6"/>
  <c r="AD490" i="6"/>
  <c r="AD494" i="6"/>
  <c r="AD492" i="6"/>
  <c r="AD493" i="6"/>
  <c r="AF480" i="6"/>
  <c r="AF482" i="6"/>
  <c r="AF484" i="6"/>
  <c r="AF479" i="6"/>
  <c r="AF483" i="6"/>
  <c r="AF481" i="6"/>
  <c r="Y520" i="6"/>
  <c r="Y521" i="6"/>
  <c r="Y524" i="6"/>
  <c r="Y523" i="6"/>
  <c r="Y522" i="6"/>
  <c r="Y519" i="6"/>
  <c r="Y480" i="6"/>
  <c r="Y481" i="6"/>
  <c r="Y483" i="6"/>
  <c r="Y482" i="6"/>
  <c r="Y484" i="6"/>
  <c r="Y479" i="6"/>
  <c r="Y443" i="6"/>
  <c r="Y442" i="6"/>
  <c r="Y444" i="6"/>
  <c r="Y440" i="6"/>
  <c r="Y441" i="6"/>
  <c r="Y439" i="6"/>
  <c r="AA452" i="6"/>
  <c r="AA453" i="6"/>
  <c r="AA449" i="6"/>
  <c r="AA451" i="6"/>
  <c r="AA450" i="6"/>
  <c r="AA454" i="6"/>
  <c r="AU411" i="6"/>
  <c r="AU409" i="6"/>
  <c r="AU410" i="6"/>
  <c r="AU413" i="6"/>
  <c r="AU414" i="6"/>
  <c r="AU412" i="6"/>
  <c r="BH430" i="6"/>
  <c r="BH434" i="6"/>
  <c r="BH432" i="6"/>
  <c r="BH431" i="6"/>
  <c r="BH429" i="6"/>
  <c r="BH433" i="6"/>
  <c r="BP372" i="6"/>
  <c r="V534" i="6"/>
  <c r="V532" i="6"/>
  <c r="V529" i="6"/>
  <c r="V530" i="6"/>
  <c r="V533" i="6"/>
  <c r="V531" i="6"/>
  <c r="BN519" i="6"/>
  <c r="BN522" i="6"/>
  <c r="BN524" i="6"/>
  <c r="BN520" i="6"/>
  <c r="BN523" i="6"/>
  <c r="BN521" i="6"/>
  <c r="BP509" i="6"/>
  <c r="BP512" i="6"/>
  <c r="BP511" i="6"/>
  <c r="BP513" i="6"/>
  <c r="BP510" i="6"/>
  <c r="BP514" i="6"/>
  <c r="BR504" i="6"/>
  <c r="BR499" i="6"/>
  <c r="BR502" i="6"/>
  <c r="BR501" i="6"/>
  <c r="BR500" i="6"/>
  <c r="BR503" i="6"/>
  <c r="AJ372" i="6"/>
  <c r="F498" i="6"/>
  <c r="H492" i="6"/>
  <c r="H494" i="6"/>
  <c r="H491" i="6"/>
  <c r="H489" i="6"/>
  <c r="H493" i="6"/>
  <c r="H490" i="6"/>
  <c r="J484" i="6"/>
  <c r="J483" i="6"/>
  <c r="J479" i="6"/>
  <c r="J481" i="6"/>
  <c r="J482" i="6"/>
  <c r="J480" i="6"/>
  <c r="AG511" i="6"/>
  <c r="AG509" i="6"/>
  <c r="AG512" i="6"/>
  <c r="AG514" i="6"/>
  <c r="AG510" i="6"/>
  <c r="AG513" i="6"/>
  <c r="AM420" i="6"/>
  <c r="AM422" i="6"/>
  <c r="AM419" i="6"/>
  <c r="AM421" i="6"/>
  <c r="AM424" i="6"/>
  <c r="AM423" i="6"/>
  <c r="AC511" i="6"/>
  <c r="AC509" i="6"/>
  <c r="AC512" i="6"/>
  <c r="AC514" i="6"/>
  <c r="AC510" i="6"/>
  <c r="AC513" i="6"/>
  <c r="BI443" i="6"/>
  <c r="BI440" i="6"/>
  <c r="BI444" i="6"/>
  <c r="BI442" i="6"/>
  <c r="BI441" i="6"/>
  <c r="BI439" i="6"/>
  <c r="AB471" i="6"/>
  <c r="AB474" i="6"/>
  <c r="AB472" i="6"/>
  <c r="AB470" i="6"/>
  <c r="AB473" i="6"/>
  <c r="AB469" i="6"/>
  <c r="AF442" i="6"/>
  <c r="AF440" i="6"/>
  <c r="AF443" i="6"/>
  <c r="AF441" i="6"/>
  <c r="AF439" i="6"/>
  <c r="AF444" i="6"/>
  <c r="M412" i="6"/>
  <c r="M410" i="6"/>
  <c r="M409" i="6"/>
  <c r="M411" i="6"/>
  <c r="M413" i="6"/>
  <c r="M414" i="6"/>
  <c r="Q432" i="6"/>
  <c r="Q430" i="6"/>
  <c r="Q431" i="6"/>
  <c r="Q433" i="6"/>
  <c r="Q434" i="6"/>
  <c r="Q429" i="6"/>
  <c r="BK524" i="6"/>
  <c r="BK521" i="6"/>
  <c r="BK520" i="6"/>
  <c r="BK522" i="6"/>
  <c r="BK519" i="6"/>
  <c r="BK523" i="6"/>
  <c r="BK482" i="6"/>
  <c r="BK483" i="6"/>
  <c r="BK480" i="6"/>
  <c r="BK484" i="6"/>
  <c r="BK479" i="6"/>
  <c r="BK481" i="6"/>
  <c r="R471" i="6"/>
  <c r="R474" i="6"/>
  <c r="R472" i="6"/>
  <c r="R473" i="6"/>
  <c r="R469" i="6"/>
  <c r="R470" i="6"/>
  <c r="BN459" i="6"/>
  <c r="BN463" i="6"/>
  <c r="BN462" i="6"/>
  <c r="BN460" i="6"/>
  <c r="BN461" i="6"/>
  <c r="BN464" i="6"/>
  <c r="AR443" i="6"/>
  <c r="AR440" i="6"/>
  <c r="AR439" i="6"/>
  <c r="AR441" i="6"/>
  <c r="AR444" i="6"/>
  <c r="AR442" i="6"/>
  <c r="AK473" i="6"/>
  <c r="AK474" i="6"/>
  <c r="AK471" i="6"/>
  <c r="AK472" i="6"/>
  <c r="AK469" i="6"/>
  <c r="AK470" i="6"/>
  <c r="BO473" i="6"/>
  <c r="BO471" i="6"/>
  <c r="BO470" i="6"/>
  <c r="BO469" i="6"/>
  <c r="BO474" i="6"/>
  <c r="BO472" i="6"/>
  <c r="AO430" i="6"/>
  <c r="AO431" i="6"/>
  <c r="AO432" i="6"/>
  <c r="AO433" i="6"/>
  <c r="AO434" i="6"/>
  <c r="AO429" i="6"/>
  <c r="R433" i="6"/>
  <c r="R432" i="6"/>
  <c r="R429" i="6"/>
  <c r="R430" i="6"/>
  <c r="R431" i="6"/>
  <c r="R434" i="6"/>
  <c r="AH534" i="6"/>
  <c r="AH529" i="6"/>
  <c r="AH532" i="6"/>
  <c r="AH533" i="6"/>
  <c r="AH530" i="6"/>
  <c r="AH531" i="6"/>
  <c r="AP372" i="6"/>
  <c r="N519" i="6"/>
  <c r="N521" i="6"/>
  <c r="N520" i="6"/>
  <c r="N524" i="6"/>
  <c r="N523" i="6"/>
  <c r="N522" i="6"/>
  <c r="P509" i="6"/>
  <c r="P512" i="6"/>
  <c r="P511" i="6"/>
  <c r="P514" i="6"/>
  <c r="P513" i="6"/>
  <c r="P510" i="6"/>
  <c r="R499" i="6"/>
  <c r="R500" i="6"/>
  <c r="R503" i="6"/>
  <c r="R504" i="6"/>
  <c r="R502" i="6"/>
  <c r="R501" i="6"/>
  <c r="T490" i="6"/>
  <c r="T492" i="6"/>
  <c r="T494" i="6"/>
  <c r="T493" i="6"/>
  <c r="T491" i="6"/>
  <c r="T489" i="6"/>
  <c r="V481" i="6"/>
  <c r="V483" i="6"/>
  <c r="V480" i="6"/>
  <c r="V482" i="6"/>
  <c r="V484" i="6"/>
  <c r="V479" i="6"/>
  <c r="AW524" i="6"/>
  <c r="AW520" i="6"/>
  <c r="AW522" i="6"/>
  <c r="AW519" i="6"/>
  <c r="AW521" i="6"/>
  <c r="AW523" i="6"/>
  <c r="W412" i="6"/>
  <c r="W414" i="6"/>
  <c r="W411" i="6"/>
  <c r="W409" i="6"/>
  <c r="W410" i="6"/>
  <c r="W413" i="6"/>
  <c r="BQ511" i="6"/>
  <c r="BQ509" i="6"/>
  <c r="BQ512" i="6"/>
  <c r="BQ513" i="6"/>
  <c r="BQ514" i="6"/>
  <c r="BQ510" i="6"/>
  <c r="L452" i="6"/>
  <c r="L453" i="6"/>
  <c r="L451" i="6"/>
  <c r="L450" i="6"/>
  <c r="L454" i="6"/>
  <c r="L449" i="6"/>
  <c r="J421" i="6"/>
  <c r="J419" i="6"/>
  <c r="J422" i="6"/>
  <c r="J423" i="6"/>
  <c r="J424" i="6"/>
  <c r="J420" i="6"/>
  <c r="AQ494" i="6"/>
  <c r="AQ490" i="6"/>
  <c r="AQ492" i="6"/>
  <c r="AQ491" i="6"/>
  <c r="AQ489" i="6"/>
  <c r="AQ493" i="6"/>
  <c r="BJ454" i="6"/>
  <c r="BJ452" i="6"/>
  <c r="BJ451" i="6"/>
  <c r="BJ449" i="6"/>
  <c r="BJ450" i="6"/>
  <c r="BJ453" i="6"/>
  <c r="AN434" i="6"/>
  <c r="AN432" i="6"/>
  <c r="AN433" i="6"/>
  <c r="AN429" i="6"/>
  <c r="AN431" i="6"/>
  <c r="AN430" i="6"/>
  <c r="BM372" i="6"/>
  <c r="P534" i="6"/>
  <c r="P533" i="6"/>
  <c r="P530" i="6"/>
  <c r="P529" i="6"/>
  <c r="P531" i="6"/>
  <c r="P532" i="6"/>
  <c r="BH520" i="6"/>
  <c r="BH519" i="6"/>
  <c r="BH522" i="6"/>
  <c r="BH523" i="6"/>
  <c r="BH524" i="6"/>
  <c r="BH521" i="6"/>
  <c r="BJ514" i="6"/>
  <c r="BJ509" i="6"/>
  <c r="BJ510" i="6"/>
  <c r="BJ511" i="6"/>
  <c r="BJ512" i="6"/>
  <c r="BJ513" i="6"/>
  <c r="BL504" i="6"/>
  <c r="BL499" i="6"/>
  <c r="BL501" i="6"/>
  <c r="BL503" i="6"/>
  <c r="BL500" i="6"/>
  <c r="BL502" i="6"/>
  <c r="BN493" i="6"/>
  <c r="BN490" i="6"/>
  <c r="BN492" i="6"/>
  <c r="BN494" i="6"/>
  <c r="BN489" i="6"/>
  <c r="BN491" i="6"/>
  <c r="BP484" i="6"/>
  <c r="BP479" i="6"/>
  <c r="BP481" i="6"/>
  <c r="BP483" i="6"/>
  <c r="BP480" i="6"/>
  <c r="BP482" i="6"/>
  <c r="AG372" i="6"/>
  <c r="AO529" i="6"/>
  <c r="AO530" i="6"/>
  <c r="AO531" i="6"/>
  <c r="AO532" i="6"/>
  <c r="AO533" i="6"/>
  <c r="AO534" i="6"/>
  <c r="AO499" i="6"/>
  <c r="AO504" i="6"/>
  <c r="AO503" i="6"/>
  <c r="AO502" i="6"/>
  <c r="AO501" i="6"/>
  <c r="AO500" i="6"/>
  <c r="K469" i="6"/>
  <c r="K470" i="6"/>
  <c r="K473" i="6"/>
  <c r="K474" i="6"/>
  <c r="K471" i="6"/>
  <c r="K472" i="6"/>
  <c r="S429" i="6"/>
  <c r="S431" i="6"/>
  <c r="S430" i="6"/>
  <c r="S433" i="6"/>
  <c r="S434" i="6"/>
  <c r="S432" i="6"/>
  <c r="BN431" i="6"/>
  <c r="BN434" i="6"/>
  <c r="BN433" i="6"/>
  <c r="BN432" i="6"/>
  <c r="BN429" i="6"/>
  <c r="BN430" i="6"/>
  <c r="P519" i="6"/>
  <c r="P521" i="6"/>
  <c r="P523" i="6"/>
  <c r="P522" i="6"/>
  <c r="P524" i="6"/>
  <c r="P520" i="6"/>
  <c r="AJ533" i="6"/>
  <c r="AJ530" i="6"/>
  <c r="AJ534" i="6"/>
  <c r="AJ529" i="6"/>
  <c r="AJ531" i="6"/>
  <c r="AJ532" i="6"/>
  <c r="R509" i="6"/>
  <c r="R511" i="6"/>
  <c r="R510" i="6"/>
  <c r="R513" i="6"/>
  <c r="R512" i="6"/>
  <c r="R514" i="6"/>
  <c r="BE514" i="6"/>
  <c r="BE509" i="6"/>
  <c r="BE511" i="6"/>
  <c r="BE513" i="6"/>
  <c r="BE512" i="6"/>
  <c r="BE510" i="6"/>
  <c r="S411" i="6"/>
  <c r="S409" i="6"/>
  <c r="S410" i="6"/>
  <c r="S412" i="6"/>
  <c r="S413" i="6"/>
  <c r="S414" i="6"/>
  <c r="BD479" i="6"/>
  <c r="BD483" i="6"/>
  <c r="BD481" i="6"/>
  <c r="BD482" i="6"/>
  <c r="BD480" i="6"/>
  <c r="BD484" i="6"/>
  <c r="J523" i="6"/>
  <c r="J520" i="6"/>
  <c r="J522" i="6"/>
  <c r="J521" i="6"/>
  <c r="J519" i="6"/>
  <c r="J524" i="6"/>
  <c r="R484" i="6"/>
  <c r="R483" i="6"/>
  <c r="R481" i="6"/>
  <c r="R482" i="6"/>
  <c r="R480" i="6"/>
  <c r="R479" i="6"/>
  <c r="AG520" i="6"/>
  <c r="AG521" i="6"/>
  <c r="AG522" i="6"/>
  <c r="AG519" i="6"/>
  <c r="AG524" i="6"/>
  <c r="AG523" i="6"/>
  <c r="BD530" i="6"/>
  <c r="BD529" i="6"/>
  <c r="BD534" i="6"/>
  <c r="BD533" i="6"/>
  <c r="BD531" i="6"/>
  <c r="BD532" i="6"/>
  <c r="BA372" i="6"/>
  <c r="AL510" i="6"/>
  <c r="AL511" i="6"/>
  <c r="AL512" i="6"/>
  <c r="AL513" i="6"/>
  <c r="AL514" i="6"/>
  <c r="AL509" i="6"/>
  <c r="AP492" i="6"/>
  <c r="AP494" i="6"/>
  <c r="AP489" i="6"/>
  <c r="AP491" i="6"/>
  <c r="AP493" i="6"/>
  <c r="AP490" i="6"/>
  <c r="BG451" i="6"/>
  <c r="BG452" i="6"/>
  <c r="BG449" i="6"/>
  <c r="BG450" i="6"/>
  <c r="BG454" i="6"/>
  <c r="BG453" i="6"/>
  <c r="BF520" i="6"/>
  <c r="BF519" i="6"/>
  <c r="BF521" i="6"/>
  <c r="BF523" i="6"/>
  <c r="BF522" i="6"/>
  <c r="BF524" i="6"/>
  <c r="BN484" i="6"/>
  <c r="BN483" i="6"/>
  <c r="BN481" i="6"/>
  <c r="BN482" i="6"/>
  <c r="BN480" i="6"/>
  <c r="BN479" i="6"/>
  <c r="BI504" i="6"/>
  <c r="BI503" i="6"/>
  <c r="BI501" i="6"/>
  <c r="BI502" i="6"/>
  <c r="BI500" i="6"/>
  <c r="BI499" i="6"/>
  <c r="BO372" i="6"/>
  <c r="BN509" i="6"/>
  <c r="BN512" i="6"/>
  <c r="BN513" i="6"/>
  <c r="BN514" i="6"/>
  <c r="BN511" i="6"/>
  <c r="BN510" i="6"/>
  <c r="BR490" i="6"/>
  <c r="BR489" i="6"/>
  <c r="BR493" i="6"/>
  <c r="BR494" i="6"/>
  <c r="BR492" i="6"/>
  <c r="BR491" i="6"/>
  <c r="H479" i="6"/>
  <c r="H484" i="6"/>
  <c r="H481" i="6"/>
  <c r="H482" i="6"/>
  <c r="H480" i="6"/>
  <c r="H483" i="6"/>
  <c r="AV491" i="6"/>
  <c r="AV492" i="6"/>
  <c r="AV489" i="6"/>
  <c r="AV490" i="6"/>
  <c r="AV493" i="6"/>
  <c r="AV494" i="6"/>
  <c r="AG443" i="6"/>
  <c r="AG442" i="6"/>
  <c r="AG441" i="6"/>
  <c r="AG439" i="6"/>
  <c r="AG444" i="6"/>
  <c r="AG440" i="6"/>
  <c r="AD434" i="6"/>
  <c r="AD431" i="6"/>
  <c r="AD433" i="6"/>
  <c r="AD432" i="6"/>
  <c r="AD430" i="6"/>
  <c r="AD429" i="6"/>
  <c r="T522" i="6"/>
  <c r="T520" i="6"/>
  <c r="T521" i="6"/>
  <c r="T523" i="6"/>
  <c r="T524" i="6"/>
  <c r="T519" i="6"/>
  <c r="X501" i="6"/>
  <c r="X503" i="6"/>
  <c r="X500" i="6"/>
  <c r="X502" i="6"/>
  <c r="X504" i="6"/>
  <c r="X499" i="6"/>
  <c r="AB481" i="6"/>
  <c r="AB483" i="6"/>
  <c r="AB480" i="6"/>
  <c r="AB482" i="6"/>
  <c r="AB484" i="6"/>
  <c r="AB479" i="6"/>
  <c r="I482" i="6"/>
  <c r="I483" i="6"/>
  <c r="I484" i="6"/>
  <c r="I479" i="6"/>
  <c r="I480" i="6"/>
  <c r="I481" i="6"/>
  <c r="AP432" i="6"/>
  <c r="AP431" i="6"/>
  <c r="AP434" i="6"/>
  <c r="AP433" i="6"/>
  <c r="AP430" i="6"/>
  <c r="AP429" i="6"/>
  <c r="AV372" i="6"/>
  <c r="AD502" i="6"/>
  <c r="AD501" i="6"/>
  <c r="AD500" i="6"/>
  <c r="AD499" i="6"/>
  <c r="AD504" i="6"/>
  <c r="AD503" i="6"/>
  <c r="S471" i="6"/>
  <c r="S472" i="6"/>
  <c r="S469" i="6"/>
  <c r="S470" i="6"/>
  <c r="S474" i="6"/>
  <c r="S473" i="6"/>
  <c r="K423" i="6"/>
  <c r="K424" i="6"/>
  <c r="K422" i="6"/>
  <c r="K420" i="6"/>
  <c r="K419" i="6"/>
  <c r="K421" i="6"/>
  <c r="AE491" i="6"/>
  <c r="AE493" i="6"/>
  <c r="AE489" i="6"/>
  <c r="AE492" i="6"/>
  <c r="AE490" i="6"/>
  <c r="AE494" i="6"/>
  <c r="Q460" i="6"/>
  <c r="Q461" i="6"/>
  <c r="Q462" i="6"/>
  <c r="Q459" i="6"/>
  <c r="Q464" i="6"/>
  <c r="Q463" i="6"/>
  <c r="BL432" i="6"/>
  <c r="BL430" i="6"/>
  <c r="BL434" i="6"/>
  <c r="BL433" i="6"/>
  <c r="BL431" i="6"/>
  <c r="BL429" i="6"/>
  <c r="F428" i="6"/>
  <c r="I372" i="6"/>
  <c r="AB534" i="6"/>
  <c r="AB533" i="6"/>
  <c r="AB530" i="6"/>
  <c r="AB531" i="6"/>
  <c r="AB532" i="6"/>
  <c r="AB529" i="6"/>
  <c r="AM372" i="6"/>
  <c r="H521" i="6"/>
  <c r="H523" i="6"/>
  <c r="H519" i="6"/>
  <c r="H522" i="6"/>
  <c r="H524" i="6"/>
  <c r="H520" i="6"/>
  <c r="J512" i="6"/>
  <c r="J513" i="6"/>
  <c r="J509" i="6"/>
  <c r="J511" i="6"/>
  <c r="J510" i="6"/>
  <c r="J514" i="6"/>
  <c r="L500" i="6"/>
  <c r="L502" i="6"/>
  <c r="L504" i="6"/>
  <c r="L499" i="6"/>
  <c r="L503" i="6"/>
  <c r="L501" i="6"/>
  <c r="N489" i="6"/>
  <c r="N491" i="6"/>
  <c r="N493" i="6"/>
  <c r="N490" i="6"/>
  <c r="N494" i="6"/>
  <c r="N492" i="6"/>
  <c r="P480" i="6"/>
  <c r="P482" i="6"/>
  <c r="P481" i="6"/>
  <c r="P484" i="6"/>
  <c r="P479" i="6"/>
  <c r="P483" i="6"/>
  <c r="Y511" i="6"/>
  <c r="Y509" i="6"/>
  <c r="Y510" i="6"/>
  <c r="Y513" i="6"/>
  <c r="Y512" i="6"/>
  <c r="Y514" i="6"/>
  <c r="J372" i="6"/>
  <c r="AB464" i="6"/>
  <c r="AB462" i="6"/>
  <c r="AB460" i="6"/>
  <c r="AB463" i="6"/>
  <c r="AB461" i="6"/>
  <c r="AB459" i="6"/>
  <c r="AU421" i="6"/>
  <c r="AU419" i="6"/>
  <c r="AU423" i="6"/>
  <c r="AU424" i="6"/>
  <c r="AU422" i="6"/>
  <c r="AU420" i="6"/>
  <c r="AB430" i="6"/>
  <c r="AB434" i="6"/>
  <c r="AB433" i="6"/>
  <c r="AB432" i="6"/>
  <c r="AB431" i="6"/>
  <c r="AB429" i="6"/>
  <c r="BR532" i="6"/>
  <c r="BR531" i="6"/>
  <c r="BR529" i="6"/>
  <c r="BR530" i="6"/>
  <c r="BR533" i="6"/>
  <c r="BR534" i="6"/>
  <c r="BH372" i="6"/>
  <c r="F528" i="6"/>
  <c r="AX519" i="6"/>
  <c r="AX523" i="6"/>
  <c r="AX520" i="6"/>
  <c r="AX521" i="6"/>
  <c r="AX524" i="6"/>
  <c r="AX522" i="6"/>
  <c r="AZ509" i="6"/>
  <c r="AZ512" i="6"/>
  <c r="AZ514" i="6"/>
  <c r="AZ511" i="6"/>
  <c r="AZ513" i="6"/>
  <c r="AZ510" i="6"/>
  <c r="BB499" i="6"/>
  <c r="BB500" i="6"/>
  <c r="BB504" i="6"/>
  <c r="BB503" i="6"/>
  <c r="BB502" i="6"/>
  <c r="BB501" i="6"/>
  <c r="BD490" i="6"/>
  <c r="BD489" i="6"/>
  <c r="BD492" i="6"/>
  <c r="BD493" i="6"/>
  <c r="BD494" i="6"/>
  <c r="BD491" i="6"/>
  <c r="BF481" i="6"/>
  <c r="BF483" i="6"/>
  <c r="BF479" i="6"/>
  <c r="BF482" i="6"/>
  <c r="BF480" i="6"/>
  <c r="BF484" i="6"/>
  <c r="AG491" i="6"/>
  <c r="AG493" i="6"/>
  <c r="AG489" i="6"/>
  <c r="AG490" i="6"/>
  <c r="AG494" i="6"/>
  <c r="AG492" i="6"/>
  <c r="R461" i="6"/>
  <c r="R464" i="6"/>
  <c r="R463" i="6"/>
  <c r="R459" i="6"/>
  <c r="R462" i="6"/>
  <c r="R460" i="6"/>
  <c r="BP441" i="6"/>
  <c r="BP443" i="6"/>
  <c r="BP440" i="6"/>
  <c r="BP439" i="6"/>
  <c r="BP444" i="6"/>
  <c r="BP442" i="6"/>
  <c r="BB464" i="6"/>
  <c r="BB462" i="6"/>
  <c r="BB460" i="6"/>
  <c r="BB463" i="6"/>
  <c r="BB461" i="6"/>
  <c r="BB459" i="6"/>
  <c r="BJ421" i="6"/>
  <c r="BJ419" i="6"/>
  <c r="BJ420" i="6"/>
  <c r="BJ423" i="6"/>
  <c r="BJ424" i="6"/>
  <c r="BJ422" i="6"/>
  <c r="AC530" i="6"/>
  <c r="AC531" i="6"/>
  <c r="AC532" i="6"/>
  <c r="AC534" i="6"/>
  <c r="AC529" i="6"/>
  <c r="AC533" i="6"/>
  <c r="AC502" i="6"/>
  <c r="AC503" i="6"/>
  <c r="AC499" i="6"/>
  <c r="AC501" i="6"/>
  <c r="AC504" i="6"/>
  <c r="AC500" i="6"/>
  <c r="BD460" i="6"/>
  <c r="BD459" i="6"/>
  <c r="BD463" i="6"/>
  <c r="BD461" i="6"/>
  <c r="BD462" i="6"/>
  <c r="BD464" i="6"/>
  <c r="BK512" i="6"/>
  <c r="BK513" i="6"/>
  <c r="BK511" i="6"/>
  <c r="BK514" i="6"/>
  <c r="BK510" i="6"/>
  <c r="BK509" i="6"/>
  <c r="AL413" i="6"/>
  <c r="AL411" i="6"/>
  <c r="AL409" i="6"/>
  <c r="AL410" i="6"/>
  <c r="AL414" i="6"/>
  <c r="AL412" i="6"/>
  <c r="I439" i="6"/>
  <c r="I441" i="6"/>
  <c r="I444" i="6"/>
  <c r="I442" i="6"/>
  <c r="I443" i="6"/>
  <c r="I440" i="6"/>
  <c r="AQ454" i="6"/>
  <c r="AQ450" i="6"/>
  <c r="AQ452" i="6"/>
  <c r="AQ453" i="6"/>
  <c r="AQ449" i="6"/>
  <c r="AQ451" i="6"/>
  <c r="BK412" i="6"/>
  <c r="BK414" i="6"/>
  <c r="BK411" i="6"/>
  <c r="BK409" i="6"/>
  <c r="BK410" i="6"/>
  <c r="BK413" i="6"/>
  <c r="AZ432" i="6"/>
  <c r="AZ433" i="6"/>
  <c r="AZ434" i="6"/>
  <c r="AZ431" i="6"/>
  <c r="AZ430" i="6"/>
  <c r="AZ429" i="6"/>
  <c r="BN372" i="6"/>
  <c r="R534" i="6"/>
  <c r="R529" i="6"/>
  <c r="R532" i="6"/>
  <c r="R533" i="6"/>
  <c r="R530" i="6"/>
  <c r="R531" i="6"/>
  <c r="BJ519" i="6"/>
  <c r="BJ524" i="6"/>
  <c r="BJ523" i="6"/>
  <c r="BJ521" i="6"/>
  <c r="BJ520" i="6"/>
  <c r="BJ522" i="6"/>
  <c r="BL509" i="6"/>
  <c r="BL512" i="6"/>
  <c r="BL511" i="6"/>
  <c r="BL514" i="6"/>
  <c r="BL513" i="6"/>
  <c r="BL510" i="6"/>
  <c r="BN499" i="6"/>
  <c r="BN500" i="6"/>
  <c r="BN503" i="6"/>
  <c r="BN504" i="6"/>
  <c r="BN502" i="6"/>
  <c r="BN501" i="6"/>
  <c r="BP490" i="6"/>
  <c r="BP489" i="6"/>
  <c r="BP494" i="6"/>
  <c r="BP493" i="6"/>
  <c r="BP491" i="6"/>
  <c r="BP492" i="6"/>
  <c r="BR481" i="6"/>
  <c r="BR483" i="6"/>
  <c r="BR480" i="6"/>
  <c r="BR482" i="6"/>
  <c r="BR484" i="6"/>
  <c r="BR479" i="6"/>
  <c r="F478" i="6"/>
  <c r="AH372" i="6"/>
  <c r="AW532" i="6"/>
  <c r="AW533" i="6"/>
  <c r="AW534" i="6"/>
  <c r="AW529" i="6"/>
  <c r="AW530" i="6"/>
  <c r="AW531" i="6"/>
  <c r="AW502" i="6"/>
  <c r="AW501" i="6"/>
  <c r="AW500" i="6"/>
  <c r="AW499" i="6"/>
  <c r="AW504" i="6"/>
  <c r="AW503" i="6"/>
  <c r="AI430" i="6"/>
  <c r="AI433" i="6"/>
  <c r="AI434" i="6"/>
  <c r="AI432" i="6"/>
  <c r="AI429" i="6"/>
  <c r="AI431" i="6"/>
  <c r="BQ531" i="6"/>
  <c r="BQ532" i="6"/>
  <c r="BQ533" i="6"/>
  <c r="BQ534" i="6"/>
  <c r="BQ530" i="6"/>
  <c r="BQ529" i="6"/>
  <c r="BQ504" i="6"/>
  <c r="BQ503" i="6"/>
  <c r="BQ500" i="6"/>
  <c r="BQ502" i="6"/>
  <c r="BQ499" i="6"/>
  <c r="BQ501" i="6"/>
  <c r="U442" i="6"/>
  <c r="U441" i="6"/>
  <c r="U443" i="6"/>
  <c r="U439" i="6"/>
  <c r="U444" i="6"/>
  <c r="U440" i="6"/>
  <c r="AE452" i="6"/>
  <c r="AE453" i="6"/>
  <c r="AE451" i="6"/>
  <c r="AE450" i="6"/>
  <c r="AE454" i="6"/>
  <c r="AE449" i="6"/>
  <c r="AQ522" i="6"/>
  <c r="AQ520" i="6"/>
  <c r="AQ521" i="6"/>
  <c r="AQ523" i="6"/>
  <c r="AQ519" i="6"/>
  <c r="AQ524" i="6"/>
  <c r="AQ480" i="6"/>
  <c r="AQ481" i="6"/>
  <c r="AQ482" i="6"/>
  <c r="AQ484" i="6"/>
  <c r="AQ483" i="6"/>
  <c r="AQ479" i="6"/>
  <c r="L411" i="6"/>
  <c r="L409" i="6"/>
  <c r="L413" i="6"/>
  <c r="L410" i="6"/>
  <c r="L412" i="6"/>
  <c r="L414" i="6"/>
  <c r="H432" i="6"/>
  <c r="H433" i="6"/>
  <c r="H429" i="6"/>
  <c r="H434" i="6"/>
  <c r="H431" i="6"/>
  <c r="H430" i="6"/>
  <c r="BL534" i="6"/>
  <c r="BL533" i="6"/>
  <c r="BL532" i="6"/>
  <c r="BL530" i="6"/>
  <c r="BL531" i="6"/>
  <c r="BL529" i="6"/>
  <c r="BE372" i="6"/>
  <c r="AR520" i="6"/>
  <c r="AR519" i="6"/>
  <c r="AR522" i="6"/>
  <c r="AR521" i="6"/>
  <c r="AR523" i="6"/>
  <c r="AR524" i="6"/>
  <c r="AT514" i="6"/>
  <c r="AT509" i="6"/>
  <c r="AT510" i="6"/>
  <c r="AT511" i="6"/>
  <c r="AT512" i="6"/>
  <c r="AT513" i="6"/>
  <c r="AV504" i="6"/>
  <c r="AV499" i="6"/>
  <c r="AV501" i="6"/>
  <c r="AV503" i="6"/>
  <c r="AV500" i="6"/>
  <c r="AV502" i="6"/>
  <c r="AX493" i="6"/>
  <c r="AX490" i="6"/>
  <c r="AX492" i="6"/>
  <c r="AX494" i="6"/>
  <c r="AX489" i="6"/>
  <c r="AX491" i="6"/>
  <c r="AZ484" i="6"/>
  <c r="AZ479" i="6"/>
  <c r="AZ481" i="6"/>
  <c r="AZ483" i="6"/>
  <c r="AZ480" i="6"/>
  <c r="AZ482" i="6"/>
  <c r="AO489" i="6"/>
  <c r="AO491" i="6"/>
  <c r="AO493" i="6"/>
  <c r="AO494" i="6"/>
  <c r="AO492" i="6"/>
  <c r="AO490" i="6"/>
  <c r="BQ454" i="6"/>
  <c r="BQ453" i="6"/>
  <c r="BQ451" i="6"/>
  <c r="BQ452" i="6"/>
  <c r="BQ450" i="6"/>
  <c r="BQ449" i="6"/>
  <c r="AL463" i="6"/>
  <c r="AL461" i="6"/>
  <c r="AL460" i="6"/>
  <c r="AL459" i="6"/>
  <c r="AL464" i="6"/>
  <c r="AL462" i="6"/>
  <c r="AS410" i="6"/>
  <c r="AS413" i="6"/>
  <c r="AS412" i="6"/>
  <c r="AS414" i="6"/>
  <c r="AS411" i="6"/>
  <c r="AS409" i="6"/>
  <c r="BB424" i="6"/>
  <c r="BB422" i="6"/>
  <c r="BB423" i="6"/>
  <c r="BB420" i="6"/>
  <c r="BB421" i="6"/>
  <c r="BB419" i="6"/>
  <c r="AH431" i="6"/>
  <c r="AH434" i="6"/>
  <c r="AH433" i="6"/>
  <c r="AH432" i="6"/>
  <c r="AH429" i="6"/>
  <c r="AH430" i="6"/>
  <c r="AP533" i="6"/>
  <c r="AP530" i="6"/>
  <c r="AP531" i="6"/>
  <c r="AP534" i="6"/>
  <c r="AP529" i="6"/>
  <c r="AP532" i="6"/>
  <c r="AT372" i="6"/>
  <c r="V523" i="6"/>
  <c r="V522" i="6"/>
  <c r="V519" i="6"/>
  <c r="V521" i="6"/>
  <c r="V520" i="6"/>
  <c r="V524" i="6"/>
  <c r="X513" i="6"/>
  <c r="X510" i="6"/>
  <c r="X509" i="6"/>
  <c r="X512" i="6"/>
  <c r="X511" i="6"/>
  <c r="X514" i="6"/>
  <c r="Z502" i="6"/>
  <c r="Z501" i="6"/>
  <c r="Z499" i="6"/>
  <c r="Z500" i="6"/>
  <c r="Z503" i="6"/>
  <c r="Z504" i="6"/>
  <c r="AB491" i="6"/>
  <c r="AB489" i="6"/>
  <c r="AB490" i="6"/>
  <c r="AB492" i="6"/>
  <c r="AB494" i="6"/>
  <c r="AB493" i="6"/>
  <c r="AD484" i="6"/>
  <c r="AD479" i="6"/>
  <c r="AD481" i="6"/>
  <c r="AD483" i="6"/>
  <c r="AD480" i="6"/>
  <c r="AD482" i="6"/>
  <c r="AC412" i="6"/>
  <c r="AC414" i="6"/>
  <c r="AC411" i="6"/>
  <c r="AC409" i="6"/>
  <c r="AC410" i="6"/>
  <c r="AC413" i="6"/>
  <c r="AK520" i="6"/>
  <c r="AK521" i="6"/>
  <c r="AK523" i="6"/>
  <c r="AK524" i="6"/>
  <c r="AK522" i="6"/>
  <c r="AK519" i="6"/>
  <c r="AK480" i="6"/>
  <c r="AK481" i="6"/>
  <c r="AK484" i="6"/>
  <c r="AK479" i="6"/>
  <c r="AK483" i="6"/>
  <c r="AK482" i="6"/>
  <c r="AY421" i="6"/>
  <c r="AY419" i="6"/>
  <c r="AY422" i="6"/>
  <c r="AY423" i="6"/>
  <c r="AY424" i="6"/>
  <c r="AY420" i="6"/>
  <c r="K534" i="6"/>
  <c r="K530" i="6"/>
  <c r="K531" i="6"/>
  <c r="K532" i="6"/>
  <c r="K529" i="6"/>
  <c r="K533" i="6"/>
  <c r="K504" i="6"/>
  <c r="K500" i="6"/>
  <c r="K501" i="6"/>
  <c r="K502" i="6"/>
  <c r="K499" i="6"/>
  <c r="K503" i="6"/>
  <c r="BC442" i="6"/>
  <c r="BC443" i="6"/>
  <c r="BC441" i="6"/>
  <c r="BC439" i="6"/>
  <c r="BC444" i="6"/>
  <c r="BC440" i="6"/>
  <c r="AO473" i="6"/>
  <c r="AO471" i="6"/>
  <c r="AO470" i="6"/>
  <c r="AO469" i="6"/>
  <c r="AO474" i="6"/>
  <c r="AO472" i="6"/>
  <c r="Z439" i="6"/>
  <c r="Z441" i="6"/>
  <c r="Z444" i="6"/>
  <c r="Z442" i="6"/>
  <c r="Z440" i="6"/>
  <c r="Z443" i="6"/>
  <c r="AR413" i="6"/>
  <c r="AR411" i="6"/>
  <c r="AR410" i="6"/>
  <c r="AR414" i="6"/>
  <c r="AR412" i="6"/>
  <c r="AR409" i="6"/>
  <c r="F408" i="6"/>
  <c r="E406" i="6"/>
  <c r="F372" i="6"/>
  <c r="Q510" i="6"/>
  <c r="Q511" i="6"/>
  <c r="Q509" i="6"/>
  <c r="Q512" i="6"/>
  <c r="Q513" i="6"/>
  <c r="Q514" i="6"/>
  <c r="AJ463" i="6"/>
  <c r="AJ461" i="6"/>
  <c r="AJ460" i="6"/>
  <c r="AJ459" i="6"/>
  <c r="AJ462" i="6"/>
  <c r="AJ464" i="6"/>
  <c r="BC424" i="6"/>
  <c r="BC422" i="6"/>
  <c r="BC423" i="6"/>
  <c r="BC420" i="6"/>
  <c r="BC419" i="6"/>
  <c r="BC421" i="6"/>
  <c r="U514" i="6"/>
  <c r="U511" i="6"/>
  <c r="U509" i="6"/>
  <c r="U513" i="6"/>
  <c r="U512" i="6"/>
  <c r="U510" i="6"/>
  <c r="U492" i="6"/>
  <c r="U491" i="6"/>
  <c r="U493" i="6"/>
  <c r="U490" i="6"/>
  <c r="U494" i="6"/>
  <c r="U489" i="6"/>
  <c r="BA442" i="6"/>
  <c r="BA441" i="6"/>
  <c r="BA443" i="6"/>
  <c r="BA444" i="6"/>
  <c r="BA440" i="6"/>
  <c r="BA439" i="6"/>
  <c r="AR472" i="6"/>
  <c r="AR471" i="6"/>
  <c r="AR474" i="6"/>
  <c r="AR469" i="6"/>
  <c r="AR470" i="6"/>
  <c r="AR473" i="6"/>
  <c r="X444" i="6"/>
  <c r="X439" i="6"/>
  <c r="X440" i="6"/>
  <c r="X441" i="6"/>
  <c r="X442" i="6"/>
  <c r="X443" i="6"/>
  <c r="AW411" i="6"/>
  <c r="AW409" i="6"/>
  <c r="AW413" i="6"/>
  <c r="AW412" i="6"/>
  <c r="AW410" i="6"/>
  <c r="AW414" i="6"/>
  <c r="U414" i="6"/>
  <c r="U413" i="6"/>
  <c r="U411" i="6"/>
  <c r="U410" i="6"/>
  <c r="U412" i="6"/>
  <c r="U409" i="6"/>
  <c r="BG534" i="6"/>
  <c r="BG530" i="6"/>
  <c r="BG531" i="6"/>
  <c r="BG533" i="6"/>
  <c r="BG532" i="6"/>
  <c r="BG529" i="6"/>
  <c r="BG522" i="6"/>
  <c r="BG520" i="6"/>
  <c r="BG523" i="6"/>
  <c r="BG521" i="6"/>
  <c r="BG524" i="6"/>
  <c r="BG519" i="6"/>
  <c r="BG504" i="6"/>
  <c r="BG500" i="6"/>
  <c r="BG501" i="6"/>
  <c r="BG503" i="6"/>
  <c r="BG502" i="6"/>
  <c r="BG499" i="6"/>
  <c r="BG480" i="6"/>
  <c r="BG481" i="6"/>
  <c r="BG482" i="6"/>
  <c r="BG483" i="6"/>
  <c r="BG479" i="6"/>
  <c r="BG484" i="6"/>
  <c r="H372" i="6"/>
  <c r="AD470" i="6"/>
  <c r="AD469" i="6"/>
  <c r="AD472" i="6"/>
  <c r="AD474" i="6"/>
  <c r="AD473" i="6"/>
  <c r="AD471" i="6"/>
  <c r="H423" i="6"/>
  <c r="H420" i="6"/>
  <c r="H421" i="6"/>
  <c r="H419" i="6"/>
  <c r="H424" i="6"/>
  <c r="H422" i="6"/>
  <c r="BM514" i="6"/>
  <c r="BM512" i="6"/>
  <c r="BM510" i="6"/>
  <c r="BM509" i="6"/>
  <c r="BM511" i="6"/>
  <c r="BM513" i="6"/>
  <c r="AY451" i="6"/>
  <c r="AY450" i="6"/>
  <c r="AY454" i="6"/>
  <c r="AY453" i="6"/>
  <c r="AY452" i="6"/>
  <c r="AY449" i="6"/>
  <c r="G418" i="6"/>
  <c r="E416" i="6"/>
  <c r="AS514" i="6"/>
  <c r="AS512" i="6"/>
  <c r="AS510" i="6"/>
  <c r="AS509" i="6"/>
  <c r="AS511" i="6"/>
  <c r="AS513" i="6"/>
  <c r="AS491" i="6"/>
  <c r="AS492" i="6"/>
  <c r="AS489" i="6"/>
  <c r="AS494" i="6"/>
  <c r="AS493" i="6"/>
  <c r="AS490" i="6"/>
  <c r="Z461" i="6"/>
  <c r="Z464" i="6"/>
  <c r="Z460" i="6"/>
  <c r="Z463" i="6"/>
  <c r="Z459" i="6"/>
  <c r="Z462" i="6"/>
  <c r="BL442" i="6"/>
  <c r="BL443" i="6"/>
  <c r="BL441" i="6"/>
  <c r="BL439" i="6"/>
  <c r="BL444" i="6"/>
  <c r="BL440" i="6"/>
  <c r="L372" i="6"/>
  <c r="BJ460" i="6"/>
  <c r="BJ459" i="6"/>
  <c r="BJ461" i="6"/>
  <c r="BJ462" i="6"/>
  <c r="BJ464" i="6"/>
  <c r="BJ463" i="6"/>
  <c r="AU473" i="6"/>
  <c r="AU471" i="6"/>
  <c r="AU472" i="6"/>
  <c r="AU469" i="6"/>
  <c r="AU470" i="6"/>
  <c r="AU474" i="6"/>
  <c r="BN423" i="6"/>
  <c r="BN420" i="6"/>
  <c r="BN422" i="6"/>
  <c r="BN419" i="6"/>
  <c r="BN421" i="6"/>
  <c r="BN424" i="6"/>
  <c r="O512" i="6"/>
  <c r="O513" i="6"/>
  <c r="O514" i="6"/>
  <c r="O510" i="6"/>
  <c r="O509" i="6"/>
  <c r="O511" i="6"/>
  <c r="O491" i="6"/>
  <c r="O493" i="6"/>
  <c r="O494" i="6"/>
  <c r="O489" i="6"/>
  <c r="O492" i="6"/>
  <c r="O490" i="6"/>
  <c r="AW462" i="6"/>
  <c r="AW460" i="6"/>
  <c r="AW459" i="6"/>
  <c r="AW464" i="6"/>
  <c r="AW461" i="6"/>
  <c r="AW463" i="6"/>
  <c r="BQ422" i="6"/>
  <c r="BQ421" i="6"/>
  <c r="BQ419" i="6"/>
  <c r="BQ424" i="6"/>
  <c r="BQ420" i="6"/>
  <c r="BQ423" i="6"/>
  <c r="BF462" i="6"/>
  <c r="BF460" i="6"/>
  <c r="BF464" i="6"/>
  <c r="BF461" i="6"/>
  <c r="BF463" i="6"/>
  <c r="BF459" i="6"/>
  <c r="AV439" i="6"/>
  <c r="AV441" i="6"/>
  <c r="AV440" i="6"/>
  <c r="AV443" i="6"/>
  <c r="AV444" i="6"/>
  <c r="AV442" i="6"/>
  <c r="AC469" i="6"/>
  <c r="AC470" i="6"/>
  <c r="AC474" i="6"/>
  <c r="AC473" i="6"/>
  <c r="AC472" i="6"/>
  <c r="AC471" i="6"/>
  <c r="AN463" i="6"/>
  <c r="AN461" i="6"/>
  <c r="AN459" i="6"/>
  <c r="AN460" i="6"/>
  <c r="AN462" i="6"/>
  <c r="AN464" i="6"/>
  <c r="BK474" i="6"/>
  <c r="BK472" i="6"/>
  <c r="BK471" i="6"/>
  <c r="BK473" i="6"/>
  <c r="BK469" i="6"/>
  <c r="BK470" i="6"/>
  <c r="BG424" i="6"/>
  <c r="BG422" i="6"/>
  <c r="BG420" i="6"/>
  <c r="BG423" i="6"/>
  <c r="BG419" i="6"/>
  <c r="BG421" i="6"/>
  <c r="AW434" i="6"/>
  <c r="AW429" i="6"/>
  <c r="AW431" i="6"/>
  <c r="AW430" i="6"/>
  <c r="AW433" i="6"/>
  <c r="AW432" i="6"/>
  <c r="G529" i="6"/>
  <c r="G532" i="6"/>
  <c r="G534" i="6"/>
  <c r="G531" i="6"/>
  <c r="G530" i="6"/>
  <c r="G533" i="6"/>
  <c r="G519" i="6"/>
  <c r="G523" i="6"/>
  <c r="G522" i="6"/>
  <c r="G521" i="6"/>
  <c r="G520" i="6"/>
  <c r="G524" i="6"/>
  <c r="G510" i="6"/>
  <c r="G509" i="6"/>
  <c r="G514" i="6"/>
  <c r="G512" i="6"/>
  <c r="G511" i="6"/>
  <c r="G513" i="6"/>
  <c r="G499" i="6"/>
  <c r="G502" i="6"/>
  <c r="G504" i="6"/>
  <c r="G501" i="6"/>
  <c r="G500" i="6"/>
  <c r="G503" i="6"/>
  <c r="G489" i="6"/>
  <c r="G491" i="6"/>
  <c r="G494" i="6"/>
  <c r="G492" i="6"/>
  <c r="G490" i="6"/>
  <c r="G493" i="6"/>
  <c r="G479" i="6"/>
  <c r="G483" i="6"/>
  <c r="G480" i="6"/>
  <c r="G482" i="6"/>
  <c r="G481" i="6"/>
  <c r="G484" i="6"/>
  <c r="AY443" i="6"/>
  <c r="AY440" i="6"/>
  <c r="AY444" i="6"/>
  <c r="AY442" i="6"/>
  <c r="AY441" i="6"/>
  <c r="AY439" i="6"/>
  <c r="AW472" i="6"/>
  <c r="AW470" i="6"/>
  <c r="AW469" i="6"/>
  <c r="AW473" i="6"/>
  <c r="AW474" i="6"/>
  <c r="AW471" i="6"/>
  <c r="V439" i="6"/>
  <c r="V441" i="6"/>
  <c r="V442" i="6"/>
  <c r="V440" i="6"/>
  <c r="V443" i="6"/>
  <c r="V444" i="6"/>
  <c r="BH413" i="6"/>
  <c r="BH411" i="6"/>
  <c r="BH409" i="6"/>
  <c r="BH412" i="6"/>
  <c r="BH410" i="6"/>
  <c r="BH414" i="6"/>
  <c r="BM462" i="6"/>
  <c r="BM460" i="6"/>
  <c r="BM459" i="6"/>
  <c r="BM463" i="6"/>
  <c r="BM464" i="6"/>
  <c r="BM461" i="6"/>
  <c r="V412" i="6"/>
  <c r="V411" i="6"/>
  <c r="V409" i="6"/>
  <c r="V413" i="6"/>
  <c r="V410" i="6"/>
  <c r="V414" i="6"/>
  <c r="AM433" i="6"/>
  <c r="AM429" i="6"/>
  <c r="AM434" i="6"/>
  <c r="AM432" i="6"/>
  <c r="AM431" i="6"/>
  <c r="AM430" i="6"/>
  <c r="J461" i="6"/>
  <c r="J464" i="6"/>
  <c r="J462" i="6"/>
  <c r="J460" i="6"/>
  <c r="J463" i="6"/>
  <c r="J459" i="6"/>
  <c r="P372" i="6"/>
  <c r="AT461" i="6"/>
  <c r="AT464" i="6"/>
  <c r="AT462" i="6"/>
  <c r="AT463" i="6"/>
  <c r="AT459" i="6"/>
  <c r="AT460" i="6"/>
  <c r="P461" i="6"/>
  <c r="P464" i="6"/>
  <c r="P462" i="6"/>
  <c r="P463" i="6"/>
  <c r="P459" i="6"/>
  <c r="P460" i="6"/>
  <c r="BA413" i="6"/>
  <c r="BA411" i="6"/>
  <c r="BA409" i="6"/>
  <c r="BA412" i="6"/>
  <c r="BA410" i="6"/>
  <c r="BA414" i="6"/>
  <c r="AI421" i="6"/>
  <c r="AI420" i="6"/>
  <c r="AI422" i="6"/>
  <c r="AI423" i="6"/>
  <c r="AI419" i="6"/>
  <c r="AI424" i="6"/>
  <c r="BF422" i="6"/>
  <c r="BF421" i="6"/>
  <c r="BF419" i="6"/>
  <c r="BF423" i="6"/>
  <c r="BF424" i="6"/>
  <c r="BF420" i="6"/>
  <c r="S530" i="6"/>
  <c r="S531" i="6"/>
  <c r="S534" i="6"/>
  <c r="S532" i="6"/>
  <c r="S529" i="6"/>
  <c r="S533" i="6"/>
  <c r="S520" i="6"/>
  <c r="S521" i="6"/>
  <c r="S522" i="6"/>
  <c r="S523" i="6"/>
  <c r="S519" i="6"/>
  <c r="S524" i="6"/>
  <c r="S511" i="6"/>
  <c r="S509" i="6"/>
  <c r="S514" i="6"/>
  <c r="S512" i="6"/>
  <c r="S510" i="6"/>
  <c r="S513" i="6"/>
  <c r="S500" i="6"/>
  <c r="S501" i="6"/>
  <c r="S504" i="6"/>
  <c r="S502" i="6"/>
  <c r="S499" i="6"/>
  <c r="S503" i="6"/>
  <c r="S490" i="6"/>
  <c r="S492" i="6"/>
  <c r="S494" i="6"/>
  <c r="S489" i="6"/>
  <c r="S493" i="6"/>
  <c r="S491" i="6"/>
  <c r="S481" i="6"/>
  <c r="S482" i="6"/>
  <c r="S480" i="6"/>
  <c r="S479" i="6"/>
  <c r="S484" i="6"/>
  <c r="S483" i="6"/>
  <c r="I473" i="6"/>
  <c r="I470" i="6"/>
  <c r="I469" i="6"/>
  <c r="I474" i="6"/>
  <c r="I472" i="6"/>
  <c r="I471" i="6"/>
  <c r="AP439" i="6"/>
  <c r="AP440" i="6"/>
  <c r="AP441" i="6"/>
  <c r="AP442" i="6"/>
  <c r="AP443" i="6"/>
  <c r="AP444" i="6"/>
  <c r="AN471" i="6"/>
  <c r="AN473" i="6"/>
  <c r="AN469" i="6"/>
  <c r="AN470" i="6"/>
  <c r="AN472" i="6"/>
  <c r="AN474" i="6"/>
  <c r="AS463" i="6"/>
  <c r="AS461" i="6"/>
  <c r="AS460" i="6"/>
  <c r="AS459" i="6"/>
  <c r="AS464" i="6"/>
  <c r="AS462" i="6"/>
  <c r="BR470" i="6"/>
  <c r="BR469" i="6"/>
  <c r="BR474" i="6"/>
  <c r="BR472" i="6"/>
  <c r="BR473" i="6"/>
  <c r="BR471" i="6"/>
  <c r="BM423" i="6"/>
  <c r="BM420" i="6"/>
  <c r="BM419" i="6"/>
  <c r="BM421" i="6"/>
  <c r="BM424" i="6"/>
  <c r="BM422" i="6"/>
  <c r="AK432" i="6"/>
  <c r="AK430" i="6"/>
  <c r="AK429" i="6"/>
  <c r="AK434" i="6"/>
  <c r="AK431" i="6"/>
  <c r="AK433" i="6"/>
  <c r="AE439" i="6"/>
  <c r="AE441" i="6"/>
  <c r="AE442" i="6"/>
  <c r="AE440" i="6"/>
  <c r="AE443" i="6"/>
  <c r="AE444" i="6"/>
  <c r="W464" i="6"/>
  <c r="W459" i="6"/>
  <c r="W462" i="6"/>
  <c r="W463" i="6"/>
  <c r="W461" i="6"/>
  <c r="W460" i="6"/>
  <c r="BN440" i="6"/>
  <c r="BN441" i="6"/>
  <c r="BN439" i="6"/>
  <c r="BN444" i="6"/>
  <c r="BN442" i="6"/>
  <c r="BN443" i="6"/>
  <c r="M372" i="6"/>
  <c r="BG460" i="6"/>
  <c r="BG459" i="6"/>
  <c r="BG461" i="6"/>
  <c r="BG463" i="6"/>
  <c r="BG464" i="6"/>
  <c r="BG462" i="6"/>
  <c r="V450" i="6"/>
  <c r="V453" i="6"/>
  <c r="V454" i="6"/>
  <c r="V452" i="6"/>
  <c r="V451" i="6"/>
  <c r="V449" i="6"/>
  <c r="U459" i="6"/>
  <c r="U460" i="6"/>
  <c r="U463" i="6"/>
  <c r="U464" i="6"/>
  <c r="U461" i="6"/>
  <c r="U462" i="6"/>
  <c r="V473" i="6"/>
  <c r="V471" i="6"/>
  <c r="V470" i="6"/>
  <c r="V469" i="6"/>
  <c r="V474" i="6"/>
  <c r="V472" i="6"/>
  <c r="AT473" i="6"/>
  <c r="AT471" i="6"/>
  <c r="AT470" i="6"/>
  <c r="AT469" i="6"/>
  <c r="AT472" i="6"/>
  <c r="AT474" i="6"/>
  <c r="AP410" i="6"/>
  <c r="AP413" i="6"/>
  <c r="AP412" i="6"/>
  <c r="AP414" i="6"/>
  <c r="AP411" i="6"/>
  <c r="AP409" i="6"/>
  <c r="AO419" i="6"/>
  <c r="AO421" i="6"/>
  <c r="AO423" i="6"/>
  <c r="AO424" i="6"/>
  <c r="AO420" i="6"/>
  <c r="AO422" i="6"/>
  <c r="BM410" i="6"/>
  <c r="BM413" i="6"/>
  <c r="BM412" i="6"/>
  <c r="BM414" i="6"/>
  <c r="BM411" i="6"/>
  <c r="BM409" i="6"/>
  <c r="BL424" i="6"/>
  <c r="BL422" i="6"/>
  <c r="BL423" i="6"/>
  <c r="BL420" i="6"/>
  <c r="BL419" i="6"/>
  <c r="BL421" i="6"/>
  <c r="K439" i="6"/>
  <c r="K443" i="6"/>
  <c r="K442" i="6"/>
  <c r="K440" i="6"/>
  <c r="K441" i="6"/>
  <c r="K444" i="6"/>
  <c r="BK459" i="6"/>
  <c r="BK462" i="6"/>
  <c r="BK460" i="6"/>
  <c r="BK464" i="6"/>
  <c r="BK461" i="6"/>
  <c r="BK463" i="6"/>
  <c r="AT442" i="6"/>
  <c r="AT444" i="6"/>
  <c r="AT439" i="6"/>
  <c r="AT440" i="6"/>
  <c r="AT441" i="6"/>
  <c r="AT443" i="6"/>
  <c r="AG451" i="6"/>
  <c r="AG449" i="6"/>
  <c r="AG453" i="6"/>
  <c r="AG454" i="6"/>
  <c r="AG450" i="6"/>
  <c r="AG452" i="6"/>
  <c r="AF474" i="6"/>
  <c r="AF472" i="6"/>
  <c r="AF471" i="6"/>
  <c r="AF470" i="6"/>
  <c r="AF473" i="6"/>
  <c r="AF469" i="6"/>
  <c r="AP451" i="6"/>
  <c r="AP449" i="6"/>
  <c r="AP453" i="6"/>
  <c r="AP454" i="6"/>
  <c r="AP450" i="6"/>
  <c r="AP452" i="6"/>
  <c r="AO460" i="6"/>
  <c r="AO459" i="6"/>
  <c r="AO462" i="6"/>
  <c r="AO463" i="6"/>
  <c r="AO464" i="6"/>
  <c r="AO461" i="6"/>
  <c r="AP474" i="6"/>
  <c r="AP472" i="6"/>
  <c r="AP471" i="6"/>
  <c r="AP470" i="6"/>
  <c r="AP473" i="6"/>
  <c r="AP469" i="6"/>
  <c r="BN474" i="6"/>
  <c r="BN472" i="6"/>
  <c r="BN471" i="6"/>
  <c r="BN470" i="6"/>
  <c r="BN473" i="6"/>
  <c r="BN469" i="6"/>
  <c r="BJ411" i="6"/>
  <c r="BJ409" i="6"/>
  <c r="BJ413" i="6"/>
  <c r="BJ412" i="6"/>
  <c r="BJ410" i="6"/>
  <c r="BJ414" i="6"/>
  <c r="BI421" i="6"/>
  <c r="BI419" i="6"/>
  <c r="BI422" i="6"/>
  <c r="BI423" i="6"/>
  <c r="BI424" i="6"/>
  <c r="BI420" i="6"/>
  <c r="T421" i="6"/>
  <c r="T419" i="6"/>
  <c r="T422" i="6"/>
  <c r="T423" i="6"/>
  <c r="T424" i="6"/>
  <c r="T420" i="6"/>
  <c r="AS434" i="6"/>
  <c r="AS432" i="6"/>
  <c r="AS431" i="6"/>
  <c r="AS430" i="6"/>
  <c r="AS429" i="6"/>
  <c r="AS433" i="6"/>
  <c r="P430" i="6"/>
  <c r="P434" i="6"/>
  <c r="P432" i="6"/>
  <c r="P433" i="6"/>
  <c r="P431" i="6"/>
  <c r="P429" i="6"/>
  <c r="BI511" i="6"/>
  <c r="BI509" i="6"/>
  <c r="BI514" i="6"/>
  <c r="BI510" i="6"/>
  <c r="BI513" i="6"/>
  <c r="BI512" i="6"/>
  <c r="H501" i="6"/>
  <c r="H503" i="6"/>
  <c r="H500" i="6"/>
  <c r="H502" i="6"/>
  <c r="H504" i="6"/>
  <c r="H499" i="6"/>
  <c r="AF372" i="6"/>
  <c r="BD372" i="6"/>
  <c r="T499" i="6"/>
  <c r="T504" i="6"/>
  <c r="T503" i="6"/>
  <c r="T501" i="6"/>
  <c r="T502" i="6"/>
  <c r="T500" i="6"/>
  <c r="AQ372" i="6"/>
  <c r="L513" i="6"/>
  <c r="L511" i="6"/>
  <c r="L510" i="6"/>
  <c r="L512" i="6"/>
  <c r="L509" i="6"/>
  <c r="L514" i="6"/>
  <c r="BH454" i="6"/>
  <c r="BH452" i="6"/>
  <c r="BH449" i="6"/>
  <c r="BH451" i="6"/>
  <c r="BH450" i="6"/>
  <c r="BH453" i="6"/>
  <c r="BP523" i="6"/>
  <c r="BP524" i="6"/>
  <c r="BP521" i="6"/>
  <c r="BP522" i="6"/>
  <c r="BP520" i="6"/>
  <c r="BP519" i="6"/>
  <c r="F508" i="6"/>
  <c r="AK372" i="6"/>
  <c r="I509" i="6"/>
  <c r="I513" i="6"/>
  <c r="I514" i="6"/>
  <c r="I510" i="6"/>
  <c r="I511" i="6"/>
  <c r="I512" i="6"/>
  <c r="AZ534" i="6"/>
  <c r="AZ533" i="6"/>
  <c r="AZ532" i="6"/>
  <c r="AZ529" i="6"/>
  <c r="AZ530" i="6"/>
  <c r="AZ531" i="6"/>
  <c r="AY372" i="6"/>
  <c r="AL490" i="6"/>
  <c r="AL494" i="6"/>
  <c r="AL492" i="6"/>
  <c r="AL491" i="6"/>
  <c r="AL489" i="6"/>
  <c r="AL493" i="6"/>
  <c r="AP523" i="6"/>
  <c r="AP521" i="6"/>
  <c r="AP519" i="6"/>
  <c r="AP524" i="6"/>
  <c r="AP520" i="6"/>
  <c r="AP522" i="6"/>
  <c r="BI372" i="6"/>
  <c r="BB510" i="6"/>
  <c r="BB511" i="6"/>
  <c r="BB512" i="6"/>
  <c r="BB513" i="6"/>
  <c r="BB514" i="6"/>
  <c r="BB509" i="6"/>
  <c r="AK449" i="6"/>
  <c r="AK454" i="6"/>
  <c r="AK451" i="6"/>
  <c r="AK453" i="6"/>
  <c r="AK450" i="6"/>
  <c r="AK452" i="6"/>
  <c r="AE523" i="6"/>
  <c r="AE524" i="6"/>
  <c r="AE519" i="6"/>
  <c r="AE521" i="6"/>
  <c r="AE520" i="6"/>
  <c r="AE522" i="6"/>
  <c r="BD413" i="6"/>
  <c r="BD411" i="6"/>
  <c r="BD409" i="6"/>
  <c r="BD410" i="6"/>
  <c r="BD414" i="6"/>
  <c r="BD412" i="6"/>
  <c r="BF512" i="6"/>
  <c r="BF513" i="6"/>
  <c r="BF509" i="6"/>
  <c r="BF511" i="6"/>
  <c r="BF510" i="6"/>
  <c r="BF514" i="6"/>
  <c r="BL480" i="6"/>
  <c r="BL482" i="6"/>
  <c r="BL483" i="6"/>
  <c r="BL481" i="6"/>
  <c r="BL484" i="6"/>
  <c r="BL479" i="6"/>
  <c r="Y502" i="6"/>
  <c r="Y503" i="6"/>
  <c r="Y500" i="6"/>
  <c r="Y499" i="6"/>
  <c r="Y501" i="6"/>
  <c r="Y504" i="6"/>
  <c r="AA471" i="6"/>
  <c r="AA472" i="6"/>
  <c r="AA474" i="6"/>
  <c r="AA473" i="6"/>
  <c r="AA469" i="6"/>
  <c r="AA470" i="6"/>
  <c r="F418" i="6"/>
  <c r="G372" i="6"/>
  <c r="AZ372" i="6"/>
  <c r="AH519" i="6"/>
  <c r="AH521" i="6"/>
  <c r="AH522" i="6"/>
  <c r="AH524" i="6"/>
  <c r="AH520" i="6"/>
  <c r="AH523" i="6"/>
  <c r="AJ509" i="6"/>
  <c r="AJ512" i="6"/>
  <c r="AJ510" i="6"/>
  <c r="AJ514" i="6"/>
  <c r="AJ511" i="6"/>
  <c r="AJ513" i="6"/>
  <c r="AL499" i="6"/>
  <c r="AL500" i="6"/>
  <c r="AL501" i="6"/>
  <c r="AL504" i="6"/>
  <c r="AL503" i="6"/>
  <c r="AL502" i="6"/>
  <c r="AN490" i="6"/>
  <c r="AN489" i="6"/>
  <c r="AN491" i="6"/>
  <c r="AN492" i="6"/>
  <c r="AN493" i="6"/>
  <c r="AN494" i="6"/>
  <c r="AP481" i="6"/>
  <c r="AP483" i="6"/>
  <c r="AP484" i="6"/>
  <c r="AP479" i="6"/>
  <c r="AP482" i="6"/>
  <c r="AP480" i="6"/>
  <c r="N372" i="6"/>
  <c r="T464" i="6"/>
  <c r="T462" i="6"/>
  <c r="T461" i="6"/>
  <c r="T459" i="6"/>
  <c r="T460" i="6"/>
  <c r="T463" i="6"/>
  <c r="AC491" i="6"/>
  <c r="AC493" i="6"/>
  <c r="AC494" i="6"/>
  <c r="AC492" i="6"/>
  <c r="AC489" i="6"/>
  <c r="AC490" i="6"/>
  <c r="O412" i="6"/>
  <c r="O410" i="6"/>
  <c r="O409" i="6"/>
  <c r="O411" i="6"/>
  <c r="O413" i="6"/>
  <c r="O414" i="6"/>
  <c r="BK532" i="6"/>
  <c r="BK533" i="6"/>
  <c r="BK530" i="6"/>
  <c r="BK534" i="6"/>
  <c r="BK529" i="6"/>
  <c r="BK531" i="6"/>
  <c r="BK502" i="6"/>
  <c r="BK503" i="6"/>
  <c r="BK500" i="6"/>
  <c r="BK504" i="6"/>
  <c r="BK499" i="6"/>
  <c r="BK501" i="6"/>
  <c r="G431" i="6"/>
  <c r="G434" i="6"/>
  <c r="G432" i="6"/>
  <c r="G429" i="6"/>
  <c r="G433" i="6"/>
  <c r="G430" i="6"/>
  <c r="AR460" i="6"/>
  <c r="AR459" i="6"/>
  <c r="AR464" i="6"/>
  <c r="AR462" i="6"/>
  <c r="AR463" i="6"/>
  <c r="AR461" i="6"/>
  <c r="BK423" i="6"/>
  <c r="BK420" i="6"/>
  <c r="BK421" i="6"/>
  <c r="BK419" i="6"/>
  <c r="BK424" i="6"/>
  <c r="BK422" i="6"/>
  <c r="T432" i="6"/>
  <c r="T433" i="6"/>
  <c r="T434" i="6"/>
  <c r="T431" i="6"/>
  <c r="T430" i="6"/>
  <c r="T429" i="6"/>
  <c r="BN532" i="6"/>
  <c r="BN530" i="6"/>
  <c r="BN529" i="6"/>
  <c r="BN534" i="6"/>
  <c r="BN533" i="6"/>
  <c r="BN531" i="6"/>
  <c r="BF372" i="6"/>
  <c r="AT519" i="6"/>
  <c r="AT523" i="6"/>
  <c r="AT521" i="6"/>
  <c r="AT520" i="6"/>
  <c r="AT524" i="6"/>
  <c r="AT522" i="6"/>
  <c r="AV509" i="6"/>
  <c r="AV512" i="6"/>
  <c r="AV511" i="6"/>
  <c r="AV514" i="6"/>
  <c r="AV513" i="6"/>
  <c r="AV510" i="6"/>
  <c r="AX499" i="6"/>
  <c r="AX500" i="6"/>
  <c r="AX503" i="6"/>
  <c r="AX504" i="6"/>
  <c r="AX502" i="6"/>
  <c r="AX501" i="6"/>
  <c r="AZ490" i="6"/>
  <c r="AZ489" i="6"/>
  <c r="AZ494" i="6"/>
  <c r="AZ493" i="6"/>
  <c r="AZ491" i="6"/>
  <c r="AZ492" i="6"/>
  <c r="BB481" i="6"/>
  <c r="BB483" i="6"/>
  <c r="BB480" i="6"/>
  <c r="BB482" i="6"/>
  <c r="BB484" i="6"/>
  <c r="BB479" i="6"/>
  <c r="AW482" i="6"/>
  <c r="AW483" i="6"/>
  <c r="AW484" i="6"/>
  <c r="AW479" i="6"/>
  <c r="AW480" i="6"/>
  <c r="AW481" i="6"/>
  <c r="AW444" i="6"/>
  <c r="AW439" i="6"/>
  <c r="AW442" i="6"/>
  <c r="AW440" i="6"/>
  <c r="AW443" i="6"/>
  <c r="AW441" i="6"/>
  <c r="BH469" i="6"/>
  <c r="BH473" i="6"/>
  <c r="BH472" i="6"/>
  <c r="BH470" i="6"/>
  <c r="BH471" i="6"/>
  <c r="BH474" i="6"/>
  <c r="T441" i="6"/>
  <c r="T443" i="6"/>
  <c r="T444" i="6"/>
  <c r="T439" i="6"/>
  <c r="T442" i="6"/>
  <c r="T440" i="6"/>
  <c r="G451" i="6"/>
  <c r="G449" i="6"/>
  <c r="G450" i="6"/>
  <c r="G453" i="6"/>
  <c r="G454" i="6"/>
  <c r="G452" i="6"/>
  <c r="BQ494" i="6"/>
  <c r="BQ493" i="6"/>
  <c r="BQ491" i="6"/>
  <c r="BQ492" i="6"/>
  <c r="BQ489" i="6"/>
  <c r="BQ490" i="6"/>
  <c r="E466" i="6"/>
  <c r="AE468" i="6"/>
  <c r="AQ514" i="6"/>
  <c r="AQ511" i="6"/>
  <c r="AQ509" i="6"/>
  <c r="AQ512" i="6"/>
  <c r="AQ510" i="6"/>
  <c r="AQ513" i="6"/>
  <c r="Q423" i="6"/>
  <c r="Q424" i="6"/>
  <c r="Q420" i="6"/>
  <c r="Q422" i="6"/>
  <c r="Q419" i="6"/>
  <c r="Q421" i="6"/>
  <c r="AT429" i="6"/>
  <c r="AT433" i="6"/>
  <c r="AT432" i="6"/>
  <c r="AT430" i="6"/>
  <c r="AT431" i="6"/>
  <c r="AT434" i="6"/>
  <c r="AV532" i="6"/>
  <c r="AV534" i="6"/>
  <c r="AV533" i="6"/>
  <c r="AV531" i="6"/>
  <c r="AV529" i="6"/>
  <c r="AV530" i="6"/>
  <c r="AW372" i="6"/>
  <c r="AB524" i="6"/>
  <c r="AB519" i="6"/>
  <c r="AB522" i="6"/>
  <c r="AB520" i="6"/>
  <c r="AB521" i="6"/>
  <c r="AB523" i="6"/>
  <c r="AD514" i="6"/>
  <c r="AD509" i="6"/>
  <c r="AD510" i="6"/>
  <c r="AD511" i="6"/>
  <c r="AD512" i="6"/>
  <c r="AD513" i="6"/>
  <c r="AF504" i="6"/>
  <c r="AF499" i="6"/>
  <c r="AF501" i="6"/>
  <c r="AF503" i="6"/>
  <c r="AF502" i="6"/>
  <c r="AF500" i="6"/>
  <c r="AH493" i="6"/>
  <c r="AH490" i="6"/>
  <c r="AH492" i="6"/>
  <c r="AH494" i="6"/>
  <c r="AH491" i="6"/>
  <c r="AH489" i="6"/>
  <c r="AJ484" i="6"/>
  <c r="AJ479" i="6"/>
  <c r="AJ481" i="6"/>
  <c r="AJ483" i="6"/>
  <c r="AJ482" i="6"/>
  <c r="AJ480" i="6"/>
  <c r="AO519" i="6"/>
  <c r="AO520" i="6"/>
  <c r="AO521" i="6"/>
  <c r="AO523" i="6"/>
  <c r="AO524" i="6"/>
  <c r="AO522" i="6"/>
  <c r="AO479" i="6"/>
  <c r="AO480" i="6"/>
  <c r="AO481" i="6"/>
  <c r="AO482" i="6"/>
  <c r="AO483" i="6"/>
  <c r="AO484" i="6"/>
  <c r="AO442" i="6"/>
  <c r="AO443" i="6"/>
  <c r="AO440" i="6"/>
  <c r="AO439" i="6"/>
  <c r="AO441" i="6"/>
  <c r="AO444" i="6"/>
  <c r="AJ412" i="6"/>
  <c r="AJ413" i="6"/>
  <c r="AJ411" i="6"/>
  <c r="AJ414" i="6"/>
  <c r="AJ410" i="6"/>
  <c r="AJ409" i="6"/>
  <c r="L444" i="6"/>
  <c r="L442" i="6"/>
  <c r="L443" i="6"/>
  <c r="L440" i="6"/>
  <c r="L439" i="6"/>
  <c r="L441" i="6"/>
  <c r="K454" i="6"/>
  <c r="K452" i="6"/>
  <c r="K451" i="6"/>
  <c r="K449" i="6"/>
  <c r="K453" i="6"/>
  <c r="K450" i="6"/>
  <c r="AE410" i="6"/>
  <c r="AE413" i="6"/>
  <c r="AE412" i="6"/>
  <c r="AE414" i="6"/>
  <c r="AE409" i="6"/>
  <c r="AE411" i="6"/>
  <c r="BP430" i="6"/>
  <c r="BP429" i="6"/>
  <c r="BP432" i="6"/>
  <c r="BP433" i="6"/>
  <c r="BP431" i="6"/>
  <c r="BP434" i="6"/>
  <c r="BR372" i="6"/>
  <c r="Z533" i="6"/>
  <c r="Z530" i="6"/>
  <c r="Z531" i="6"/>
  <c r="Z534" i="6"/>
  <c r="Z532" i="6"/>
  <c r="Z529" i="6"/>
  <c r="BR520" i="6"/>
  <c r="BR523" i="6"/>
  <c r="BR519" i="6"/>
  <c r="BR522" i="6"/>
  <c r="BR524" i="6"/>
  <c r="BR521" i="6"/>
  <c r="AL372" i="6"/>
  <c r="F518" i="6"/>
  <c r="H513" i="6"/>
  <c r="H510" i="6"/>
  <c r="H509" i="6"/>
  <c r="H512" i="6"/>
  <c r="H514" i="6"/>
  <c r="H511" i="6"/>
  <c r="J502" i="6"/>
  <c r="J501" i="6"/>
  <c r="J499" i="6"/>
  <c r="J500" i="6"/>
  <c r="J504" i="6"/>
  <c r="J503" i="6"/>
  <c r="L489" i="6"/>
  <c r="L493" i="6"/>
  <c r="L490" i="6"/>
  <c r="L492" i="6"/>
  <c r="L491" i="6"/>
  <c r="L494" i="6"/>
  <c r="N484" i="6"/>
  <c r="N479" i="6"/>
  <c r="N481" i="6"/>
  <c r="N483" i="6"/>
  <c r="N482" i="6"/>
  <c r="N480" i="6"/>
  <c r="AW512" i="6"/>
  <c r="AW513" i="6"/>
  <c r="AW514" i="6"/>
  <c r="AW510" i="6"/>
  <c r="AW509" i="6"/>
  <c r="AW511" i="6"/>
  <c r="W423" i="6"/>
  <c r="W424" i="6"/>
  <c r="W420" i="6"/>
  <c r="W422" i="6"/>
  <c r="W419" i="6"/>
  <c r="W421" i="6"/>
  <c r="E506" i="6"/>
  <c r="AK508" i="6"/>
  <c r="AP462" i="6"/>
  <c r="AP461" i="6"/>
  <c r="AP464" i="6"/>
  <c r="AP463" i="6"/>
  <c r="AP459" i="6"/>
  <c r="AP460" i="6"/>
  <c r="BD444" i="6"/>
  <c r="BD439" i="6"/>
  <c r="BD440" i="6"/>
  <c r="BD443" i="6"/>
  <c r="BD441" i="6"/>
  <c r="BD442" i="6"/>
  <c r="M471" i="6"/>
  <c r="M472" i="6"/>
  <c r="M470" i="6"/>
  <c r="M474" i="6"/>
  <c r="M473" i="6"/>
  <c r="M469" i="6"/>
  <c r="BM432" i="6"/>
  <c r="BM433" i="6"/>
  <c r="BM429" i="6"/>
  <c r="BM430" i="6"/>
  <c r="BM434" i="6"/>
  <c r="BM431" i="6"/>
  <c r="K494" i="6"/>
  <c r="K490" i="6"/>
  <c r="K492" i="6"/>
  <c r="K493" i="6"/>
  <c r="K491" i="6"/>
  <c r="K489" i="6"/>
  <c r="BI463" i="6"/>
  <c r="BI461" i="6"/>
  <c r="BI460" i="6"/>
  <c r="BI459" i="6"/>
  <c r="BI464" i="6"/>
  <c r="BI462" i="6"/>
  <c r="AD372" i="6"/>
  <c r="Q529" i="6"/>
  <c r="Q530" i="6"/>
  <c r="Q531" i="6"/>
  <c r="Q532" i="6"/>
  <c r="Q533" i="6"/>
  <c r="Q534" i="6"/>
  <c r="Q499" i="6"/>
  <c r="Q501" i="6"/>
  <c r="Q502" i="6"/>
  <c r="Q503" i="6"/>
  <c r="Q504" i="6"/>
  <c r="Q500" i="6"/>
  <c r="T449" i="6"/>
  <c r="T451" i="6"/>
  <c r="T454" i="6"/>
  <c r="T450" i="6"/>
  <c r="T452" i="6"/>
  <c r="T453" i="6"/>
  <c r="AI469" i="6"/>
  <c r="AI470" i="6"/>
  <c r="AI473" i="6"/>
  <c r="AI474" i="6"/>
  <c r="AI471" i="6"/>
  <c r="AI472" i="6"/>
  <c r="N424" i="6"/>
  <c r="N422" i="6"/>
  <c r="N423" i="6"/>
  <c r="N420" i="6"/>
  <c r="N421" i="6"/>
  <c r="N419" i="6"/>
  <c r="BA534" i="6"/>
  <c r="BA529" i="6"/>
  <c r="BA530" i="6"/>
  <c r="BA531" i="6"/>
  <c r="BA532" i="6"/>
  <c r="BA533" i="6"/>
  <c r="BA522" i="6"/>
  <c r="BA519" i="6"/>
  <c r="BA521" i="6"/>
  <c r="BA523" i="6"/>
  <c r="BA524" i="6"/>
  <c r="BA520" i="6"/>
  <c r="BA500" i="6"/>
  <c r="BA504" i="6"/>
  <c r="BA503" i="6"/>
  <c r="BA502" i="6"/>
  <c r="BA499" i="6"/>
  <c r="BA501" i="6"/>
  <c r="BA480" i="6"/>
  <c r="BA481" i="6"/>
  <c r="BA482" i="6"/>
  <c r="BA483" i="6"/>
  <c r="BA479" i="6"/>
  <c r="BA484" i="6"/>
  <c r="BK452" i="6"/>
  <c r="BK453" i="6"/>
  <c r="BK451" i="6"/>
  <c r="BK454" i="6"/>
  <c r="BK449" i="6"/>
  <c r="BK450" i="6"/>
  <c r="S420" i="6"/>
  <c r="S422" i="6"/>
  <c r="S421" i="6"/>
  <c r="S424" i="6"/>
  <c r="S423" i="6"/>
  <c r="S419" i="6"/>
  <c r="AA534" i="6"/>
  <c r="AA530" i="6"/>
  <c r="AA531" i="6"/>
  <c r="AA533" i="6"/>
  <c r="AA532" i="6"/>
  <c r="AA529" i="6"/>
  <c r="AA522" i="6"/>
  <c r="AA520" i="6"/>
  <c r="AA521" i="6"/>
  <c r="AA524" i="6"/>
  <c r="AA523" i="6"/>
  <c r="AA519" i="6"/>
  <c r="AA504" i="6"/>
  <c r="AA500" i="6"/>
  <c r="AA501" i="6"/>
  <c r="AA503" i="6"/>
  <c r="AA502" i="6"/>
  <c r="AA499" i="6"/>
  <c r="AA480" i="6"/>
  <c r="AA481" i="6"/>
  <c r="AA482" i="6"/>
  <c r="AA483" i="6"/>
  <c r="AA479" i="6"/>
  <c r="AA484" i="6"/>
  <c r="AM463" i="6"/>
  <c r="AM461" i="6"/>
  <c r="AM459" i="6"/>
  <c r="AM460" i="6"/>
  <c r="AM462" i="6"/>
  <c r="AM464" i="6"/>
  <c r="BF439" i="6"/>
  <c r="BF440" i="6"/>
  <c r="BF442" i="6"/>
  <c r="BF443" i="6"/>
  <c r="BF444" i="6"/>
  <c r="BF441" i="6"/>
  <c r="H471" i="6"/>
  <c r="H469" i="6"/>
  <c r="H470" i="6"/>
  <c r="H472" i="6"/>
  <c r="H474" i="6"/>
  <c r="H473" i="6"/>
  <c r="BB470" i="6"/>
  <c r="BB469" i="6"/>
  <c r="BB474" i="6"/>
  <c r="BB472" i="6"/>
  <c r="BB473" i="6"/>
  <c r="BB471" i="6"/>
  <c r="BQ432" i="6"/>
  <c r="BQ430" i="6"/>
  <c r="BQ429" i="6"/>
  <c r="BQ434" i="6"/>
  <c r="BQ431" i="6"/>
  <c r="BQ433" i="6"/>
  <c r="BM530" i="6"/>
  <c r="BM532" i="6"/>
  <c r="BM531" i="6"/>
  <c r="BM534" i="6"/>
  <c r="BM533" i="6"/>
  <c r="BM529" i="6"/>
  <c r="BM500" i="6"/>
  <c r="BM504" i="6"/>
  <c r="BM501" i="6"/>
  <c r="BM502" i="6"/>
  <c r="BM499" i="6"/>
  <c r="BM503" i="6"/>
  <c r="AZ461" i="6"/>
  <c r="AZ463" i="6"/>
  <c r="AZ459" i="6"/>
  <c r="AZ460" i="6"/>
  <c r="AZ462" i="6"/>
  <c r="AZ464" i="6"/>
  <c r="BO431" i="6"/>
  <c r="BO434" i="6"/>
  <c r="BO429" i="6"/>
  <c r="BO433" i="6"/>
  <c r="BO430" i="6"/>
  <c r="BO432" i="6"/>
  <c r="M514" i="6"/>
  <c r="M511" i="6"/>
  <c r="M513" i="6"/>
  <c r="M512" i="6"/>
  <c r="M510" i="6"/>
  <c r="M509" i="6"/>
  <c r="M492" i="6"/>
  <c r="M491" i="6"/>
  <c r="M490" i="6"/>
  <c r="M494" i="6"/>
  <c r="M489" i="6"/>
  <c r="M493" i="6"/>
  <c r="AC443" i="6"/>
  <c r="AC440" i="6"/>
  <c r="AC439" i="6"/>
  <c r="AC444" i="6"/>
  <c r="AC442" i="6"/>
  <c r="AC441" i="6"/>
  <c r="W454" i="6"/>
  <c r="W450" i="6"/>
  <c r="W452" i="6"/>
  <c r="W449" i="6"/>
  <c r="W451" i="6"/>
  <c r="W453" i="6"/>
  <c r="AQ412" i="6"/>
  <c r="AQ414" i="6"/>
  <c r="AQ411" i="6"/>
  <c r="AQ410" i="6"/>
  <c r="AQ413" i="6"/>
  <c r="AQ409" i="6"/>
  <c r="AU532" i="6"/>
  <c r="AU533" i="6"/>
  <c r="AU531" i="6"/>
  <c r="AU530" i="6"/>
  <c r="AU534" i="6"/>
  <c r="AU529" i="6"/>
  <c r="AU523" i="6"/>
  <c r="AU524" i="6"/>
  <c r="AU521" i="6"/>
  <c r="AU520" i="6"/>
  <c r="AU522" i="6"/>
  <c r="AU519" i="6"/>
  <c r="AU502" i="6"/>
  <c r="AU503" i="6"/>
  <c r="AU501" i="6"/>
  <c r="AU500" i="6"/>
  <c r="AU504" i="6"/>
  <c r="AU499" i="6"/>
  <c r="AU483" i="6"/>
  <c r="AU484" i="6"/>
  <c r="AU482" i="6"/>
  <c r="AU481" i="6"/>
  <c r="AU480" i="6"/>
  <c r="AU479" i="6"/>
  <c r="P451" i="6"/>
  <c r="P452" i="6"/>
  <c r="P453" i="6"/>
  <c r="P450" i="6"/>
  <c r="P454" i="6"/>
  <c r="P449" i="6"/>
  <c r="AW453" i="6"/>
  <c r="AW451" i="6"/>
  <c r="AW449" i="6"/>
  <c r="AW450" i="6"/>
  <c r="AW452" i="6"/>
  <c r="AW454" i="6"/>
  <c r="BA472" i="6"/>
  <c r="BA470" i="6"/>
  <c r="BA469" i="6"/>
  <c r="BA474" i="6"/>
  <c r="BA471" i="6"/>
  <c r="BA473" i="6"/>
  <c r="AB422" i="6"/>
  <c r="AB421" i="6"/>
  <c r="AB419" i="6"/>
  <c r="AB424" i="6"/>
  <c r="AB420" i="6"/>
  <c r="AB423" i="6"/>
  <c r="AS444" i="6"/>
  <c r="AS439" i="6"/>
  <c r="AS442" i="6"/>
  <c r="AS440" i="6"/>
  <c r="AS443" i="6"/>
  <c r="AS441" i="6"/>
  <c r="P413" i="6"/>
  <c r="P409" i="6"/>
  <c r="P411" i="6"/>
  <c r="P410" i="6"/>
  <c r="P414" i="6"/>
  <c r="P412" i="6"/>
  <c r="P439" i="6"/>
  <c r="P441" i="6"/>
  <c r="P442" i="6"/>
  <c r="P440" i="6"/>
  <c r="P443" i="6"/>
  <c r="P444" i="6"/>
  <c r="I454" i="6"/>
  <c r="I450" i="6"/>
  <c r="I452" i="6"/>
  <c r="I449" i="6"/>
  <c r="I451" i="6"/>
  <c r="I453" i="6"/>
  <c r="G469" i="6"/>
  <c r="G471" i="6"/>
  <c r="G470" i="6"/>
  <c r="G474" i="6"/>
  <c r="G473" i="6"/>
  <c r="G472" i="6"/>
  <c r="AA410" i="6"/>
  <c r="AA411" i="6"/>
  <c r="AA413" i="6"/>
  <c r="AA414" i="6"/>
  <c r="AA412" i="6"/>
  <c r="AA409" i="6"/>
  <c r="AA431" i="6"/>
  <c r="AA429" i="6"/>
  <c r="AA433" i="6"/>
  <c r="AA430" i="6"/>
  <c r="AA432" i="6"/>
  <c r="AA434" i="6"/>
  <c r="BC529" i="6"/>
  <c r="BC530" i="6"/>
  <c r="BC533" i="6"/>
  <c r="BC532" i="6"/>
  <c r="BC534" i="6"/>
  <c r="BC531" i="6"/>
  <c r="BC519" i="6"/>
  <c r="BC520" i="6"/>
  <c r="BC521" i="6"/>
  <c r="BC524" i="6"/>
  <c r="BC522" i="6"/>
  <c r="BC523" i="6"/>
  <c r="BC510" i="6"/>
  <c r="BC511" i="6"/>
  <c r="BC513" i="6"/>
  <c r="BC512" i="6"/>
  <c r="BC514" i="6"/>
  <c r="BC509" i="6"/>
  <c r="BC499" i="6"/>
  <c r="BC500" i="6"/>
  <c r="BC503" i="6"/>
  <c r="BC502" i="6"/>
  <c r="BC504" i="6"/>
  <c r="BC501" i="6"/>
  <c r="BC489" i="6"/>
  <c r="BC491" i="6"/>
  <c r="BC493" i="6"/>
  <c r="BC492" i="6"/>
  <c r="BC494" i="6"/>
  <c r="BC490" i="6"/>
  <c r="BC479" i="6"/>
  <c r="BC480" i="6"/>
  <c r="BC483" i="6"/>
  <c r="BC482" i="6"/>
  <c r="BC484" i="6"/>
  <c r="BC481" i="6"/>
  <c r="S443" i="6"/>
  <c r="S440" i="6"/>
  <c r="S444" i="6"/>
  <c r="S442" i="6"/>
  <c r="S441" i="6"/>
  <c r="S439" i="6"/>
  <c r="Q451" i="6"/>
  <c r="Q452" i="6"/>
  <c r="Q453" i="6"/>
  <c r="Q454" i="6"/>
  <c r="Q449" i="6"/>
  <c r="Q450" i="6"/>
  <c r="AH453" i="6"/>
  <c r="AH451" i="6"/>
  <c r="AH449" i="6"/>
  <c r="AH454" i="6"/>
  <c r="AH450" i="6"/>
  <c r="AH452" i="6"/>
  <c r="AH471" i="6"/>
  <c r="AH474" i="6"/>
  <c r="AH472" i="6"/>
  <c r="AH470" i="6"/>
  <c r="AH473" i="6"/>
  <c r="AH469" i="6"/>
  <c r="BB413" i="6"/>
  <c r="BB411" i="6"/>
  <c r="BB409" i="6"/>
  <c r="BB412" i="6"/>
  <c r="BB410" i="6"/>
  <c r="BB414" i="6"/>
  <c r="L422" i="6"/>
  <c r="L421" i="6"/>
  <c r="L419" i="6"/>
  <c r="L423" i="6"/>
  <c r="L424" i="6"/>
  <c r="L420" i="6"/>
  <c r="BQ441" i="6"/>
  <c r="BQ443" i="6"/>
  <c r="BQ442" i="6"/>
  <c r="BQ444" i="6"/>
  <c r="BQ440" i="6"/>
  <c r="BQ439" i="6"/>
  <c r="L471" i="6"/>
  <c r="L474" i="6"/>
  <c r="L472" i="6"/>
  <c r="L469" i="6"/>
  <c r="L470" i="6"/>
  <c r="L473" i="6"/>
  <c r="AN440" i="6"/>
  <c r="AN444" i="6"/>
  <c r="AN439" i="6"/>
  <c r="AN441" i="6"/>
  <c r="AN442" i="6"/>
  <c r="AN443" i="6"/>
  <c r="AZ471" i="6"/>
  <c r="AZ474" i="6"/>
  <c r="AZ472" i="6"/>
  <c r="AZ470" i="6"/>
  <c r="AZ473" i="6"/>
  <c r="AZ469" i="6"/>
  <c r="AV461" i="6"/>
  <c r="AV464" i="6"/>
  <c r="AV462" i="6"/>
  <c r="AV460" i="6"/>
  <c r="AV463" i="6"/>
  <c r="AV459" i="6"/>
  <c r="G411" i="6"/>
  <c r="G414" i="6"/>
  <c r="G413" i="6"/>
  <c r="G409" i="6"/>
  <c r="G410" i="6"/>
  <c r="G412" i="6"/>
  <c r="BO422" i="6"/>
  <c r="BO421" i="6"/>
  <c r="BO419" i="6"/>
  <c r="BO424" i="6"/>
  <c r="BO420" i="6"/>
  <c r="BO423" i="6"/>
  <c r="AG433" i="6"/>
  <c r="AG429" i="6"/>
  <c r="AG434" i="6"/>
  <c r="AG431" i="6"/>
  <c r="AG430" i="6"/>
  <c r="AG432" i="6"/>
  <c r="BO531" i="6"/>
  <c r="BO532" i="6"/>
  <c r="BO530" i="6"/>
  <c r="BO529" i="6"/>
  <c r="BO534" i="6"/>
  <c r="BO533" i="6"/>
  <c r="BO520" i="6"/>
  <c r="BO522" i="6"/>
  <c r="BO521" i="6"/>
  <c r="BO519" i="6"/>
  <c r="BO524" i="6"/>
  <c r="BO523" i="6"/>
  <c r="BO511" i="6"/>
  <c r="BO509" i="6"/>
  <c r="BO514" i="6"/>
  <c r="BO510" i="6"/>
  <c r="BO513" i="6"/>
  <c r="BO512" i="6"/>
  <c r="BO500" i="6"/>
  <c r="BO501" i="6"/>
  <c r="BO504" i="6"/>
  <c r="BO499" i="6"/>
  <c r="BO503" i="6"/>
  <c r="BO502" i="6"/>
  <c r="BO490" i="6"/>
  <c r="BO492" i="6"/>
  <c r="BO494" i="6"/>
  <c r="BO489" i="6"/>
  <c r="BO491" i="6"/>
  <c r="BO493" i="6"/>
  <c r="BO482" i="6"/>
  <c r="BO483" i="6"/>
  <c r="BO481" i="6"/>
  <c r="BO484" i="6"/>
  <c r="BO479" i="6"/>
  <c r="BO480" i="6"/>
  <c r="AM442" i="6"/>
  <c r="AM440" i="6"/>
  <c r="AM443" i="6"/>
  <c r="AM441" i="6"/>
  <c r="AM439" i="6"/>
  <c r="AM444" i="6"/>
  <c r="AO412" i="6"/>
  <c r="AO409" i="6"/>
  <c r="AO411" i="6"/>
  <c r="AO413" i="6"/>
  <c r="AO410" i="6"/>
  <c r="AO414" i="6"/>
  <c r="Q372" i="6"/>
  <c r="J439" i="6"/>
  <c r="J441" i="6"/>
  <c r="J443" i="6"/>
  <c r="J444" i="6"/>
  <c r="J442" i="6"/>
  <c r="J440" i="6"/>
  <c r="N454" i="6"/>
  <c r="N452" i="6"/>
  <c r="N451" i="6"/>
  <c r="N449" i="6"/>
  <c r="N450" i="6"/>
  <c r="N453" i="6"/>
  <c r="N470" i="6"/>
  <c r="N469" i="6"/>
  <c r="N474" i="6"/>
  <c r="N472" i="6"/>
  <c r="N473" i="6"/>
  <c r="N471" i="6"/>
  <c r="AH412" i="6"/>
  <c r="AH414" i="6"/>
  <c r="AH411" i="6"/>
  <c r="AH409" i="6"/>
  <c r="AH410" i="6"/>
  <c r="AH413" i="6"/>
  <c r="O432" i="6"/>
  <c r="O430" i="6"/>
  <c r="O429" i="6"/>
  <c r="O434" i="6"/>
  <c r="O431" i="6"/>
  <c r="O433" i="6"/>
  <c r="E436" i="6"/>
  <c r="O438" i="6"/>
  <c r="BC461" i="6"/>
  <c r="BC464" i="6"/>
  <c r="BC462" i="6"/>
  <c r="BC459" i="6"/>
  <c r="BC463" i="6"/>
  <c r="BC460" i="6"/>
  <c r="AX442" i="6"/>
  <c r="AX443" i="6"/>
  <c r="AX440" i="6"/>
  <c r="AX439" i="6"/>
  <c r="AX444" i="6"/>
  <c r="AX441" i="6"/>
  <c r="Y452" i="6"/>
  <c r="Y453" i="6"/>
  <c r="Y451" i="6"/>
  <c r="Y450" i="6"/>
  <c r="Y454" i="6"/>
  <c r="Y449" i="6"/>
  <c r="X474" i="6"/>
  <c r="X472" i="6"/>
  <c r="X471" i="6"/>
  <c r="X469" i="6"/>
  <c r="X470" i="6"/>
  <c r="X473" i="6"/>
  <c r="AL450" i="6"/>
  <c r="AL453" i="6"/>
  <c r="AL454" i="6"/>
  <c r="AL452" i="6"/>
  <c r="AL451" i="6"/>
  <c r="AL449" i="6"/>
  <c r="AK464" i="6"/>
  <c r="AK462" i="6"/>
  <c r="AK463" i="6"/>
  <c r="AK461" i="6"/>
  <c r="AK460" i="6"/>
  <c r="AK459" i="6"/>
  <c r="AL473" i="6"/>
  <c r="AL471" i="6"/>
  <c r="AL470" i="6"/>
  <c r="AL469" i="6"/>
  <c r="AL474" i="6"/>
  <c r="AL472" i="6"/>
  <c r="BJ473" i="6"/>
  <c r="BJ471" i="6"/>
  <c r="BJ470" i="6"/>
  <c r="BJ469" i="6"/>
  <c r="BJ474" i="6"/>
  <c r="BJ472" i="6"/>
  <c r="BF410" i="6"/>
  <c r="BF413" i="6"/>
  <c r="BF412" i="6"/>
  <c r="BF414" i="6"/>
  <c r="BF409" i="6"/>
  <c r="BF411" i="6"/>
  <c r="BE424" i="6"/>
  <c r="BE422" i="6"/>
  <c r="BE423" i="6"/>
  <c r="BE420" i="6"/>
  <c r="BE421" i="6"/>
  <c r="BE419" i="6"/>
  <c r="P424" i="6"/>
  <c r="P422" i="6"/>
  <c r="P423" i="6"/>
  <c r="P420" i="6"/>
  <c r="P419" i="6"/>
  <c r="P421" i="6"/>
  <c r="BA431" i="6"/>
  <c r="BA433" i="6"/>
  <c r="BA432" i="6"/>
  <c r="BA430" i="6"/>
  <c r="BA434" i="6"/>
  <c r="BA429" i="6"/>
  <c r="BG442" i="6"/>
  <c r="BG441" i="6"/>
  <c r="BG443" i="6"/>
  <c r="BG444" i="6"/>
  <c r="BG440" i="6"/>
  <c r="BG439" i="6"/>
  <c r="AF449" i="6"/>
  <c r="AF453" i="6"/>
  <c r="AF451" i="6"/>
  <c r="AF452" i="6"/>
  <c r="AF454" i="6"/>
  <c r="AF450" i="6"/>
  <c r="AG472" i="6"/>
  <c r="AG470" i="6"/>
  <c r="AG471" i="6"/>
  <c r="AG474" i="6"/>
  <c r="AG473" i="6"/>
  <c r="AG469" i="6"/>
  <c r="AD440" i="6"/>
  <c r="AD444" i="6"/>
  <c r="AD439" i="6"/>
  <c r="AD442" i="6"/>
  <c r="AD443" i="6"/>
  <c r="AD441" i="6"/>
  <c r="BM451" i="6"/>
  <c r="BM449" i="6"/>
  <c r="BM453" i="6"/>
  <c r="BM452" i="6"/>
  <c r="BM454" i="6"/>
  <c r="BM450" i="6"/>
  <c r="AB411" i="6"/>
  <c r="AB409" i="6"/>
  <c r="AB413" i="6"/>
  <c r="AB414" i="6"/>
  <c r="AB412" i="6"/>
  <c r="AB410" i="6"/>
  <c r="BF451" i="6"/>
  <c r="BF449" i="6"/>
  <c r="BF453" i="6"/>
  <c r="BF452" i="6"/>
  <c r="BF454" i="6"/>
  <c r="BF450" i="6"/>
  <c r="BE460" i="6"/>
  <c r="BE459" i="6"/>
  <c r="BE462" i="6"/>
  <c r="BE461" i="6"/>
  <c r="BE463" i="6"/>
  <c r="BE464" i="6"/>
  <c r="BQ470" i="6"/>
  <c r="BQ469" i="6"/>
  <c r="BQ472" i="6"/>
  <c r="BQ471" i="6"/>
  <c r="BQ473" i="6"/>
  <c r="BQ474" i="6"/>
  <c r="R410" i="6"/>
  <c r="R413" i="6"/>
  <c r="R414" i="6"/>
  <c r="R409" i="6"/>
  <c r="R411" i="6"/>
  <c r="R412" i="6"/>
  <c r="M420" i="6"/>
  <c r="M422" i="6"/>
  <c r="M421" i="6"/>
  <c r="M424" i="6"/>
  <c r="M423" i="6"/>
  <c r="M419" i="6"/>
  <c r="BC429" i="6"/>
  <c r="BC434" i="6"/>
  <c r="BC433" i="6"/>
  <c r="BC430" i="6"/>
  <c r="BC432" i="6"/>
  <c r="BC431" i="6"/>
  <c r="AJ421" i="6"/>
  <c r="AJ419" i="6"/>
  <c r="AJ422" i="6"/>
  <c r="AJ420" i="6"/>
  <c r="AJ423" i="6"/>
  <c r="AJ424" i="6"/>
  <c r="M434" i="6"/>
  <c r="M432" i="6"/>
  <c r="M431" i="6"/>
  <c r="M433" i="6"/>
  <c r="M430" i="6"/>
  <c r="M429" i="6"/>
  <c r="AK510" i="6"/>
  <c r="AK509" i="6"/>
  <c r="AK511" i="6"/>
  <c r="AK513" i="6"/>
  <c r="AK514" i="6"/>
  <c r="AK512" i="6"/>
  <c r="F482" i="6"/>
  <c r="E482" i="6"/>
  <c r="K97" i="18"/>
  <c r="F484" i="6"/>
  <c r="F481" i="6"/>
  <c r="F483" i="6"/>
  <c r="F479" i="6"/>
  <c r="F480" i="6"/>
  <c r="F529" i="6"/>
  <c r="E529" i="6"/>
  <c r="P94" i="18"/>
  <c r="F530" i="6"/>
  <c r="F532" i="6"/>
  <c r="F534" i="6"/>
  <c r="F531" i="6"/>
  <c r="F533" i="6"/>
  <c r="BA397" i="6"/>
  <c r="BA400" i="6"/>
  <c r="BA382" i="6"/>
  <c r="BA391" i="6"/>
  <c r="BA379" i="6"/>
  <c r="BA388" i="6"/>
  <c r="BM400" i="6"/>
  <c r="BM382" i="6"/>
  <c r="BM391" i="6"/>
  <c r="BM379" i="6"/>
  <c r="BM397" i="6"/>
  <c r="BM388" i="6"/>
  <c r="F503" i="6"/>
  <c r="E503" i="6"/>
  <c r="M98" i="18"/>
  <c r="F501" i="6"/>
  <c r="F504" i="6"/>
  <c r="F499" i="6"/>
  <c r="F500" i="6"/>
  <c r="E500" i="6"/>
  <c r="M95" i="18"/>
  <c r="F502" i="6"/>
  <c r="K379" i="6"/>
  <c r="K382" i="6"/>
  <c r="K388" i="6"/>
  <c r="K400" i="6"/>
  <c r="K391" i="6"/>
  <c r="K397" i="6"/>
  <c r="AI490" i="6"/>
  <c r="AI493" i="6"/>
  <c r="AI494" i="6"/>
  <c r="AI491" i="6"/>
  <c r="AI489" i="6"/>
  <c r="AI492" i="6"/>
  <c r="I91" i="18"/>
  <c r="E457" i="6"/>
  <c r="O441" i="6"/>
  <c r="O443" i="6"/>
  <c r="O444" i="6"/>
  <c r="O439" i="6"/>
  <c r="O442" i="6"/>
  <c r="O440" i="6"/>
  <c r="E437" i="6"/>
  <c r="G91" i="18"/>
  <c r="AD382" i="6"/>
  <c r="AD400" i="6"/>
  <c r="AD379" i="6"/>
  <c r="AD388" i="6"/>
  <c r="AD397" i="6"/>
  <c r="AD391" i="6"/>
  <c r="AL379" i="6"/>
  <c r="AL382" i="6"/>
  <c r="AL388" i="6"/>
  <c r="AL391" i="6"/>
  <c r="AL400" i="6"/>
  <c r="AL397" i="6"/>
  <c r="AW391" i="6"/>
  <c r="AW397" i="6"/>
  <c r="AW379" i="6"/>
  <c r="AW382" i="6"/>
  <c r="AW388" i="6"/>
  <c r="AW400" i="6"/>
  <c r="BI391" i="6"/>
  <c r="BI379" i="6"/>
  <c r="BI397" i="6"/>
  <c r="BI382" i="6"/>
  <c r="BI400" i="6"/>
  <c r="BI388" i="6"/>
  <c r="P379" i="6"/>
  <c r="P388" i="6"/>
  <c r="P391" i="6"/>
  <c r="P397" i="6"/>
  <c r="P382" i="6"/>
  <c r="P400" i="6"/>
  <c r="H397" i="6"/>
  <c r="H400" i="6"/>
  <c r="H391" i="6"/>
  <c r="H382" i="6"/>
  <c r="H379" i="6"/>
  <c r="H388" i="6"/>
  <c r="AH379" i="6"/>
  <c r="AH388" i="6"/>
  <c r="AH397" i="6"/>
  <c r="AH400" i="6"/>
  <c r="AH391" i="6"/>
  <c r="AH382" i="6"/>
  <c r="AM391" i="6"/>
  <c r="AM397" i="6"/>
  <c r="AM379" i="6"/>
  <c r="AM382" i="6"/>
  <c r="AM388" i="6"/>
  <c r="AM400" i="6"/>
  <c r="F429" i="6"/>
  <c r="F430" i="6"/>
  <c r="F431" i="6"/>
  <c r="E431" i="6"/>
  <c r="F96" i="18"/>
  <c r="F432" i="6"/>
  <c r="F433" i="6"/>
  <c r="F434" i="6"/>
  <c r="BO397" i="6"/>
  <c r="BO382" i="6"/>
  <c r="BO388" i="6"/>
  <c r="BO400" i="6"/>
  <c r="BO379" i="6"/>
  <c r="BO391" i="6"/>
  <c r="AG400" i="6"/>
  <c r="AG391" i="6"/>
  <c r="AG397" i="6"/>
  <c r="AG379" i="6"/>
  <c r="AG382" i="6"/>
  <c r="AG388" i="6"/>
  <c r="AP382" i="6"/>
  <c r="AP397" i="6"/>
  <c r="AP379" i="6"/>
  <c r="AP391" i="6"/>
  <c r="AP388" i="6"/>
  <c r="AP400" i="6"/>
  <c r="AU388" i="6"/>
  <c r="AU400" i="6"/>
  <c r="AU391" i="6"/>
  <c r="AU397" i="6"/>
  <c r="AU379" i="6"/>
  <c r="AU382" i="6"/>
  <c r="F460" i="6"/>
  <c r="F463" i="6"/>
  <c r="F464" i="6"/>
  <c r="E464" i="6"/>
  <c r="I99" i="18"/>
  <c r="F459" i="6"/>
  <c r="F461" i="6"/>
  <c r="E461" i="6"/>
  <c r="I96" i="18"/>
  <c r="F462" i="6"/>
  <c r="U388" i="6"/>
  <c r="U400" i="6"/>
  <c r="U391" i="6"/>
  <c r="U397" i="6"/>
  <c r="U379" i="6"/>
  <c r="U382" i="6"/>
  <c r="T379" i="6"/>
  <c r="T391" i="6"/>
  <c r="T400" i="6"/>
  <c r="T388" i="6"/>
  <c r="T382" i="6"/>
  <c r="T397" i="6"/>
  <c r="V400" i="6"/>
  <c r="V397" i="6"/>
  <c r="V379" i="6"/>
  <c r="V382" i="6"/>
  <c r="V388" i="6"/>
  <c r="V391" i="6"/>
  <c r="H91" i="18"/>
  <c r="E447" i="6"/>
  <c r="O379" i="6"/>
  <c r="O388" i="6"/>
  <c r="O397" i="6"/>
  <c r="O400" i="6"/>
  <c r="O382" i="6"/>
  <c r="O391" i="6"/>
  <c r="BH532" i="6"/>
  <c r="E532" i="6"/>
  <c r="P97" i="18"/>
  <c r="BH529" i="6"/>
  <c r="BH530" i="6"/>
  <c r="BH533" i="6"/>
  <c r="BH531" i="6"/>
  <c r="BH534" i="6"/>
  <c r="F489" i="6"/>
  <c r="F493" i="6"/>
  <c r="E493" i="6"/>
  <c r="L98" i="18"/>
  <c r="F494" i="6"/>
  <c r="E494" i="6"/>
  <c r="L99" i="18"/>
  <c r="F490" i="6"/>
  <c r="F492" i="6"/>
  <c r="E492" i="6"/>
  <c r="L97" i="18"/>
  <c r="F491" i="6"/>
  <c r="E491" i="6"/>
  <c r="L96" i="18"/>
  <c r="BL382" i="6"/>
  <c r="BL397" i="6"/>
  <c r="BL388" i="6"/>
  <c r="BL400" i="6"/>
  <c r="BL379" i="6"/>
  <c r="BL391" i="6"/>
  <c r="F472" i="6"/>
  <c r="F471" i="6"/>
  <c r="F469" i="6"/>
  <c r="E469" i="6"/>
  <c r="J94" i="18"/>
  <c r="F473" i="6"/>
  <c r="F474" i="6"/>
  <c r="E474" i="6"/>
  <c r="J99" i="18"/>
  <c r="F470" i="6"/>
  <c r="AJ499" i="6"/>
  <c r="E499" i="6"/>
  <c r="M94" i="18"/>
  <c r="AJ503" i="6"/>
  <c r="AJ501" i="6"/>
  <c r="AJ502" i="6"/>
  <c r="E502" i="6"/>
  <c r="M97" i="18"/>
  <c r="AJ504" i="6"/>
  <c r="AJ500" i="6"/>
  <c r="BQ380" i="6"/>
  <c r="BQ384" i="6"/>
  <c r="BQ383" i="6"/>
  <c r="BQ381" i="6"/>
  <c r="BD379" i="6"/>
  <c r="BD391" i="6"/>
  <c r="BD400" i="6"/>
  <c r="BD397" i="6"/>
  <c r="BD388" i="6"/>
  <c r="BD382" i="6"/>
  <c r="L400" i="6"/>
  <c r="L388" i="6"/>
  <c r="L382" i="6"/>
  <c r="L397" i="6"/>
  <c r="L379" i="6"/>
  <c r="L391" i="6"/>
  <c r="F443" i="6"/>
  <c r="E443" i="6"/>
  <c r="G98" i="18"/>
  <c r="F442" i="6"/>
  <c r="F441" i="6"/>
  <c r="E441" i="6"/>
  <c r="G96" i="18"/>
  <c r="F439" i="6"/>
  <c r="E439" i="6"/>
  <c r="G94" i="18"/>
  <c r="F440" i="6"/>
  <c r="E440" i="6"/>
  <c r="G95" i="18"/>
  <c r="F444" i="6"/>
  <c r="E477" i="6"/>
  <c r="K91" i="18"/>
  <c r="AS388" i="6"/>
  <c r="AS397" i="6"/>
  <c r="AS400" i="6"/>
  <c r="AS382" i="6"/>
  <c r="AS391" i="6"/>
  <c r="AS379" i="6"/>
  <c r="AI379" i="6"/>
  <c r="AI391" i="6"/>
  <c r="AI388" i="6"/>
  <c r="AI382" i="6"/>
  <c r="AI400" i="6"/>
  <c r="AI397" i="6"/>
  <c r="BK397" i="6"/>
  <c r="BK382" i="6"/>
  <c r="BK400" i="6"/>
  <c r="BK388" i="6"/>
  <c r="BK379" i="6"/>
  <c r="BK391" i="6"/>
  <c r="E497" i="6"/>
  <c r="M91" i="18"/>
  <c r="BQ398" i="6"/>
  <c r="BQ401" i="6"/>
  <c r="BQ399" i="6"/>
  <c r="BQ402" i="6"/>
  <c r="BG389" i="6"/>
  <c r="BG392" i="6"/>
  <c r="BG390" i="6"/>
  <c r="BG393" i="6"/>
  <c r="AE470" i="6"/>
  <c r="AE469" i="6"/>
  <c r="AE472" i="6"/>
  <c r="AE474" i="6"/>
  <c r="AE473" i="6"/>
  <c r="AE471" i="6"/>
  <c r="AZ391" i="6"/>
  <c r="AZ388" i="6"/>
  <c r="AZ397" i="6"/>
  <c r="AZ400" i="6"/>
  <c r="AZ379" i="6"/>
  <c r="AZ382" i="6"/>
  <c r="F388" i="6"/>
  <c r="F400" i="6"/>
  <c r="F391" i="6"/>
  <c r="F397" i="6"/>
  <c r="F379" i="6"/>
  <c r="F382" i="6"/>
  <c r="O91" i="18"/>
  <c r="E517" i="6"/>
  <c r="AA388" i="6"/>
  <c r="AA400" i="6"/>
  <c r="AA391" i="6"/>
  <c r="AA397" i="6"/>
  <c r="AA379" i="6"/>
  <c r="AA382" i="6"/>
  <c r="R397" i="6"/>
  <c r="R400" i="6"/>
  <c r="R391" i="6"/>
  <c r="R382" i="6"/>
  <c r="R379" i="6"/>
  <c r="R388" i="6"/>
  <c r="N91" i="18"/>
  <c r="E507" i="6"/>
  <c r="E467" i="6"/>
  <c r="J91" i="18"/>
  <c r="N388" i="6"/>
  <c r="N391" i="6"/>
  <c r="N400" i="6"/>
  <c r="N397" i="6"/>
  <c r="N379" i="6"/>
  <c r="N382" i="6"/>
  <c r="G379" i="6"/>
  <c r="G400" i="6"/>
  <c r="G391" i="6"/>
  <c r="G397" i="6"/>
  <c r="G388" i="6"/>
  <c r="G382" i="6"/>
  <c r="AK391" i="6"/>
  <c r="AK397" i="6"/>
  <c r="AK379" i="6"/>
  <c r="AK382" i="6"/>
  <c r="AK388" i="6"/>
  <c r="AK400" i="6"/>
  <c r="AQ397" i="6"/>
  <c r="AQ400" i="6"/>
  <c r="AQ382" i="6"/>
  <c r="AQ391" i="6"/>
  <c r="AQ379" i="6"/>
  <c r="AQ388" i="6"/>
  <c r="AF391" i="6"/>
  <c r="AF397" i="6"/>
  <c r="AF382" i="6"/>
  <c r="AF400" i="6"/>
  <c r="AF379" i="6"/>
  <c r="AF388" i="6"/>
  <c r="E91" i="18"/>
  <c r="E417" i="6"/>
  <c r="E407" i="6"/>
  <c r="D91" i="18"/>
  <c r="AT382" i="6"/>
  <c r="AT400" i="6"/>
  <c r="AT379" i="6"/>
  <c r="AT388" i="6"/>
  <c r="AT397" i="6"/>
  <c r="AT391" i="6"/>
  <c r="BN397" i="6"/>
  <c r="BN400" i="6"/>
  <c r="BN382" i="6"/>
  <c r="BN388" i="6"/>
  <c r="BN379" i="6"/>
  <c r="BN391" i="6"/>
  <c r="BH400" i="6"/>
  <c r="BH382" i="6"/>
  <c r="BH388" i="6"/>
  <c r="BH397" i="6"/>
  <c r="BH379" i="6"/>
  <c r="BH391" i="6"/>
  <c r="AJ379" i="6"/>
  <c r="AJ391" i="6"/>
  <c r="AJ400" i="6"/>
  <c r="AJ388" i="6"/>
  <c r="AJ382" i="6"/>
  <c r="AJ397" i="6"/>
  <c r="L91" i="18"/>
  <c r="E487" i="6"/>
  <c r="AC463" i="6"/>
  <c r="AC461" i="6"/>
  <c r="AC460" i="6"/>
  <c r="AC459" i="6"/>
  <c r="AC462" i="6"/>
  <c r="AC464" i="6"/>
  <c r="AL520" i="6"/>
  <c r="AL522" i="6"/>
  <c r="AL523" i="6"/>
  <c r="AL524" i="6"/>
  <c r="AL521" i="6"/>
  <c r="AL519" i="6"/>
  <c r="S400" i="6"/>
  <c r="S391" i="6"/>
  <c r="S397" i="6"/>
  <c r="S379" i="6"/>
  <c r="S382" i="6"/>
  <c r="S388" i="6"/>
  <c r="F449" i="6"/>
  <c r="E449" i="6"/>
  <c r="H94" i="18"/>
  <c r="F451" i="6"/>
  <c r="F452" i="6"/>
  <c r="F454" i="6"/>
  <c r="F450" i="6"/>
  <c r="E450" i="6"/>
  <c r="H95" i="18"/>
  <c r="F453" i="6"/>
  <c r="BJ382" i="6"/>
  <c r="BJ391" i="6"/>
  <c r="BJ379" i="6"/>
  <c r="BJ397" i="6"/>
  <c r="BJ388" i="6"/>
  <c r="BJ400" i="6"/>
  <c r="AO388" i="6"/>
  <c r="AO400" i="6"/>
  <c r="AO391" i="6"/>
  <c r="AO397" i="6"/>
  <c r="AO379" i="6"/>
  <c r="AO382" i="6"/>
  <c r="Z388" i="6"/>
  <c r="Z400" i="6"/>
  <c r="Z382" i="6"/>
  <c r="Z397" i="6"/>
  <c r="Z379" i="6"/>
  <c r="Z391" i="6"/>
  <c r="BC391" i="6"/>
  <c r="BC397" i="6"/>
  <c r="BC379" i="6"/>
  <c r="BC382" i="6"/>
  <c r="BC388" i="6"/>
  <c r="BC400" i="6"/>
  <c r="AH483" i="6"/>
  <c r="AH482" i="6"/>
  <c r="AH480" i="6"/>
  <c r="AH481" i="6"/>
  <c r="AH479" i="6"/>
  <c r="AH484" i="6"/>
  <c r="X400" i="6"/>
  <c r="X397" i="6"/>
  <c r="X388" i="6"/>
  <c r="X382" i="6"/>
  <c r="X379" i="6"/>
  <c r="X391" i="6"/>
  <c r="BQ390" i="6"/>
  <c r="BQ392" i="6"/>
  <c r="BQ389" i="6"/>
  <c r="BQ393" i="6"/>
  <c r="I430" i="6"/>
  <c r="I431" i="6"/>
  <c r="I429" i="6"/>
  <c r="I434" i="6"/>
  <c r="I433" i="6"/>
  <c r="I432" i="6"/>
  <c r="BR388" i="6"/>
  <c r="BR391" i="6"/>
  <c r="BR400" i="6"/>
  <c r="BR382" i="6"/>
  <c r="BR397" i="6"/>
  <c r="BR379" i="6"/>
  <c r="BF382" i="6"/>
  <c r="BF388" i="6"/>
  <c r="BF379" i="6"/>
  <c r="BF391" i="6"/>
  <c r="BF397" i="6"/>
  <c r="BF400" i="6"/>
  <c r="AY379" i="6"/>
  <c r="AY388" i="6"/>
  <c r="AY397" i="6"/>
  <c r="AY400" i="6"/>
  <c r="AY382" i="6"/>
  <c r="AY391" i="6"/>
  <c r="M391" i="6"/>
  <c r="M397" i="6"/>
  <c r="M379" i="6"/>
  <c r="M382" i="6"/>
  <c r="M388" i="6"/>
  <c r="M400" i="6"/>
  <c r="AV400" i="6"/>
  <c r="AV397" i="6"/>
  <c r="AV388" i="6"/>
  <c r="AV382" i="6"/>
  <c r="AV379" i="6"/>
  <c r="AV391" i="6"/>
  <c r="W388" i="6"/>
  <c r="W400" i="6"/>
  <c r="W382" i="6"/>
  <c r="W397" i="6"/>
  <c r="W379" i="6"/>
  <c r="W391" i="6"/>
  <c r="Q379" i="6"/>
  <c r="Q388" i="6"/>
  <c r="Q397" i="6"/>
  <c r="Q400" i="6"/>
  <c r="Q382" i="6"/>
  <c r="Q391" i="6"/>
  <c r="F521" i="6"/>
  <c r="E521" i="6"/>
  <c r="O96" i="18"/>
  <c r="F522" i="6"/>
  <c r="E522" i="6"/>
  <c r="O97" i="18"/>
  <c r="F520" i="6"/>
  <c r="E520" i="6"/>
  <c r="O95" i="18"/>
  <c r="F524" i="6"/>
  <c r="E524" i="6"/>
  <c r="O99" i="18"/>
  <c r="F523" i="6"/>
  <c r="E523" i="6"/>
  <c r="O98" i="18"/>
  <c r="F519" i="6"/>
  <c r="E519" i="6"/>
  <c r="O94" i="18"/>
  <c r="F419" i="6"/>
  <c r="E419" i="6"/>
  <c r="E94" i="18"/>
  <c r="F423" i="6"/>
  <c r="F420" i="6"/>
  <c r="F424" i="6"/>
  <c r="F422" i="6"/>
  <c r="E422" i="6"/>
  <c r="E97" i="18"/>
  <c r="F421" i="6"/>
  <c r="F512" i="6"/>
  <c r="E512" i="6"/>
  <c r="N97" i="18"/>
  <c r="F509" i="6"/>
  <c r="E509" i="6"/>
  <c r="N94" i="18"/>
  <c r="F511" i="6"/>
  <c r="E511" i="6"/>
  <c r="N96" i="18"/>
  <c r="F513" i="6"/>
  <c r="E513" i="6"/>
  <c r="N98" i="18"/>
  <c r="F514" i="6"/>
  <c r="E514" i="6"/>
  <c r="N99" i="18"/>
  <c r="F510" i="6"/>
  <c r="E510" i="6"/>
  <c r="N95" i="18"/>
  <c r="G424" i="6"/>
  <c r="G421" i="6"/>
  <c r="G423" i="6"/>
  <c r="G422" i="6"/>
  <c r="G420" i="6"/>
  <c r="G419" i="6"/>
  <c r="F409" i="6"/>
  <c r="E409" i="6"/>
  <c r="D94" i="18"/>
  <c r="F414" i="6"/>
  <c r="E414" i="6"/>
  <c r="D99" i="18"/>
  <c r="F410" i="6"/>
  <c r="E410" i="6"/>
  <c r="D95" i="18"/>
  <c r="F411" i="6"/>
  <c r="E411" i="6"/>
  <c r="D96" i="18"/>
  <c r="F412" i="6"/>
  <c r="E412" i="6"/>
  <c r="D97" i="18"/>
  <c r="F413" i="6"/>
  <c r="E413" i="6"/>
  <c r="D98" i="18"/>
  <c r="BE379" i="6"/>
  <c r="BE382" i="6"/>
  <c r="BE400" i="6"/>
  <c r="BE391" i="6"/>
  <c r="BE388" i="6"/>
  <c r="BE397" i="6"/>
  <c r="J397" i="6"/>
  <c r="J400" i="6"/>
  <c r="J391" i="6"/>
  <c r="J382" i="6"/>
  <c r="J379" i="6"/>
  <c r="J388" i="6"/>
  <c r="I400" i="6"/>
  <c r="I397" i="6"/>
  <c r="I391" i="6"/>
  <c r="I382" i="6"/>
  <c r="I379" i="6"/>
  <c r="I388" i="6"/>
  <c r="BP388" i="6"/>
  <c r="BP397" i="6"/>
  <c r="BP400" i="6"/>
  <c r="BP391" i="6"/>
  <c r="BP379" i="6"/>
  <c r="BP382" i="6"/>
  <c r="AC379" i="6"/>
  <c r="AC388" i="6"/>
  <c r="AC397" i="6"/>
  <c r="AC400" i="6"/>
  <c r="AC382" i="6"/>
  <c r="AC391" i="6"/>
  <c r="Y388" i="6"/>
  <c r="Y400" i="6"/>
  <c r="Y391" i="6"/>
  <c r="Y397" i="6"/>
  <c r="Y379" i="6"/>
  <c r="Y382" i="6"/>
  <c r="BB388" i="6"/>
  <c r="BB397" i="6"/>
  <c r="BB391" i="6"/>
  <c r="BB382" i="6"/>
  <c r="BB400" i="6"/>
  <c r="BB379" i="6"/>
  <c r="AB452" i="6"/>
  <c r="AB453" i="6"/>
  <c r="AB454" i="6"/>
  <c r="AB449" i="6"/>
  <c r="AB451" i="6"/>
  <c r="AB450" i="6"/>
  <c r="AB400" i="6"/>
  <c r="AB388" i="6"/>
  <c r="AB382" i="6"/>
  <c r="AB397" i="6"/>
  <c r="AB379" i="6"/>
  <c r="AB391" i="6"/>
  <c r="AX388" i="6"/>
  <c r="AX400" i="6"/>
  <c r="AX382" i="6"/>
  <c r="AX397" i="6"/>
  <c r="AX379" i="6"/>
  <c r="AX391" i="6"/>
  <c r="AR397" i="6"/>
  <c r="AR400" i="6"/>
  <c r="AR379" i="6"/>
  <c r="AR382" i="6"/>
  <c r="AR391" i="6"/>
  <c r="AR388" i="6"/>
  <c r="P91" i="18"/>
  <c r="E527" i="6"/>
  <c r="AN379" i="6"/>
  <c r="AN391" i="6"/>
  <c r="AN400" i="6"/>
  <c r="AN397" i="6"/>
  <c r="AN388" i="6"/>
  <c r="AN382" i="6"/>
  <c r="AE388" i="6"/>
  <c r="AE400" i="6"/>
  <c r="AE391" i="6"/>
  <c r="AE397" i="6"/>
  <c r="AE379" i="6"/>
  <c r="AE382" i="6"/>
  <c r="F91" i="18"/>
  <c r="E427" i="6"/>
  <c r="BG381" i="6"/>
  <c r="BG383" i="6"/>
  <c r="BG380" i="6"/>
  <c r="BG384" i="6"/>
  <c r="BG402" i="6"/>
  <c r="BG399" i="6"/>
  <c r="BG401" i="6"/>
  <c r="BG398" i="6"/>
  <c r="AN390" i="6"/>
  <c r="AN389" i="6"/>
  <c r="AN392" i="6"/>
  <c r="AN393" i="6"/>
  <c r="AN381" i="6"/>
  <c r="AN384" i="6"/>
  <c r="AN383" i="6"/>
  <c r="AN380" i="6"/>
  <c r="AR402" i="6"/>
  <c r="AR399" i="6"/>
  <c r="AR401" i="6"/>
  <c r="AR398" i="6"/>
  <c r="AB381" i="6"/>
  <c r="AB380" i="6"/>
  <c r="AB383" i="6"/>
  <c r="AB384" i="6"/>
  <c r="BB390" i="6"/>
  <c r="BB392" i="6"/>
  <c r="BB389" i="6"/>
  <c r="BB393" i="6"/>
  <c r="AC383" i="6"/>
  <c r="AC384" i="6"/>
  <c r="AC381" i="6"/>
  <c r="AC380" i="6"/>
  <c r="I383" i="6"/>
  <c r="I380" i="6"/>
  <c r="I384" i="6"/>
  <c r="I381" i="6"/>
  <c r="BE393" i="6"/>
  <c r="BE389" i="6"/>
  <c r="BE392" i="6"/>
  <c r="BE390" i="6"/>
  <c r="BE380" i="6"/>
  <c r="BE383" i="6"/>
  <c r="BE384" i="6"/>
  <c r="BE381" i="6"/>
  <c r="Q384" i="6"/>
  <c r="Q381" i="6"/>
  <c r="Q380" i="6"/>
  <c r="Q383" i="6"/>
  <c r="AV384" i="6"/>
  <c r="AV380" i="6"/>
  <c r="AV383" i="6"/>
  <c r="AV381" i="6"/>
  <c r="M381" i="6"/>
  <c r="M383" i="6"/>
  <c r="M384" i="6"/>
  <c r="M380" i="6"/>
  <c r="AY380" i="6"/>
  <c r="AY381" i="6"/>
  <c r="AY384" i="6"/>
  <c r="AY383" i="6"/>
  <c r="BF383" i="6"/>
  <c r="BF380" i="6"/>
  <c r="BF381" i="6"/>
  <c r="BF384" i="6"/>
  <c r="BR399" i="6"/>
  <c r="BR398" i="6"/>
  <c r="BR402" i="6"/>
  <c r="BR401" i="6"/>
  <c r="BR393" i="6"/>
  <c r="BR389" i="6"/>
  <c r="BR392" i="6"/>
  <c r="BR390" i="6"/>
  <c r="X380" i="6"/>
  <c r="X383" i="6"/>
  <c r="X381" i="6"/>
  <c r="X384" i="6"/>
  <c r="BC392" i="6"/>
  <c r="BC390" i="6"/>
  <c r="BC393" i="6"/>
  <c r="BC389" i="6"/>
  <c r="AO380" i="6"/>
  <c r="AO381" i="6"/>
  <c r="AO383" i="6"/>
  <c r="AO384" i="6"/>
  <c r="AO390" i="6"/>
  <c r="AO389" i="6"/>
  <c r="AO392" i="6"/>
  <c r="AO393" i="6"/>
  <c r="BJ384" i="6"/>
  <c r="BJ381" i="6"/>
  <c r="BJ380" i="6"/>
  <c r="BJ383" i="6"/>
  <c r="S402" i="6"/>
  <c r="S399" i="6"/>
  <c r="S401" i="6"/>
  <c r="S398" i="6"/>
  <c r="BH383" i="6"/>
  <c r="BH384" i="6"/>
  <c r="BH381" i="6"/>
  <c r="BH380" i="6"/>
  <c r="AT399" i="6"/>
  <c r="AT398" i="6"/>
  <c r="AT401" i="6"/>
  <c r="AT402" i="6"/>
  <c r="AQ384" i="6"/>
  <c r="AQ383" i="6"/>
  <c r="AQ380" i="6"/>
  <c r="AQ381" i="6"/>
  <c r="AQ401" i="6"/>
  <c r="AQ398" i="6"/>
  <c r="AQ402" i="6"/>
  <c r="AQ399" i="6"/>
  <c r="AK384" i="6"/>
  <c r="AK381" i="6"/>
  <c r="AK380" i="6"/>
  <c r="AK383" i="6"/>
  <c r="G390" i="6"/>
  <c r="G389" i="6"/>
  <c r="G392" i="6"/>
  <c r="G393" i="6"/>
  <c r="G384" i="6"/>
  <c r="G383" i="6"/>
  <c r="G380" i="6"/>
  <c r="G381" i="6"/>
  <c r="E468" i="6"/>
  <c r="J93" i="18"/>
  <c r="J92" i="18"/>
  <c r="R380" i="6"/>
  <c r="R381" i="6"/>
  <c r="R384" i="6"/>
  <c r="R383" i="6"/>
  <c r="R398" i="6"/>
  <c r="R399" i="6"/>
  <c r="R401" i="6"/>
  <c r="R402" i="6"/>
  <c r="E391" i="6"/>
  <c r="M80" i="18"/>
  <c r="AZ381" i="6"/>
  <c r="AZ384" i="6"/>
  <c r="AZ380" i="6"/>
  <c r="AZ383" i="6"/>
  <c r="E498" i="6"/>
  <c r="M93" i="18"/>
  <c r="M92" i="18"/>
  <c r="AI383" i="6"/>
  <c r="AI381" i="6"/>
  <c r="AI380" i="6"/>
  <c r="AI384" i="6"/>
  <c r="K92" i="18"/>
  <c r="E478" i="6"/>
  <c r="K93" i="18"/>
  <c r="L380" i="6"/>
  <c r="L381" i="6"/>
  <c r="L384" i="6"/>
  <c r="L383" i="6"/>
  <c r="BL380" i="6"/>
  <c r="BL384" i="6"/>
  <c r="BL381" i="6"/>
  <c r="BL383" i="6"/>
  <c r="O401" i="6"/>
  <c r="O399" i="6"/>
  <c r="O402" i="6"/>
  <c r="O398" i="6"/>
  <c r="V383" i="6"/>
  <c r="V384" i="6"/>
  <c r="V380" i="6"/>
  <c r="V381" i="6"/>
  <c r="T384" i="6"/>
  <c r="T381" i="6"/>
  <c r="T383" i="6"/>
  <c r="T380" i="6"/>
  <c r="E460" i="6"/>
  <c r="I95" i="18"/>
  <c r="AP390" i="6"/>
  <c r="AP392" i="6"/>
  <c r="AP389" i="6"/>
  <c r="AP393" i="6"/>
  <c r="AG402" i="6"/>
  <c r="AG398" i="6"/>
  <c r="AG399" i="6"/>
  <c r="AG401" i="6"/>
  <c r="BO384" i="6"/>
  <c r="BO380" i="6"/>
  <c r="BO381" i="6"/>
  <c r="BO383" i="6"/>
  <c r="BO402" i="6"/>
  <c r="BO398" i="6"/>
  <c r="BO399" i="6"/>
  <c r="BO401" i="6"/>
  <c r="AM390" i="6"/>
  <c r="AM392" i="6"/>
  <c r="AM393" i="6"/>
  <c r="AM389" i="6"/>
  <c r="AH398" i="6"/>
  <c r="AH402" i="6"/>
  <c r="AH399" i="6"/>
  <c r="AH401" i="6"/>
  <c r="H381" i="6"/>
  <c r="H380" i="6"/>
  <c r="H384" i="6"/>
  <c r="H383" i="6"/>
  <c r="H399" i="6"/>
  <c r="H398" i="6"/>
  <c r="H401" i="6"/>
  <c r="H402" i="6"/>
  <c r="AW384" i="6"/>
  <c r="AW381" i="6"/>
  <c r="AW380" i="6"/>
  <c r="AW383" i="6"/>
  <c r="AL381" i="6"/>
  <c r="AL383" i="6"/>
  <c r="AL380" i="6"/>
  <c r="AL384" i="6"/>
  <c r="AD383" i="6"/>
  <c r="AD384" i="6"/>
  <c r="AD381" i="6"/>
  <c r="AD380" i="6"/>
  <c r="G92" i="18"/>
  <c r="E438" i="6"/>
  <c r="G93" i="18"/>
  <c r="K383" i="6"/>
  <c r="K384" i="6"/>
  <c r="K381" i="6"/>
  <c r="K380" i="6"/>
  <c r="E504" i="6"/>
  <c r="M99" i="18"/>
  <c r="BM402" i="6"/>
  <c r="BM398" i="6"/>
  <c r="BM399" i="6"/>
  <c r="BM401" i="6"/>
  <c r="E531" i="6"/>
  <c r="P96" i="18"/>
  <c r="AN398" i="6"/>
  <c r="AN399" i="6"/>
  <c r="AN401" i="6"/>
  <c r="AN402" i="6"/>
  <c r="P92" i="18"/>
  <c r="E528" i="6"/>
  <c r="P93" i="18"/>
  <c r="AB398" i="6"/>
  <c r="AB402" i="6"/>
  <c r="AB399" i="6"/>
  <c r="AB401" i="6"/>
  <c r="BP398" i="6"/>
  <c r="BP399" i="6"/>
  <c r="BP401" i="6"/>
  <c r="BP402" i="6"/>
  <c r="J390" i="6"/>
  <c r="J393" i="6"/>
  <c r="J392" i="6"/>
  <c r="J389" i="6"/>
  <c r="E424" i="6"/>
  <c r="E99" i="18"/>
  <c r="X91" i="18" a="1"/>
  <c r="M399" i="6"/>
  <c r="M401" i="6"/>
  <c r="M398" i="6"/>
  <c r="M402" i="6"/>
  <c r="BF390" i="6"/>
  <c r="BF389" i="6"/>
  <c r="BF393" i="6"/>
  <c r="BF392" i="6"/>
  <c r="AO398" i="6"/>
  <c r="AO399" i="6"/>
  <c r="AO401" i="6"/>
  <c r="AO402" i="6"/>
  <c r="E454" i="6"/>
  <c r="H99" i="18"/>
  <c r="S392" i="6"/>
  <c r="S393" i="6"/>
  <c r="S390" i="6"/>
  <c r="S389" i="6"/>
  <c r="AJ398" i="6"/>
  <c r="AJ401" i="6"/>
  <c r="AJ402" i="6"/>
  <c r="AJ399" i="6"/>
  <c r="BH399" i="6"/>
  <c r="BH398" i="6"/>
  <c r="BH402" i="6"/>
  <c r="BH401" i="6"/>
  <c r="AT389" i="6"/>
  <c r="AT393" i="6"/>
  <c r="AT390" i="6"/>
  <c r="AT392" i="6"/>
  <c r="S91" i="18" a="1"/>
  <c r="AF390" i="6"/>
  <c r="AF389" i="6"/>
  <c r="AF392" i="6"/>
  <c r="AF393" i="6"/>
  <c r="AF401" i="6"/>
  <c r="AF402" i="6"/>
  <c r="AF398" i="6"/>
  <c r="AF399" i="6"/>
  <c r="AK401" i="6"/>
  <c r="AK402" i="6"/>
  <c r="AK398" i="6"/>
  <c r="AK399" i="6"/>
  <c r="G399" i="6"/>
  <c r="G398" i="6"/>
  <c r="G401" i="6"/>
  <c r="G402" i="6"/>
  <c r="E508" i="6"/>
  <c r="N93" i="18"/>
  <c r="N92" i="18"/>
  <c r="E382" i="6"/>
  <c r="L80" i="18"/>
  <c r="E400" i="6"/>
  <c r="N80" i="18"/>
  <c r="AS384" i="6"/>
  <c r="AS381" i="6"/>
  <c r="AS380" i="6"/>
  <c r="AS383" i="6"/>
  <c r="AS401" i="6"/>
  <c r="AS402" i="6"/>
  <c r="AS399" i="6"/>
  <c r="AS398" i="6"/>
  <c r="E444" i="6"/>
  <c r="G99" i="18"/>
  <c r="E442" i="6"/>
  <c r="G97" i="18"/>
  <c r="L401" i="6"/>
  <c r="L399" i="6"/>
  <c r="L398" i="6"/>
  <c r="L402" i="6"/>
  <c r="E470" i="6"/>
  <c r="J95" i="18"/>
  <c r="E471" i="6"/>
  <c r="J96" i="18"/>
  <c r="O393" i="6"/>
  <c r="O389" i="6"/>
  <c r="O392" i="6"/>
  <c r="O390" i="6"/>
  <c r="V399" i="6"/>
  <c r="V401" i="6"/>
  <c r="V398" i="6"/>
  <c r="V402" i="6"/>
  <c r="T392" i="6"/>
  <c r="T393" i="6"/>
  <c r="T389" i="6"/>
  <c r="T390" i="6"/>
  <c r="E459" i="6"/>
  <c r="I94" i="18"/>
  <c r="AG392" i="6"/>
  <c r="AG393" i="6"/>
  <c r="AG389" i="6"/>
  <c r="AG390" i="6"/>
  <c r="E434" i="6"/>
  <c r="F99" i="18"/>
  <c r="E430" i="6"/>
  <c r="F95" i="18"/>
  <c r="AH393" i="6"/>
  <c r="AH389" i="6"/>
  <c r="AH390" i="6"/>
  <c r="AH392" i="6"/>
  <c r="P393" i="6"/>
  <c r="P390" i="6"/>
  <c r="P389" i="6"/>
  <c r="P392" i="6"/>
  <c r="AW398" i="6"/>
  <c r="AW399" i="6"/>
  <c r="AW401" i="6"/>
  <c r="AW402" i="6"/>
  <c r="E501" i="6"/>
  <c r="M96" i="18"/>
  <c r="BM381" i="6"/>
  <c r="BM383" i="6"/>
  <c r="BM380" i="6"/>
  <c r="BM384" i="6"/>
  <c r="BA393" i="6"/>
  <c r="BA389" i="6"/>
  <c r="BA390" i="6"/>
  <c r="BA392" i="6"/>
  <c r="E534" i="6"/>
  <c r="P99" i="18"/>
  <c r="E480" i="6"/>
  <c r="K95" i="18"/>
  <c r="E484" i="6"/>
  <c r="K99" i="18"/>
  <c r="AE381" i="6"/>
  <c r="AE383" i="6"/>
  <c r="AE380" i="6"/>
  <c r="AE384" i="6"/>
  <c r="AE389" i="6"/>
  <c r="AE393" i="6"/>
  <c r="AE392" i="6"/>
  <c r="AE390" i="6"/>
  <c r="AR383" i="6"/>
  <c r="AR381" i="6"/>
  <c r="AR380" i="6"/>
  <c r="AR384" i="6"/>
  <c r="AX383" i="6"/>
  <c r="AX381" i="6"/>
  <c r="AX384" i="6"/>
  <c r="AX380" i="6"/>
  <c r="AX389" i="6"/>
  <c r="AX390" i="6"/>
  <c r="AX393" i="6"/>
  <c r="AX392" i="6"/>
  <c r="Y380" i="6"/>
  <c r="Y384" i="6"/>
  <c r="Y381" i="6"/>
  <c r="Y383" i="6"/>
  <c r="Y389" i="6"/>
  <c r="Y390" i="6"/>
  <c r="Y392" i="6"/>
  <c r="Y393" i="6"/>
  <c r="AC402" i="6"/>
  <c r="AC401" i="6"/>
  <c r="AC398" i="6"/>
  <c r="AC399" i="6"/>
  <c r="BP381" i="6"/>
  <c r="BP380" i="6"/>
  <c r="BP384" i="6"/>
  <c r="BP383" i="6"/>
  <c r="BP393" i="6"/>
  <c r="BP392" i="6"/>
  <c r="BP390" i="6"/>
  <c r="BP389" i="6"/>
  <c r="J380" i="6"/>
  <c r="J381" i="6"/>
  <c r="J384" i="6"/>
  <c r="J383" i="6"/>
  <c r="J398" i="6"/>
  <c r="J401" i="6"/>
  <c r="J399" i="6"/>
  <c r="J402" i="6"/>
  <c r="E420" i="6"/>
  <c r="E95" i="18"/>
  <c r="Q399" i="6"/>
  <c r="Q402" i="6"/>
  <c r="Q401" i="6"/>
  <c r="Q398" i="6"/>
  <c r="W384" i="6"/>
  <c r="W380" i="6"/>
  <c r="W383" i="6"/>
  <c r="W381" i="6"/>
  <c r="W392" i="6"/>
  <c r="W389" i="6"/>
  <c r="W393" i="6"/>
  <c r="W390" i="6"/>
  <c r="AV393" i="6"/>
  <c r="AV389" i="6"/>
  <c r="AV390" i="6"/>
  <c r="AV392" i="6"/>
  <c r="M389" i="6"/>
  <c r="M392" i="6"/>
  <c r="M390" i="6"/>
  <c r="M393" i="6"/>
  <c r="AY402" i="6"/>
  <c r="AY398" i="6"/>
  <c r="AY399" i="6"/>
  <c r="AY401" i="6"/>
  <c r="BF399" i="6"/>
  <c r="BF398" i="6"/>
  <c r="BF401" i="6"/>
  <c r="BF402" i="6"/>
  <c r="X389" i="6"/>
  <c r="X393" i="6"/>
  <c r="X392" i="6"/>
  <c r="X390" i="6"/>
  <c r="BC384" i="6"/>
  <c r="BC380" i="6"/>
  <c r="BC381" i="6"/>
  <c r="BC383" i="6"/>
  <c r="Z383" i="6"/>
  <c r="Z380" i="6"/>
  <c r="Z381" i="6"/>
  <c r="Z384" i="6"/>
  <c r="Z393" i="6"/>
  <c r="Z392" i="6"/>
  <c r="Z390" i="6"/>
  <c r="Z389" i="6"/>
  <c r="BJ390" i="6"/>
  <c r="BJ389" i="6"/>
  <c r="BJ393" i="6"/>
  <c r="BJ392" i="6"/>
  <c r="E452" i="6"/>
  <c r="H97" i="18"/>
  <c r="AJ383" i="6"/>
  <c r="AJ380" i="6"/>
  <c r="AJ384" i="6"/>
  <c r="AJ381" i="6"/>
  <c r="BH390" i="6"/>
  <c r="BH389" i="6"/>
  <c r="BH393" i="6"/>
  <c r="BH392" i="6"/>
  <c r="BN380" i="6"/>
  <c r="BN384" i="6"/>
  <c r="BN383" i="6"/>
  <c r="BN381" i="6"/>
  <c r="BN402" i="6"/>
  <c r="BN401" i="6"/>
  <c r="BN399" i="6"/>
  <c r="BN398" i="6"/>
  <c r="AT380" i="6"/>
  <c r="AT384" i="6"/>
  <c r="AT383" i="6"/>
  <c r="AT381" i="6"/>
  <c r="E408" i="6"/>
  <c r="D93" i="18"/>
  <c r="D92" i="18"/>
  <c r="T91" i="18" a="1"/>
  <c r="AF380" i="6"/>
  <c r="AF383" i="6"/>
  <c r="AF384" i="6"/>
  <c r="AF381" i="6"/>
  <c r="AK392" i="6"/>
  <c r="AK390" i="6"/>
  <c r="AK389" i="6"/>
  <c r="AK393" i="6"/>
  <c r="N381" i="6"/>
  <c r="N380" i="6"/>
  <c r="N384" i="6"/>
  <c r="N383" i="6"/>
  <c r="N392" i="6"/>
  <c r="N389" i="6"/>
  <c r="N390" i="6"/>
  <c r="N393" i="6"/>
  <c r="AA384" i="6"/>
  <c r="AA383" i="6"/>
  <c r="AA380" i="6"/>
  <c r="AA381" i="6"/>
  <c r="AA390" i="6"/>
  <c r="AA392" i="6"/>
  <c r="AA389" i="6"/>
  <c r="AA393" i="6"/>
  <c r="F384" i="6"/>
  <c r="F381" i="6"/>
  <c r="E379" i="6"/>
  <c r="F380" i="6"/>
  <c r="F383" i="6"/>
  <c r="E388" i="6"/>
  <c r="F393" i="6"/>
  <c r="F392" i="6"/>
  <c r="F390" i="6"/>
  <c r="F389" i="6"/>
  <c r="AZ402" i="6"/>
  <c r="AZ398" i="6"/>
  <c r="AZ399" i="6"/>
  <c r="AZ401" i="6"/>
  <c r="BK381" i="6"/>
  <c r="BK384" i="6"/>
  <c r="BK383" i="6"/>
  <c r="BK380" i="6"/>
  <c r="BK398" i="6"/>
  <c r="BK401" i="6"/>
  <c r="BK402" i="6"/>
  <c r="BK399" i="6"/>
  <c r="AI389" i="6"/>
  <c r="AI393" i="6"/>
  <c r="AI392" i="6"/>
  <c r="AI390" i="6"/>
  <c r="AS392" i="6"/>
  <c r="AS390" i="6"/>
  <c r="AS393" i="6"/>
  <c r="AS389" i="6"/>
  <c r="BD392" i="6"/>
  <c r="BD393" i="6"/>
  <c r="BD390" i="6"/>
  <c r="BD389" i="6"/>
  <c r="BD380" i="6"/>
  <c r="BD384" i="6"/>
  <c r="BD383" i="6"/>
  <c r="BD381" i="6"/>
  <c r="E472" i="6"/>
  <c r="J97" i="18"/>
  <c r="BL390" i="6"/>
  <c r="BL393" i="6"/>
  <c r="BL392" i="6"/>
  <c r="BL389" i="6"/>
  <c r="O383" i="6"/>
  <c r="O380" i="6"/>
  <c r="O381" i="6"/>
  <c r="O384" i="6"/>
  <c r="V389" i="6"/>
  <c r="V393" i="6"/>
  <c r="V392" i="6"/>
  <c r="V390" i="6"/>
  <c r="U380" i="6"/>
  <c r="U381" i="6"/>
  <c r="U383" i="6"/>
  <c r="U384" i="6"/>
  <c r="U392" i="6"/>
  <c r="U389" i="6"/>
  <c r="U390" i="6"/>
  <c r="U393" i="6"/>
  <c r="AU383" i="6"/>
  <c r="AU380" i="6"/>
  <c r="AU381" i="6"/>
  <c r="AU384" i="6"/>
  <c r="AU393" i="6"/>
  <c r="AU389" i="6"/>
  <c r="AU392" i="6"/>
  <c r="AU390" i="6"/>
  <c r="AP384" i="6"/>
  <c r="AP380" i="6"/>
  <c r="AP383" i="6"/>
  <c r="AP381" i="6"/>
  <c r="BO389" i="6"/>
  <c r="BO390" i="6"/>
  <c r="BO393" i="6"/>
  <c r="BO392" i="6"/>
  <c r="E433" i="6"/>
  <c r="F98" i="18"/>
  <c r="E429" i="6"/>
  <c r="F94" i="18"/>
  <c r="AM384" i="6"/>
  <c r="AM380" i="6"/>
  <c r="AM381" i="6"/>
  <c r="AM383" i="6"/>
  <c r="AH383" i="6"/>
  <c r="AH381" i="6"/>
  <c r="AH380" i="6"/>
  <c r="AH384" i="6"/>
  <c r="P380" i="6"/>
  <c r="P383" i="6"/>
  <c r="P381" i="6"/>
  <c r="P384" i="6"/>
  <c r="BI401" i="6"/>
  <c r="BI398" i="6"/>
  <c r="BI399" i="6"/>
  <c r="BI402" i="6"/>
  <c r="AW390" i="6"/>
  <c r="AW393" i="6"/>
  <c r="AW389" i="6"/>
  <c r="AW392" i="6"/>
  <c r="AL390" i="6"/>
  <c r="AL389" i="6"/>
  <c r="AL393" i="6"/>
  <c r="AL392" i="6"/>
  <c r="AD398" i="6"/>
  <c r="AD402" i="6"/>
  <c r="AD399" i="6"/>
  <c r="AD401" i="6"/>
  <c r="E489" i="6"/>
  <c r="L94" i="18"/>
  <c r="K392" i="6"/>
  <c r="K393" i="6"/>
  <c r="K390" i="6"/>
  <c r="K389" i="6"/>
  <c r="BA381" i="6"/>
  <c r="BA380" i="6"/>
  <c r="BA384" i="6"/>
  <c r="BA383" i="6"/>
  <c r="BA399" i="6"/>
  <c r="BA401" i="6"/>
  <c r="BA402" i="6"/>
  <c r="BA398" i="6"/>
  <c r="E479" i="6"/>
  <c r="K94" i="18"/>
  <c r="E428" i="6"/>
  <c r="F93" i="18"/>
  <c r="F92" i="18"/>
  <c r="AE399" i="6"/>
  <c r="AE401" i="6"/>
  <c r="AE398" i="6"/>
  <c r="AE402" i="6"/>
  <c r="AR390" i="6"/>
  <c r="AR393" i="6"/>
  <c r="AR392" i="6"/>
  <c r="AR389" i="6"/>
  <c r="AX402" i="6"/>
  <c r="AX401" i="6"/>
  <c r="AX399" i="6"/>
  <c r="AX398" i="6"/>
  <c r="AB392" i="6"/>
  <c r="AB390" i="6"/>
  <c r="AB393" i="6"/>
  <c r="AB389" i="6"/>
  <c r="BB381" i="6"/>
  <c r="BB380" i="6"/>
  <c r="BB384" i="6"/>
  <c r="BB383" i="6"/>
  <c r="BB399" i="6"/>
  <c r="BB398" i="6"/>
  <c r="BB401" i="6"/>
  <c r="BB402" i="6"/>
  <c r="Y402" i="6"/>
  <c r="Y398" i="6"/>
  <c r="Y399" i="6"/>
  <c r="Y401" i="6"/>
  <c r="AC392" i="6"/>
  <c r="AC389" i="6"/>
  <c r="AC393" i="6"/>
  <c r="AC390" i="6"/>
  <c r="I389" i="6"/>
  <c r="I392" i="6"/>
  <c r="I393" i="6"/>
  <c r="I390" i="6"/>
  <c r="I399" i="6"/>
  <c r="I401" i="6"/>
  <c r="I398" i="6"/>
  <c r="I402" i="6"/>
  <c r="BE399" i="6"/>
  <c r="BE401" i="6"/>
  <c r="BE402" i="6"/>
  <c r="BE398" i="6"/>
  <c r="E421" i="6"/>
  <c r="E96" i="18"/>
  <c r="W91" i="18" a="1"/>
  <c r="E423" i="6"/>
  <c r="E98" i="18"/>
  <c r="Q393" i="6"/>
  <c r="Q389" i="6"/>
  <c r="Q392" i="6"/>
  <c r="Q390" i="6"/>
  <c r="W399" i="6"/>
  <c r="W398" i="6"/>
  <c r="W401" i="6"/>
  <c r="W402" i="6"/>
  <c r="AV402" i="6"/>
  <c r="AV399" i="6"/>
  <c r="AV401" i="6"/>
  <c r="AV398" i="6"/>
  <c r="AY390" i="6"/>
  <c r="AY393" i="6"/>
  <c r="AY389" i="6"/>
  <c r="AY392" i="6"/>
  <c r="BR383" i="6"/>
  <c r="BR384" i="6"/>
  <c r="BR380" i="6"/>
  <c r="BR381" i="6"/>
  <c r="X399" i="6"/>
  <c r="X401" i="6"/>
  <c r="X402" i="6"/>
  <c r="X398" i="6"/>
  <c r="BC398" i="6"/>
  <c r="BC402" i="6"/>
  <c r="BC399" i="6"/>
  <c r="BC401" i="6"/>
  <c r="Z399" i="6"/>
  <c r="Z398" i="6"/>
  <c r="Z401" i="6"/>
  <c r="Z402" i="6"/>
  <c r="BJ402" i="6"/>
  <c r="BJ399" i="6"/>
  <c r="BJ398" i="6"/>
  <c r="BJ401" i="6"/>
  <c r="E453" i="6"/>
  <c r="H98" i="18"/>
  <c r="U91" i="18" a="1"/>
  <c r="E451" i="6"/>
  <c r="H96" i="18"/>
  <c r="S383" i="6"/>
  <c r="S384" i="6"/>
  <c r="S380" i="6"/>
  <c r="S381" i="6"/>
  <c r="E488" i="6"/>
  <c r="L93" i="18"/>
  <c r="L92" i="18"/>
  <c r="AJ392" i="6"/>
  <c r="AJ390" i="6"/>
  <c r="AJ393" i="6"/>
  <c r="AJ389" i="6"/>
  <c r="BN392" i="6"/>
  <c r="BN390" i="6"/>
  <c r="BN389" i="6"/>
  <c r="BN393" i="6"/>
  <c r="E418" i="6"/>
  <c r="E93" i="18"/>
  <c r="E92" i="18"/>
  <c r="AQ393" i="6"/>
  <c r="AQ392" i="6"/>
  <c r="AQ390" i="6"/>
  <c r="AQ389" i="6"/>
  <c r="N399" i="6"/>
  <c r="N401" i="6"/>
  <c r="N402" i="6"/>
  <c r="N398" i="6"/>
  <c r="R392" i="6"/>
  <c r="R390" i="6"/>
  <c r="R393" i="6"/>
  <c r="R389" i="6"/>
  <c r="AA398" i="6"/>
  <c r="AA401" i="6"/>
  <c r="AA402" i="6"/>
  <c r="AA399" i="6"/>
  <c r="E518" i="6"/>
  <c r="O93" i="18"/>
  <c r="O92" i="18"/>
  <c r="F398" i="6"/>
  <c r="F399" i="6"/>
  <c r="E397" i="6"/>
  <c r="F402" i="6"/>
  <c r="F401" i="6"/>
  <c r="AZ389" i="6"/>
  <c r="AZ390" i="6"/>
  <c r="AZ393" i="6"/>
  <c r="AZ392" i="6"/>
  <c r="BK392" i="6"/>
  <c r="BK390" i="6"/>
  <c r="BK393" i="6"/>
  <c r="BK389" i="6"/>
  <c r="AI398" i="6"/>
  <c r="AI399" i="6"/>
  <c r="AI402" i="6"/>
  <c r="AI401" i="6"/>
  <c r="L390" i="6"/>
  <c r="L393" i="6"/>
  <c r="L389" i="6"/>
  <c r="L392" i="6"/>
  <c r="BD402" i="6"/>
  <c r="BD399" i="6"/>
  <c r="BD398" i="6"/>
  <c r="BD401" i="6"/>
  <c r="E473" i="6"/>
  <c r="J98" i="18"/>
  <c r="BL398" i="6"/>
  <c r="BL402" i="6"/>
  <c r="BL401" i="6"/>
  <c r="BL399" i="6"/>
  <c r="E490" i="6"/>
  <c r="L95" i="18"/>
  <c r="E448" i="6"/>
  <c r="H93" i="18"/>
  <c r="H92" i="18"/>
  <c r="T398" i="6"/>
  <c r="T401" i="6"/>
  <c r="T402" i="6"/>
  <c r="T399" i="6"/>
  <c r="U401" i="6"/>
  <c r="U398" i="6"/>
  <c r="U399" i="6"/>
  <c r="U402" i="6"/>
  <c r="E462" i="6"/>
  <c r="I97" i="18"/>
  <c r="E463" i="6"/>
  <c r="I98" i="18"/>
  <c r="AU402" i="6"/>
  <c r="AU398" i="6"/>
  <c r="AU401" i="6"/>
  <c r="AU399" i="6"/>
  <c r="AP401" i="6"/>
  <c r="AP399" i="6"/>
  <c r="AP398" i="6"/>
  <c r="AP402" i="6"/>
  <c r="AG384" i="6"/>
  <c r="AG381" i="6"/>
  <c r="AG383" i="6"/>
  <c r="AG380" i="6"/>
  <c r="E432" i="6"/>
  <c r="F97" i="18"/>
  <c r="AM402" i="6"/>
  <c r="AM399" i="6"/>
  <c r="AM401" i="6"/>
  <c r="AM398" i="6"/>
  <c r="H389" i="6"/>
  <c r="H393" i="6"/>
  <c r="H392" i="6"/>
  <c r="H390" i="6"/>
  <c r="P402" i="6"/>
  <c r="P399" i="6"/>
  <c r="P398" i="6"/>
  <c r="P401" i="6"/>
  <c r="BI389" i="6"/>
  <c r="BI393" i="6"/>
  <c r="BI392" i="6"/>
  <c r="BI390" i="6"/>
  <c r="BI380" i="6"/>
  <c r="BI383" i="6"/>
  <c r="BI384" i="6"/>
  <c r="BI381" i="6"/>
  <c r="AL398" i="6"/>
  <c r="AL402" i="6"/>
  <c r="AL399" i="6"/>
  <c r="AL401" i="6"/>
  <c r="AD392" i="6"/>
  <c r="AD389" i="6"/>
  <c r="AD393" i="6"/>
  <c r="AD390" i="6"/>
  <c r="I92" i="18"/>
  <c r="E458" i="6"/>
  <c r="I93" i="18"/>
  <c r="K401" i="6"/>
  <c r="K402" i="6"/>
  <c r="K399" i="6"/>
  <c r="K398" i="6"/>
  <c r="BM393" i="6"/>
  <c r="BM392" i="6"/>
  <c r="BM390" i="6"/>
  <c r="BM389" i="6"/>
  <c r="E533" i="6"/>
  <c r="P98" i="18"/>
  <c r="E530" i="6"/>
  <c r="P95" i="18"/>
  <c r="E483" i="6"/>
  <c r="K98" i="18"/>
  <c r="E481" i="6"/>
  <c r="K96" i="18"/>
  <c r="X91" i="18"/>
  <c r="X103" i="18"/>
  <c r="X100" i="18"/>
  <c r="X98" i="18"/>
  <c r="X102" i="18"/>
  <c r="X97" i="18"/>
  <c r="X101" i="18"/>
  <c r="X92" i="18"/>
  <c r="X95" i="18"/>
  <c r="X96" i="18"/>
  <c r="X93" i="18"/>
  <c r="X99" i="18"/>
  <c r="X94" i="18"/>
  <c r="U93" i="18"/>
  <c r="U99" i="18"/>
  <c r="U96" i="18"/>
  <c r="U101" i="18"/>
  <c r="U97" i="18"/>
  <c r="U98" i="18"/>
  <c r="U103" i="18"/>
  <c r="U95" i="18"/>
  <c r="U102" i="18"/>
  <c r="U100" i="18"/>
  <c r="U91" i="18"/>
  <c r="U94" i="18"/>
  <c r="U92" i="18"/>
  <c r="W96" i="18"/>
  <c r="W103" i="18"/>
  <c r="W97" i="18"/>
  <c r="W101" i="18"/>
  <c r="W95" i="18"/>
  <c r="W102" i="18"/>
  <c r="W93" i="18"/>
  <c r="W100" i="18"/>
  <c r="W94" i="18"/>
  <c r="W91" i="18"/>
  <c r="W98" i="18"/>
  <c r="W92" i="18"/>
  <c r="W99" i="18"/>
  <c r="E401" i="6"/>
  <c r="N81" i="18"/>
  <c r="E398" i="6"/>
  <c r="E390" i="6"/>
  <c r="M79" i="18"/>
  <c r="E383" i="6"/>
  <c r="L81" i="18"/>
  <c r="E384" i="6"/>
  <c r="L82" i="18"/>
  <c r="S96" i="18"/>
  <c r="S103" i="18"/>
  <c r="S97" i="18"/>
  <c r="S93" i="18"/>
  <c r="S100" i="18"/>
  <c r="S94" i="18"/>
  <c r="S91" i="18"/>
  <c r="S98" i="18"/>
  <c r="S92" i="18"/>
  <c r="S99" i="18"/>
  <c r="S101" i="18"/>
  <c r="S95" i="18"/>
  <c r="S102" i="18"/>
  <c r="E402" i="6"/>
  <c r="N82" i="18"/>
  <c r="E392" i="6"/>
  <c r="M81" i="18"/>
  <c r="E380" i="6"/>
  <c r="E393" i="6"/>
  <c r="M82" i="18"/>
  <c r="E399" i="6"/>
  <c r="N79" i="18"/>
  <c r="E389" i="6"/>
  <c r="E381" i="6"/>
  <c r="L79" i="18"/>
  <c r="T96" i="18"/>
  <c r="T103" i="18"/>
  <c r="T97" i="18"/>
  <c r="T101" i="18"/>
  <c r="T95" i="18"/>
  <c r="T102" i="18"/>
  <c r="T93" i="18"/>
  <c r="T100" i="18"/>
  <c r="T94" i="18"/>
  <c r="T91" i="18"/>
  <c r="T98" i="18"/>
  <c r="T92" i="18"/>
  <c r="T99" i="18"/>
  <c r="V91" i="18" a="1"/>
  <c r="R79" i="18" a="1"/>
  <c r="S79" i="18" a="1"/>
  <c r="T79" i="18" a="1"/>
  <c r="V100" i="18"/>
  <c r="V97" i="18"/>
  <c r="V91" i="18"/>
  <c r="V98" i="18"/>
  <c r="V92" i="18"/>
  <c r="V99" i="18"/>
  <c r="V96" i="18"/>
  <c r="V101" i="18"/>
  <c r="V95" i="18"/>
  <c r="V102" i="18"/>
  <c r="V93" i="18"/>
  <c r="V94" i="18"/>
  <c r="V103" i="18"/>
  <c r="R79" i="18"/>
  <c r="R80" i="18"/>
  <c r="R81" i="18"/>
  <c r="Q79" i="18" a="1"/>
  <c r="T80" i="18"/>
  <c r="T79" i="18"/>
  <c r="T81" i="18"/>
  <c r="S81" i="18"/>
  <c r="S80" i="18"/>
  <c r="S79" i="18"/>
  <c r="Q79" i="18"/>
  <c r="Q80" i="18"/>
  <c r="Q81" i="18"/>
  <c r="L52" i="21" l="1"/>
  <c r="H264" i="30"/>
  <c r="I354" i="22" s="1"/>
  <c r="H271" i="30"/>
  <c r="I361" i="22" s="1"/>
  <c r="F266" i="30"/>
  <c r="G356" i="22" s="1"/>
  <c r="J263" i="30"/>
  <c r="K353" i="22" s="1"/>
  <c r="H270" i="30"/>
  <c r="I360" i="22" s="1"/>
  <c r="E275" i="30"/>
  <c r="F365" i="22" s="1"/>
  <c r="K253" i="30"/>
  <c r="L336" i="22" s="1"/>
  <c r="G239" i="30"/>
  <c r="H322" i="22" s="1"/>
  <c r="H232" i="22" s="1"/>
  <c r="E251" i="30"/>
  <c r="F334" i="22" s="1"/>
  <c r="J238" i="30"/>
  <c r="K321" i="22" s="1"/>
  <c r="G333" i="22"/>
  <c r="F242" i="30"/>
  <c r="G325" i="22" s="1"/>
  <c r="J242" i="30"/>
  <c r="K325" i="22" s="1"/>
  <c r="J235" i="30"/>
  <c r="K318" i="22" s="1"/>
  <c r="K247" i="30"/>
  <c r="L330" i="22" s="1"/>
  <c r="I230" i="30"/>
  <c r="J306" i="22" s="1"/>
  <c r="J252" i="30"/>
  <c r="K335" i="22" s="1"/>
  <c r="F244" i="30"/>
  <c r="G327" i="22" s="1"/>
  <c r="F239" i="30"/>
  <c r="G322" i="22" s="1"/>
  <c r="H202" i="30"/>
  <c r="I271" i="22" s="1"/>
  <c r="H193" i="30"/>
  <c r="I262" i="22" s="1"/>
  <c r="I217" i="30"/>
  <c r="J293" i="22" s="1"/>
  <c r="H220" i="30"/>
  <c r="I296" i="22" s="1"/>
  <c r="J244" i="30"/>
  <c r="K327" i="22" s="1"/>
  <c r="F249" i="30"/>
  <c r="G332" i="22" s="1"/>
  <c r="I214" i="30"/>
  <c r="J290" i="22" s="1"/>
  <c r="F246" i="30"/>
  <c r="G329" i="22" s="1"/>
  <c r="J251" i="30"/>
  <c r="K334" i="22" s="1"/>
  <c r="K244" i="22" s="1"/>
  <c r="J249" i="30"/>
  <c r="K332" i="22" s="1"/>
  <c r="F237" i="30"/>
  <c r="G320" i="22" s="1"/>
  <c r="F238" i="30"/>
  <c r="G321" i="22" s="1"/>
  <c r="G206" i="30"/>
  <c r="H275" i="22" s="1"/>
  <c r="J190" i="30"/>
  <c r="K259" i="22" s="1"/>
  <c r="K190" i="30"/>
  <c r="L259" i="22" s="1"/>
  <c r="G226" i="30"/>
  <c r="H302" i="22" s="1"/>
  <c r="K228" i="30"/>
  <c r="L304" i="22" s="1"/>
  <c r="G253" i="30"/>
  <c r="H336" i="22" s="1"/>
  <c r="G251" i="30"/>
  <c r="H334" i="22" s="1"/>
  <c r="K241" i="30"/>
  <c r="L324" i="22" s="1"/>
  <c r="K248" i="30"/>
  <c r="L331" i="22" s="1"/>
  <c r="K230" i="30"/>
  <c r="L306" i="22" s="1"/>
  <c r="G221" i="30"/>
  <c r="H297" i="22" s="1"/>
  <c r="J260" i="30"/>
  <c r="K350" i="22" s="1"/>
  <c r="G240" i="30"/>
  <c r="H323" i="22" s="1"/>
  <c r="K238" i="30"/>
  <c r="L321" i="22" s="1"/>
  <c r="L319" i="22"/>
  <c r="L229" i="22" s="1"/>
  <c r="J273" i="30"/>
  <c r="K363" i="22" s="1"/>
  <c r="F264" i="30"/>
  <c r="G354" i="22" s="1"/>
  <c r="F205" i="30"/>
  <c r="G274" i="22" s="1"/>
  <c r="G270" i="30"/>
  <c r="H360" i="22" s="1"/>
  <c r="D207" i="30"/>
  <c r="E276" i="22" s="1"/>
  <c r="E215" i="30"/>
  <c r="F291" i="22" s="1"/>
  <c r="D270" i="30"/>
  <c r="E360" i="22" s="1"/>
  <c r="D226" i="30"/>
  <c r="E302" i="22" s="1"/>
  <c r="H333" i="22"/>
  <c r="F333" i="22"/>
  <c r="J333" i="22"/>
  <c r="E245" i="30"/>
  <c r="F328" i="22" s="1"/>
  <c r="I235" i="30"/>
  <c r="J318" i="22" s="1"/>
  <c r="J228" i="22" s="1"/>
  <c r="G238" i="30"/>
  <c r="H321" i="22" s="1"/>
  <c r="H231" i="22" s="1"/>
  <c r="H272" i="30"/>
  <c r="I362" i="22" s="1"/>
  <c r="E271" i="30"/>
  <c r="F361" i="22" s="1"/>
  <c r="G243" i="30"/>
  <c r="H326" i="22" s="1"/>
  <c r="K239" i="30"/>
  <c r="L322" i="22" s="1"/>
  <c r="G235" i="30"/>
  <c r="H318" i="22" s="1"/>
  <c r="H228" i="22" s="1"/>
  <c r="G249" i="30"/>
  <c r="H332" i="22" s="1"/>
  <c r="H319" i="22"/>
  <c r="K242" i="30"/>
  <c r="L325" i="22" s="1"/>
  <c r="K245" i="30"/>
  <c r="L328" i="22" s="1"/>
  <c r="K252" i="30"/>
  <c r="L335" i="22" s="1"/>
  <c r="K251" i="30"/>
  <c r="L334" i="22" s="1"/>
  <c r="I223" i="30"/>
  <c r="J299" i="22" s="1"/>
  <c r="H215" i="30"/>
  <c r="I291" i="22" s="1"/>
  <c r="I275" i="30"/>
  <c r="J365" i="22" s="1"/>
  <c r="H190" i="30"/>
  <c r="I259" i="22" s="1"/>
  <c r="E198" i="30"/>
  <c r="F267" i="22" s="1"/>
  <c r="I200" i="30"/>
  <c r="J269" i="22" s="1"/>
  <c r="L333" i="22"/>
  <c r="K263" i="30"/>
  <c r="L353" i="22" s="1"/>
  <c r="G245" i="30"/>
  <c r="H328" i="22" s="1"/>
  <c r="G242" i="30"/>
  <c r="H325" i="22" s="1"/>
  <c r="G244" i="30"/>
  <c r="H327" i="22" s="1"/>
  <c r="G247" i="30"/>
  <c r="H330" i="22" s="1"/>
  <c r="K246" i="30"/>
  <c r="L329" i="22" s="1"/>
  <c r="K240" i="30"/>
  <c r="L323" i="22" s="1"/>
  <c r="K243" i="30"/>
  <c r="L326" i="22" s="1"/>
  <c r="H201" i="30"/>
  <c r="I270" i="22" s="1"/>
  <c r="K199" i="30"/>
  <c r="L268" i="22" s="1"/>
  <c r="K197" i="30"/>
  <c r="L266" i="22" s="1"/>
  <c r="D265" i="30"/>
  <c r="E355" i="22" s="1"/>
  <c r="G269" i="30"/>
  <c r="H359" i="22" s="1"/>
  <c r="E253" i="30"/>
  <c r="F336" i="22" s="1"/>
  <c r="F246" i="22" s="1"/>
  <c r="G237" i="30"/>
  <c r="H320" i="22" s="1"/>
  <c r="G241" i="30"/>
  <c r="H324" i="22" s="1"/>
  <c r="G248" i="30"/>
  <c r="H331" i="22" s="1"/>
  <c r="K249" i="30"/>
  <c r="L332" i="22" s="1"/>
  <c r="K237" i="30"/>
  <c r="L320" i="22" s="1"/>
  <c r="K244" i="30"/>
  <c r="L327" i="22" s="1"/>
  <c r="D272" i="30"/>
  <c r="E362" i="22" s="1"/>
  <c r="G220" i="30"/>
  <c r="H296" i="22" s="1"/>
  <c r="F214" i="30"/>
  <c r="G290" i="22" s="1"/>
  <c r="G192" i="30"/>
  <c r="H261" i="22" s="1"/>
  <c r="D258" i="30"/>
  <c r="E348" i="22" s="1"/>
  <c r="F197" i="30"/>
  <c r="G266" i="22" s="1"/>
  <c r="D269" i="30"/>
  <c r="E359" i="22" s="1"/>
  <c r="F226" i="30"/>
  <c r="G302" i="22" s="1"/>
  <c r="I195" i="30"/>
  <c r="J264" i="22" s="1"/>
  <c r="J203" i="30"/>
  <c r="K272" i="22" s="1"/>
  <c r="E200" i="30"/>
  <c r="F269" i="22" s="1"/>
  <c r="J195" i="30"/>
  <c r="K264" i="22" s="1"/>
  <c r="I198" i="30"/>
  <c r="J267" i="22" s="1"/>
  <c r="I206" i="30"/>
  <c r="J275" i="22" s="1"/>
  <c r="F193" i="30"/>
  <c r="G262" i="22" s="1"/>
  <c r="F194" i="30"/>
  <c r="G263" i="22" s="1"/>
  <c r="F206" i="30"/>
  <c r="G275" i="22" s="1"/>
  <c r="D191" i="30"/>
  <c r="E260" i="22" s="1"/>
  <c r="I203" i="30"/>
  <c r="J272" i="22" s="1"/>
  <c r="J205" i="30"/>
  <c r="K274" i="22" s="1"/>
  <c r="F200" i="30"/>
  <c r="G269" i="22" s="1"/>
  <c r="E230" i="30"/>
  <c r="F306" i="22" s="1"/>
  <c r="D230" i="30"/>
  <c r="E306" i="22" s="1"/>
  <c r="K225" i="30"/>
  <c r="L301" i="22" s="1"/>
  <c r="K221" i="30"/>
  <c r="L297" i="22" s="1"/>
  <c r="K229" i="30"/>
  <c r="L305" i="22" s="1"/>
  <c r="D235" i="30"/>
  <c r="E318" i="22" s="1"/>
  <c r="D237" i="30"/>
  <c r="E320" i="22" s="1"/>
  <c r="H249" i="30"/>
  <c r="I332" i="22" s="1"/>
  <c r="J239" i="30"/>
  <c r="K322" i="22" s="1"/>
  <c r="J265" i="30"/>
  <c r="K355" i="22" s="1"/>
  <c r="F272" i="30"/>
  <c r="G362" i="22" s="1"/>
  <c r="F271" i="30"/>
  <c r="G361" i="22" s="1"/>
  <c r="G268" i="30"/>
  <c r="H358" i="22" s="1"/>
  <c r="K274" i="30"/>
  <c r="L364" i="22" s="1"/>
  <c r="J266" i="30"/>
  <c r="K356" i="22" s="1"/>
  <c r="G266" i="30"/>
  <c r="H356" i="22" s="1"/>
  <c r="F269" i="30"/>
  <c r="G359" i="22" s="1"/>
  <c r="K258" i="30"/>
  <c r="L348" i="22" s="1"/>
  <c r="E239" i="30"/>
  <c r="F322" i="22" s="1"/>
  <c r="F220" i="30"/>
  <c r="G296" i="22" s="1"/>
  <c r="J241" i="30"/>
  <c r="K324" i="22" s="1"/>
  <c r="K234" i="22" s="1"/>
  <c r="J247" i="30"/>
  <c r="K330" i="22" s="1"/>
  <c r="J240" i="30"/>
  <c r="K323" i="22" s="1"/>
  <c r="F252" i="30"/>
  <c r="G335" i="22" s="1"/>
  <c r="G319" i="22"/>
  <c r="F251" i="30"/>
  <c r="G334" i="22" s="1"/>
  <c r="G244" i="22" s="1"/>
  <c r="I237" i="30"/>
  <c r="J320" i="22" s="1"/>
  <c r="H258" i="30"/>
  <c r="I348" i="22" s="1"/>
  <c r="I201" i="30"/>
  <c r="J270" i="22" s="1"/>
  <c r="J222" i="30"/>
  <c r="K298" i="22" s="1"/>
  <c r="K192" i="30"/>
  <c r="L261" i="22" s="1"/>
  <c r="J197" i="30"/>
  <c r="K266" i="22" s="1"/>
  <c r="J199" i="30"/>
  <c r="K268" i="22" s="1"/>
  <c r="I194" i="30"/>
  <c r="J263" i="22" s="1"/>
  <c r="G189" i="30"/>
  <c r="H258" i="22" s="1"/>
  <c r="F221" i="30"/>
  <c r="G297" i="22" s="1"/>
  <c r="E191" i="30"/>
  <c r="F260" i="22" s="1"/>
  <c r="I190" i="30"/>
  <c r="J259" i="22" s="1"/>
  <c r="G194" i="30"/>
  <c r="H263" i="22" s="1"/>
  <c r="J253" i="30"/>
  <c r="K336" i="22" s="1"/>
  <c r="E237" i="30"/>
  <c r="F320" i="22" s="1"/>
  <c r="J246" i="30"/>
  <c r="K329" i="22" s="1"/>
  <c r="I247" i="30"/>
  <c r="J330" i="22" s="1"/>
  <c r="J237" i="30"/>
  <c r="K320" i="22" s="1"/>
  <c r="F245" i="30"/>
  <c r="G328" i="22" s="1"/>
  <c r="F240" i="30"/>
  <c r="G323" i="22" s="1"/>
  <c r="F247" i="30"/>
  <c r="G330" i="22" s="1"/>
  <c r="J248" i="30"/>
  <c r="K331" i="22" s="1"/>
  <c r="H276" i="30"/>
  <c r="I366" i="22" s="1"/>
  <c r="J221" i="30"/>
  <c r="K297" i="22" s="1"/>
  <c r="E268" i="30"/>
  <c r="F358" i="22" s="1"/>
  <c r="G203" i="30"/>
  <c r="H272" i="22" s="1"/>
  <c r="F213" i="30"/>
  <c r="G289" i="22" s="1"/>
  <c r="J216" i="30"/>
  <c r="K292" i="22" s="1"/>
  <c r="E224" i="30"/>
  <c r="F300" i="22" s="1"/>
  <c r="D262" i="30"/>
  <c r="E352" i="22" s="1"/>
  <c r="F199" i="30"/>
  <c r="G268" i="22" s="1"/>
  <c r="D223" i="30"/>
  <c r="E299" i="22" s="1"/>
  <c r="G258" i="30"/>
  <c r="H348" i="22" s="1"/>
  <c r="G259" i="30"/>
  <c r="H349" i="22" s="1"/>
  <c r="F191" i="30"/>
  <c r="G260" i="22" s="1"/>
  <c r="F204" i="30"/>
  <c r="G273" i="22" s="1"/>
  <c r="D193" i="30"/>
  <c r="E262" i="22" s="1"/>
  <c r="D199" i="30"/>
  <c r="E268" i="22" s="1"/>
  <c r="D203" i="30"/>
  <c r="E272" i="22" s="1"/>
  <c r="E204" i="30"/>
  <c r="F273" i="22" s="1"/>
  <c r="E229" i="30"/>
  <c r="F305" i="22" s="1"/>
  <c r="E221" i="30"/>
  <c r="F297" i="22" s="1"/>
  <c r="D259" i="30"/>
  <c r="E349" i="22" s="1"/>
  <c r="D266" i="30"/>
  <c r="E356" i="22" s="1"/>
  <c r="D215" i="30"/>
  <c r="E291" i="22" s="1"/>
  <c r="D227" i="30"/>
  <c r="E303" i="22" s="1"/>
  <c r="G274" i="30"/>
  <c r="H364" i="22" s="1"/>
  <c r="G263" i="30"/>
  <c r="H353" i="22" s="1"/>
  <c r="F196" i="30"/>
  <c r="G265" i="22" s="1"/>
  <c r="F195" i="30"/>
  <c r="G264" i="22" s="1"/>
  <c r="D189" i="30"/>
  <c r="E258" i="22" s="1"/>
  <c r="D202" i="30"/>
  <c r="E271" i="22" s="1"/>
  <c r="D197" i="30"/>
  <c r="E266" i="22" s="1"/>
  <c r="E212" i="30"/>
  <c r="F288" i="22" s="1"/>
  <c r="H244" i="30"/>
  <c r="I327" i="22" s="1"/>
  <c r="D271" i="30"/>
  <c r="E361" i="22" s="1"/>
  <c r="G262" i="30"/>
  <c r="H352" i="22" s="1"/>
  <c r="G267" i="30"/>
  <c r="H357" i="22" s="1"/>
  <c r="F203" i="30"/>
  <c r="G272" i="22" s="1"/>
  <c r="D198" i="30"/>
  <c r="E267" i="22" s="1"/>
  <c r="D204" i="30"/>
  <c r="E273" i="22" s="1"/>
  <c r="D192" i="30"/>
  <c r="E261" i="22" s="1"/>
  <c r="D213" i="30"/>
  <c r="E289" i="22" s="1"/>
  <c r="D236" i="30"/>
  <c r="E319" i="22" s="1"/>
  <c r="K206" i="30"/>
  <c r="L275" i="22" s="1"/>
  <c r="K189" i="30"/>
  <c r="L258" i="22" s="1"/>
  <c r="L228" i="22" s="1"/>
  <c r="K201" i="30"/>
  <c r="L270" i="22" s="1"/>
  <c r="K204" i="30"/>
  <c r="L273" i="22" s="1"/>
  <c r="G191" i="30"/>
  <c r="H260" i="22" s="1"/>
  <c r="G207" i="30"/>
  <c r="H276" i="22" s="1"/>
  <c r="G199" i="30"/>
  <c r="H268" i="22" s="1"/>
  <c r="G200" i="30"/>
  <c r="H269" i="22" s="1"/>
  <c r="G195" i="30"/>
  <c r="H264" i="22" s="1"/>
  <c r="G190" i="30"/>
  <c r="H259" i="22" s="1"/>
  <c r="H229" i="22" s="1"/>
  <c r="F229" i="30"/>
  <c r="G305" i="22" s="1"/>
  <c r="F224" i="30"/>
  <c r="G300" i="22" s="1"/>
  <c r="F215" i="30"/>
  <c r="G291" i="22" s="1"/>
  <c r="F223" i="30"/>
  <c r="G299" i="22" s="1"/>
  <c r="K195" i="30"/>
  <c r="L264" i="22" s="1"/>
  <c r="K333" i="22"/>
  <c r="H243" i="30"/>
  <c r="I326" i="22" s="1"/>
  <c r="H253" i="30"/>
  <c r="I336" i="22" s="1"/>
  <c r="K200" i="30"/>
  <c r="L269" i="22" s="1"/>
  <c r="L239" i="22" s="1"/>
  <c r="K202" i="30"/>
  <c r="L271" i="22" s="1"/>
  <c r="K207" i="30"/>
  <c r="L276" i="22" s="1"/>
  <c r="K198" i="30"/>
  <c r="L267" i="22" s="1"/>
  <c r="K193" i="30"/>
  <c r="L262" i="22" s="1"/>
  <c r="L232" i="22" s="1"/>
  <c r="K203" i="30"/>
  <c r="L272" i="22" s="1"/>
  <c r="G202" i="30"/>
  <c r="H271" i="22" s="1"/>
  <c r="G197" i="30"/>
  <c r="H266" i="22" s="1"/>
  <c r="G201" i="30"/>
  <c r="H270" i="22" s="1"/>
  <c r="G193" i="30"/>
  <c r="H262" i="22" s="1"/>
  <c r="G204" i="30"/>
  <c r="H273" i="22" s="1"/>
  <c r="F222" i="30"/>
  <c r="G298" i="22" s="1"/>
  <c r="F212" i="30"/>
  <c r="G288" i="22" s="1"/>
  <c r="F228" i="30"/>
  <c r="G304" i="22" s="1"/>
  <c r="F217" i="30"/>
  <c r="G293" i="22" s="1"/>
  <c r="F225" i="30"/>
  <c r="G301" i="22" s="1"/>
  <c r="K194" i="30"/>
  <c r="L263" i="22" s="1"/>
  <c r="G205" i="30"/>
  <c r="H274" i="22" s="1"/>
  <c r="K191" i="30"/>
  <c r="L260" i="22" s="1"/>
  <c r="D247" i="30"/>
  <c r="E330" i="22" s="1"/>
  <c r="H245" i="30"/>
  <c r="I328" i="22" s="1"/>
  <c r="K205" i="30"/>
  <c r="L274" i="22" s="1"/>
  <c r="K196" i="30"/>
  <c r="L265" i="22" s="1"/>
  <c r="G198" i="30"/>
  <c r="H267" i="22" s="1"/>
  <c r="G196" i="30"/>
  <c r="H265" i="22" s="1"/>
  <c r="F218" i="30"/>
  <c r="G294" i="22" s="1"/>
  <c r="F216" i="30"/>
  <c r="G292" i="22" s="1"/>
  <c r="F230" i="30"/>
  <c r="G306" i="22" s="1"/>
  <c r="F219" i="30"/>
  <c r="G295" i="22" s="1"/>
  <c r="D253" i="30"/>
  <c r="E336" i="22" s="1"/>
  <c r="D241" i="30"/>
  <c r="E324" i="22" s="1"/>
  <c r="D251" i="30"/>
  <c r="E334" i="22" s="1"/>
  <c r="D238" i="30"/>
  <c r="E321" i="22" s="1"/>
  <c r="D250" i="30"/>
  <c r="E333" i="22" s="1"/>
  <c r="D242" i="30"/>
  <c r="E325" i="22" s="1"/>
  <c r="D249" i="30"/>
  <c r="E332" i="22" s="1"/>
  <c r="D252" i="30"/>
  <c r="E335" i="22" s="1"/>
  <c r="D243" i="30"/>
  <c r="E326" i="22" s="1"/>
  <c r="D240" i="30"/>
  <c r="E323" i="22" s="1"/>
  <c r="H251" i="30"/>
  <c r="I334" i="22" s="1"/>
  <c r="I319" i="22"/>
  <c r="H235" i="30"/>
  <c r="I318" i="22" s="1"/>
  <c r="H237" i="30"/>
  <c r="I320" i="22" s="1"/>
  <c r="H242" i="30"/>
  <c r="I325" i="22" s="1"/>
  <c r="H252" i="30"/>
  <c r="I335" i="22" s="1"/>
  <c r="H239" i="30"/>
  <c r="I322" i="22" s="1"/>
  <c r="I232" i="22" s="1"/>
  <c r="H248" i="30"/>
  <c r="I331" i="22" s="1"/>
  <c r="H238" i="30"/>
  <c r="I321" i="22" s="1"/>
  <c r="H241" i="30"/>
  <c r="I324" i="22" s="1"/>
  <c r="I333" i="22"/>
  <c r="D248" i="30"/>
  <c r="E331" i="22" s="1"/>
  <c r="E241" i="22" s="1"/>
  <c r="D245" i="30"/>
  <c r="E328" i="22" s="1"/>
  <c r="D246" i="30"/>
  <c r="E329" i="22" s="1"/>
  <c r="H240" i="30"/>
  <c r="I323" i="22" s="1"/>
  <c r="H247" i="30"/>
  <c r="I330" i="22" s="1"/>
  <c r="H259" i="30"/>
  <c r="I349" i="22" s="1"/>
  <c r="H267" i="30"/>
  <c r="I357" i="22" s="1"/>
  <c r="H266" i="30"/>
  <c r="I356" i="22" s="1"/>
  <c r="H260" i="30"/>
  <c r="I350" i="22" s="1"/>
  <c r="H265" i="30"/>
  <c r="I355" i="22" s="1"/>
  <c r="H275" i="30"/>
  <c r="I365" i="22" s="1"/>
  <c r="H263" i="30"/>
  <c r="I353" i="22" s="1"/>
  <c r="H268" i="30"/>
  <c r="I358" i="22" s="1"/>
  <c r="H262" i="30"/>
  <c r="I352" i="22" s="1"/>
  <c r="H274" i="30"/>
  <c r="I364" i="22" s="1"/>
  <c r="H273" i="30"/>
  <c r="I363" i="22" s="1"/>
  <c r="K218" i="30"/>
  <c r="L294" i="22" s="1"/>
  <c r="K224" i="30"/>
  <c r="L300" i="22" s="1"/>
  <c r="K217" i="30"/>
  <c r="L293" i="22" s="1"/>
  <c r="K214" i="30"/>
  <c r="L290" i="22" s="1"/>
  <c r="K213" i="30"/>
  <c r="L289" i="22" s="1"/>
  <c r="K216" i="30"/>
  <c r="L292" i="22" s="1"/>
  <c r="K212" i="30"/>
  <c r="L288" i="22" s="1"/>
  <c r="K215" i="30"/>
  <c r="L291" i="22" s="1"/>
  <c r="K226" i="30"/>
  <c r="L302" i="22" s="1"/>
  <c r="K227" i="30"/>
  <c r="L303" i="22" s="1"/>
  <c r="K223" i="30"/>
  <c r="L299" i="22" s="1"/>
  <c r="K219" i="30"/>
  <c r="L295" i="22" s="1"/>
  <c r="E262" i="30"/>
  <c r="F352" i="22" s="1"/>
  <c r="E258" i="30"/>
  <c r="F348" i="22" s="1"/>
  <c r="E265" i="30"/>
  <c r="F355" i="22" s="1"/>
  <c r="E270" i="30"/>
  <c r="F360" i="22" s="1"/>
  <c r="E261" i="30"/>
  <c r="F351" i="22" s="1"/>
  <c r="E269" i="30"/>
  <c r="F359" i="22" s="1"/>
  <c r="E260" i="30"/>
  <c r="F350" i="22" s="1"/>
  <c r="E266" i="30"/>
  <c r="F356" i="22" s="1"/>
  <c r="E276" i="30"/>
  <c r="F366" i="22" s="1"/>
  <c r="E274" i="30"/>
  <c r="F364" i="22" s="1"/>
  <c r="E259" i="30"/>
  <c r="F349" i="22" s="1"/>
  <c r="E263" i="30"/>
  <c r="F353" i="22" s="1"/>
  <c r="E273" i="30"/>
  <c r="F363" i="22" s="1"/>
  <c r="J213" i="30"/>
  <c r="K289" i="22" s="1"/>
  <c r="J230" i="30"/>
  <c r="K306" i="22" s="1"/>
  <c r="J212" i="30"/>
  <c r="K288" i="22" s="1"/>
  <c r="J217" i="30"/>
  <c r="K293" i="22" s="1"/>
  <c r="J224" i="30"/>
  <c r="K300" i="22" s="1"/>
  <c r="J227" i="30"/>
  <c r="K303" i="22" s="1"/>
  <c r="J215" i="30"/>
  <c r="K291" i="22" s="1"/>
  <c r="J214" i="30"/>
  <c r="K290" i="22" s="1"/>
  <c r="J228" i="30"/>
  <c r="K304" i="22" s="1"/>
  <c r="J226" i="30"/>
  <c r="K302" i="22" s="1"/>
  <c r="J229" i="30"/>
  <c r="K305" i="22" s="1"/>
  <c r="E196" i="30"/>
  <c r="F265" i="22" s="1"/>
  <c r="E205" i="30"/>
  <c r="F274" i="22" s="1"/>
  <c r="E195" i="30"/>
  <c r="F264" i="22" s="1"/>
  <c r="E190" i="30"/>
  <c r="F259" i="22" s="1"/>
  <c r="E193" i="30"/>
  <c r="F262" i="22" s="1"/>
  <c r="F232" i="22" s="1"/>
  <c r="E206" i="30"/>
  <c r="F275" i="22" s="1"/>
  <c r="E194" i="30"/>
  <c r="F263" i="22" s="1"/>
  <c r="E203" i="30"/>
  <c r="F272" i="22" s="1"/>
  <c r="E197" i="30"/>
  <c r="F266" i="22" s="1"/>
  <c r="E202" i="30"/>
  <c r="F271" i="22" s="1"/>
  <c r="E192" i="30"/>
  <c r="F261" i="22" s="1"/>
  <c r="E199" i="30"/>
  <c r="F268" i="22" s="1"/>
  <c r="E201" i="30"/>
  <c r="F270" i="22" s="1"/>
  <c r="J207" i="30"/>
  <c r="K276" i="22" s="1"/>
  <c r="J202" i="30"/>
  <c r="K271" i="22" s="1"/>
  <c r="J204" i="30"/>
  <c r="K273" i="22" s="1"/>
  <c r="J191" i="30"/>
  <c r="K260" i="22" s="1"/>
  <c r="J206" i="30"/>
  <c r="K275" i="22" s="1"/>
  <c r="J198" i="30"/>
  <c r="K267" i="22" s="1"/>
  <c r="J200" i="30"/>
  <c r="K269" i="22" s="1"/>
  <c r="J201" i="30"/>
  <c r="K270" i="22" s="1"/>
  <c r="J194" i="30"/>
  <c r="K263" i="22" s="1"/>
  <c r="J189" i="30"/>
  <c r="K258" i="22" s="1"/>
  <c r="J196" i="30"/>
  <c r="K265" i="22" s="1"/>
  <c r="K235" i="22" s="1"/>
  <c r="J193" i="30"/>
  <c r="K262" i="22" s="1"/>
  <c r="I192" i="30"/>
  <c r="J261" i="22" s="1"/>
  <c r="I199" i="30"/>
  <c r="J268" i="22" s="1"/>
  <c r="I193" i="30"/>
  <c r="J262" i="22" s="1"/>
  <c r="I196" i="30"/>
  <c r="J265" i="22" s="1"/>
  <c r="I197" i="30"/>
  <c r="J266" i="22" s="1"/>
  <c r="I191" i="30"/>
  <c r="J260" i="22" s="1"/>
  <c r="I205" i="30"/>
  <c r="J274" i="22" s="1"/>
  <c r="I204" i="30"/>
  <c r="J273" i="22" s="1"/>
  <c r="I207" i="30"/>
  <c r="J276" i="22" s="1"/>
  <c r="D239" i="30"/>
  <c r="E322" i="22" s="1"/>
  <c r="D244" i="30"/>
  <c r="E327" i="22" s="1"/>
  <c r="H246" i="30"/>
  <c r="I329" i="22" s="1"/>
  <c r="E272" i="30"/>
  <c r="F362" i="22" s="1"/>
  <c r="H269" i="30"/>
  <c r="I359" i="22" s="1"/>
  <c r="K222" i="30"/>
  <c r="L298" i="22" s="1"/>
  <c r="J219" i="30"/>
  <c r="K295" i="22" s="1"/>
  <c r="J220" i="30"/>
  <c r="K296" i="22" s="1"/>
  <c r="J192" i="30"/>
  <c r="K261" i="22" s="1"/>
  <c r="I202" i="30"/>
  <c r="J271" i="22" s="1"/>
  <c r="E189" i="30"/>
  <c r="F258" i="22" s="1"/>
  <c r="E267" i="30"/>
  <c r="F357" i="22" s="1"/>
  <c r="K220" i="30"/>
  <c r="L296" i="22" s="1"/>
  <c r="F275" i="30"/>
  <c r="G365" i="22" s="1"/>
  <c r="F263" i="30"/>
  <c r="G353" i="22" s="1"/>
  <c r="G230" i="30"/>
  <c r="H306" i="22" s="1"/>
  <c r="G228" i="30"/>
  <c r="H304" i="22" s="1"/>
  <c r="G216" i="30"/>
  <c r="H292" i="22" s="1"/>
  <c r="G224" i="30"/>
  <c r="H300" i="22" s="1"/>
  <c r="J262" i="30"/>
  <c r="K352" i="22" s="1"/>
  <c r="J267" i="30"/>
  <c r="K357" i="22" s="1"/>
  <c r="I229" i="30"/>
  <c r="J305" i="22" s="1"/>
  <c r="I213" i="30"/>
  <c r="J289" i="22" s="1"/>
  <c r="I215" i="30"/>
  <c r="J291" i="22" s="1"/>
  <c r="H223" i="30"/>
  <c r="I299" i="22" s="1"/>
  <c r="H218" i="30"/>
  <c r="I294" i="22" s="1"/>
  <c r="H216" i="30"/>
  <c r="I292" i="22" s="1"/>
  <c r="H227" i="30"/>
  <c r="I303" i="22" s="1"/>
  <c r="I272" i="30"/>
  <c r="J362" i="22" s="1"/>
  <c r="I274" i="30"/>
  <c r="J364" i="22" s="1"/>
  <c r="I263" i="30"/>
  <c r="J353" i="22" s="1"/>
  <c r="E244" i="30"/>
  <c r="F327" i="22" s="1"/>
  <c r="E242" i="30"/>
  <c r="F325" i="22" s="1"/>
  <c r="I249" i="30"/>
  <c r="J332" i="22" s="1"/>
  <c r="K275" i="30"/>
  <c r="L365" i="22" s="1"/>
  <c r="J275" i="30"/>
  <c r="K365" i="22" s="1"/>
  <c r="J276" i="30"/>
  <c r="K366" i="22" s="1"/>
  <c r="F265" i="30"/>
  <c r="G355" i="22" s="1"/>
  <c r="J264" i="30"/>
  <c r="K354" i="22" s="1"/>
  <c r="I222" i="30"/>
  <c r="J298" i="22" s="1"/>
  <c r="H214" i="30"/>
  <c r="I290" i="22" s="1"/>
  <c r="H229" i="30"/>
  <c r="I305" i="22" s="1"/>
  <c r="I258" i="30"/>
  <c r="J348" i="22" s="1"/>
  <c r="I273" i="30"/>
  <c r="J363" i="22" s="1"/>
  <c r="H207" i="30"/>
  <c r="I276" i="22" s="1"/>
  <c r="G225" i="30"/>
  <c r="H301" i="22" s="1"/>
  <c r="G213" i="30"/>
  <c r="H289" i="22" s="1"/>
  <c r="I267" i="30"/>
  <c r="J357" i="22" s="1"/>
  <c r="F268" i="30"/>
  <c r="G358" i="22" s="1"/>
  <c r="F189" i="30"/>
  <c r="G258" i="22" s="1"/>
  <c r="F201" i="30"/>
  <c r="G270" i="22" s="1"/>
  <c r="F202" i="30"/>
  <c r="G271" i="22" s="1"/>
  <c r="F198" i="30"/>
  <c r="G267" i="22" s="1"/>
  <c r="G273" i="30"/>
  <c r="H363" i="22" s="1"/>
  <c r="G265" i="30"/>
  <c r="H355" i="22" s="1"/>
  <c r="G276" i="30"/>
  <c r="H366" i="22" s="1"/>
  <c r="G264" i="30"/>
  <c r="H354" i="22" s="1"/>
  <c r="G260" i="30"/>
  <c r="H350" i="22" s="1"/>
  <c r="G275" i="30"/>
  <c r="H365" i="22" s="1"/>
  <c r="D206" i="30"/>
  <c r="E275" i="22" s="1"/>
  <c r="D205" i="30"/>
  <c r="E274" i="22" s="1"/>
  <c r="D195" i="30"/>
  <c r="E264" i="22" s="1"/>
  <c r="D200" i="30"/>
  <c r="E269" i="22" s="1"/>
  <c r="D196" i="30"/>
  <c r="E265" i="22" s="1"/>
  <c r="E223" i="30"/>
  <c r="F299" i="22" s="1"/>
  <c r="E228" i="30"/>
  <c r="F304" i="22" s="1"/>
  <c r="E227" i="30"/>
  <c r="F303" i="22" s="1"/>
  <c r="D275" i="30"/>
  <c r="E365" i="22" s="1"/>
  <c r="D268" i="30"/>
  <c r="E358" i="22" s="1"/>
  <c r="D260" i="30"/>
  <c r="E350" i="22" s="1"/>
  <c r="D263" i="30"/>
  <c r="E353" i="22" s="1"/>
  <c r="D261" i="30"/>
  <c r="E351" i="22" s="1"/>
  <c r="D276" i="30"/>
  <c r="E366" i="22" s="1"/>
  <c r="D219" i="30"/>
  <c r="E295" i="22" s="1"/>
  <c r="D222" i="30"/>
  <c r="E298" i="22" s="1"/>
  <c r="K319" i="22"/>
  <c r="E252" i="30"/>
  <c r="F335" i="22" s="1"/>
  <c r="E246" i="30"/>
  <c r="F329" i="22" s="1"/>
  <c r="I244" i="30"/>
  <c r="J327" i="22" s="1"/>
  <c r="J245" i="30"/>
  <c r="K328" i="22" s="1"/>
  <c r="I246" i="30"/>
  <c r="J329" i="22" s="1"/>
  <c r="J239" i="22" s="1"/>
  <c r="J243" i="30"/>
  <c r="K326" i="22" s="1"/>
  <c r="F235" i="30"/>
  <c r="G318" i="22" s="1"/>
  <c r="F253" i="30"/>
  <c r="G336" i="22" s="1"/>
  <c r="F248" i="30"/>
  <c r="G331" i="22" s="1"/>
  <c r="F243" i="30"/>
  <c r="G326" i="22" s="1"/>
  <c r="I245" i="30"/>
  <c r="J328" i="22" s="1"/>
  <c r="E214" i="30"/>
  <c r="F290" i="22" s="1"/>
  <c r="J259" i="30"/>
  <c r="K349" i="22" s="1"/>
  <c r="J268" i="30"/>
  <c r="K358" i="22" s="1"/>
  <c r="D267" i="30"/>
  <c r="E357" i="22" s="1"/>
  <c r="D264" i="30"/>
  <c r="E354" i="22" s="1"/>
  <c r="D274" i="30"/>
  <c r="E364" i="22" s="1"/>
  <c r="I227" i="30"/>
  <c r="J303" i="22" s="1"/>
  <c r="E217" i="30"/>
  <c r="F293" i="22" s="1"/>
  <c r="H213" i="30"/>
  <c r="I289" i="22" s="1"/>
  <c r="I260" i="30"/>
  <c r="J350" i="22" s="1"/>
  <c r="I262" i="30"/>
  <c r="J352" i="22" s="1"/>
  <c r="K269" i="30"/>
  <c r="L359" i="22" s="1"/>
  <c r="D216" i="30"/>
  <c r="E292" i="22" s="1"/>
  <c r="G272" i="30"/>
  <c r="H362" i="22" s="1"/>
  <c r="G261" i="30"/>
  <c r="H351" i="22" s="1"/>
  <c r="G271" i="30"/>
  <c r="H361" i="22" s="1"/>
  <c r="F192" i="30"/>
  <c r="G261" i="22" s="1"/>
  <c r="F207" i="30"/>
  <c r="G276" i="22" s="1"/>
  <c r="F190" i="30"/>
  <c r="G259" i="22" s="1"/>
  <c r="G214" i="30"/>
  <c r="H290" i="22" s="1"/>
  <c r="G215" i="30"/>
  <c r="H291" i="22" s="1"/>
  <c r="D201" i="30"/>
  <c r="E270" i="22" s="1"/>
  <c r="D194" i="30"/>
  <c r="E263" i="22" s="1"/>
  <c r="D190" i="30"/>
  <c r="E259" i="22" s="1"/>
  <c r="D273" i="30"/>
  <c r="E363" i="22" s="1"/>
  <c r="D212" i="30"/>
  <c r="E288" i="22" s="1"/>
  <c r="F274" i="30"/>
  <c r="G364" i="22" s="1"/>
  <c r="K264" i="30"/>
  <c r="L354" i="22" s="1"/>
  <c r="K268" i="30"/>
  <c r="L358" i="22" s="1"/>
  <c r="K270" i="30"/>
  <c r="L360" i="22" s="1"/>
  <c r="K266" i="30"/>
  <c r="L356" i="22" s="1"/>
  <c r="K262" i="30"/>
  <c r="L352" i="22" s="1"/>
  <c r="J258" i="30"/>
  <c r="K348" i="22" s="1"/>
  <c r="K267" i="30"/>
  <c r="L357" i="22" s="1"/>
  <c r="J261" i="30"/>
  <c r="K351" i="22" s="1"/>
  <c r="J270" i="30"/>
  <c r="K360" i="22" s="1"/>
  <c r="J274" i="30"/>
  <c r="K364" i="22" s="1"/>
  <c r="F270" i="30"/>
  <c r="G360" i="22" s="1"/>
  <c r="I259" i="30"/>
  <c r="J349" i="22" s="1"/>
  <c r="I271" i="30"/>
  <c r="J361" i="22" s="1"/>
  <c r="I266" i="30"/>
  <c r="J356" i="22" s="1"/>
  <c r="I261" i="30"/>
  <c r="J351" i="22" s="1"/>
  <c r="F273" i="30"/>
  <c r="G363" i="22" s="1"/>
  <c r="K261" i="30"/>
  <c r="L351" i="22" s="1"/>
  <c r="K271" i="30"/>
  <c r="L361" i="22" s="1"/>
  <c r="F258" i="30"/>
  <c r="G348" i="22" s="1"/>
  <c r="J269" i="30"/>
  <c r="K359" i="22" s="1"/>
  <c r="K272" i="30"/>
  <c r="L362" i="22" s="1"/>
  <c r="F262" i="30"/>
  <c r="G352" i="22" s="1"/>
  <c r="F261" i="30"/>
  <c r="G351" i="22" s="1"/>
  <c r="F259" i="30"/>
  <c r="G349" i="22" s="1"/>
  <c r="F267" i="30"/>
  <c r="G357" i="22" s="1"/>
  <c r="F276" i="30"/>
  <c r="G366" i="22" s="1"/>
  <c r="J272" i="30"/>
  <c r="K362" i="22" s="1"/>
  <c r="F260" i="30"/>
  <c r="G350" i="22" s="1"/>
  <c r="I264" i="30"/>
  <c r="J354" i="22" s="1"/>
  <c r="I276" i="30"/>
  <c r="J366" i="22" s="1"/>
  <c r="I270" i="30"/>
  <c r="J360" i="22" s="1"/>
  <c r="I265" i="30"/>
  <c r="J355" i="22" s="1"/>
  <c r="K265" i="30"/>
  <c r="L355" i="22" s="1"/>
  <c r="K276" i="30"/>
  <c r="L366" i="22" s="1"/>
  <c r="K260" i="30"/>
  <c r="L350" i="22" s="1"/>
  <c r="K273" i="30"/>
  <c r="L363" i="22" s="1"/>
  <c r="K259" i="30"/>
  <c r="L349" i="22" s="1"/>
  <c r="J271" i="30"/>
  <c r="K361" i="22" s="1"/>
  <c r="I239" i="30"/>
  <c r="J322" i="22" s="1"/>
  <c r="I242" i="30"/>
  <c r="J325" i="22" s="1"/>
  <c r="F319" i="22"/>
  <c r="F229" i="22" s="1"/>
  <c r="E240" i="30"/>
  <c r="F323" i="22" s="1"/>
  <c r="E247" i="30"/>
  <c r="F330" i="22" s="1"/>
  <c r="I241" i="30"/>
  <c r="J324" i="22" s="1"/>
  <c r="I243" i="30"/>
  <c r="J326" i="22" s="1"/>
  <c r="J319" i="22"/>
  <c r="I240" i="30"/>
  <c r="J323" i="22" s="1"/>
  <c r="J233" i="22" s="1"/>
  <c r="E243" i="30"/>
  <c r="F326" i="22" s="1"/>
  <c r="E248" i="30"/>
  <c r="F331" i="22" s="1"/>
  <c r="E238" i="30"/>
  <c r="F321" i="22" s="1"/>
  <c r="E235" i="30"/>
  <c r="F318" i="22" s="1"/>
  <c r="E241" i="30"/>
  <c r="F324" i="22" s="1"/>
  <c r="E249" i="30"/>
  <c r="F332" i="22" s="1"/>
  <c r="I251" i="30"/>
  <c r="J334" i="22" s="1"/>
  <c r="J244" i="22" s="1"/>
  <c r="I253" i="30"/>
  <c r="J336" i="22" s="1"/>
  <c r="I248" i="30"/>
  <c r="J331" i="22" s="1"/>
  <c r="I225" i="30"/>
  <c r="J301" i="22" s="1"/>
  <c r="I212" i="30"/>
  <c r="J288" i="22" s="1"/>
  <c r="I220" i="30"/>
  <c r="J296" i="22" s="1"/>
  <c r="I218" i="30"/>
  <c r="J294" i="22" s="1"/>
  <c r="E218" i="30"/>
  <c r="F294" i="22" s="1"/>
  <c r="E226" i="30"/>
  <c r="F302" i="22" s="1"/>
  <c r="H230" i="30"/>
  <c r="I306" i="22" s="1"/>
  <c r="H212" i="30"/>
  <c r="I288" i="22" s="1"/>
  <c r="H228" i="30"/>
  <c r="I304" i="22" s="1"/>
  <c r="H222" i="30"/>
  <c r="I298" i="22" s="1"/>
  <c r="H217" i="30"/>
  <c r="I293" i="22" s="1"/>
  <c r="H225" i="30"/>
  <c r="I301" i="22" s="1"/>
  <c r="D220" i="30"/>
  <c r="E296" i="22" s="1"/>
  <c r="D218" i="30"/>
  <c r="E294" i="22" s="1"/>
  <c r="D214" i="30"/>
  <c r="E290" i="22" s="1"/>
  <c r="D224" i="30"/>
  <c r="E300" i="22" s="1"/>
  <c r="D217" i="30"/>
  <c r="E293" i="22" s="1"/>
  <c r="D221" i="30"/>
  <c r="E297" i="22" s="1"/>
  <c r="D225" i="30"/>
  <c r="E301" i="22" s="1"/>
  <c r="D229" i="30"/>
  <c r="E305" i="22" s="1"/>
  <c r="I226" i="30"/>
  <c r="J302" i="22" s="1"/>
  <c r="H224" i="30"/>
  <c r="I300" i="22" s="1"/>
  <c r="I228" i="30"/>
  <c r="J304" i="22" s="1"/>
  <c r="G222" i="30"/>
  <c r="H298" i="22" s="1"/>
  <c r="G227" i="30"/>
  <c r="H303" i="22" s="1"/>
  <c r="G218" i="30"/>
  <c r="H294" i="22" s="1"/>
  <c r="G217" i="30"/>
  <c r="H293" i="22" s="1"/>
  <c r="D228" i="30"/>
  <c r="E304" i="22" s="1"/>
  <c r="E222" i="30"/>
  <c r="F298" i="22" s="1"/>
  <c r="E219" i="30"/>
  <c r="F295" i="22" s="1"/>
  <c r="E216" i="30"/>
  <c r="F292" i="22" s="1"/>
  <c r="E213" i="30"/>
  <c r="F289" i="22" s="1"/>
  <c r="G229" i="30"/>
  <c r="H305" i="22" s="1"/>
  <c r="I219" i="30"/>
  <c r="J295" i="22" s="1"/>
  <c r="I224" i="30"/>
  <c r="J300" i="22" s="1"/>
  <c r="I216" i="30"/>
  <c r="J292" i="22" s="1"/>
  <c r="E225" i="30"/>
  <c r="F301" i="22" s="1"/>
  <c r="H226" i="30"/>
  <c r="I302" i="22" s="1"/>
  <c r="H219" i="30"/>
  <c r="I295" i="22" s="1"/>
  <c r="I221" i="30"/>
  <c r="J297" i="22" s="1"/>
  <c r="G212" i="30"/>
  <c r="H288" i="22" s="1"/>
  <c r="G223" i="30"/>
  <c r="H299" i="22" s="1"/>
  <c r="G219" i="30"/>
  <c r="H295" i="22" s="1"/>
  <c r="H206" i="30"/>
  <c r="I275" i="22" s="1"/>
  <c r="H195" i="30"/>
  <c r="I264" i="22" s="1"/>
  <c r="H203" i="30"/>
  <c r="I272" i="22" s="1"/>
  <c r="I242" i="22" s="1"/>
  <c r="H194" i="30"/>
  <c r="I263" i="22" s="1"/>
  <c r="H192" i="30"/>
  <c r="I261" i="22" s="1"/>
  <c r="H189" i="30"/>
  <c r="I258" i="22" s="1"/>
  <c r="H197" i="30"/>
  <c r="I266" i="22" s="1"/>
  <c r="H205" i="30"/>
  <c r="I274" i="22" s="1"/>
  <c r="H200" i="30"/>
  <c r="I269" i="22" s="1"/>
  <c r="H196" i="30"/>
  <c r="I265" i="22" s="1"/>
  <c r="H198" i="30"/>
  <c r="I267" i="22" s="1"/>
  <c r="H191" i="30"/>
  <c r="I260" i="22" s="1"/>
  <c r="H199" i="30"/>
  <c r="I268" i="22" s="1"/>
  <c r="H204" i="30"/>
  <c r="I273" i="22" s="1"/>
  <c r="I238" i="30"/>
  <c r="J321" i="22" s="1"/>
  <c r="I252" i="30"/>
  <c r="J335" i="22" s="1"/>
  <c r="F531" i="22"/>
  <c r="K561" i="22"/>
  <c r="E561" i="22"/>
  <c r="K215" i="34"/>
  <c r="L198" i="22" s="1"/>
  <c r="K224" i="34"/>
  <c r="L207" i="22" s="1"/>
  <c r="G218" i="34"/>
  <c r="H201" i="22" s="1"/>
  <c r="K220" i="34"/>
  <c r="L203" i="22" s="1"/>
  <c r="L195" i="22"/>
  <c r="K221" i="34"/>
  <c r="L204" i="22" s="1"/>
  <c r="K218" i="34"/>
  <c r="L201" i="22" s="1"/>
  <c r="K219" i="34"/>
  <c r="L202" i="22" s="1"/>
  <c r="J220" i="34"/>
  <c r="K203" i="22" s="1"/>
  <c r="J218" i="34"/>
  <c r="K201" i="22" s="1"/>
  <c r="J224" i="34"/>
  <c r="K207" i="22" s="1"/>
  <c r="J221" i="34"/>
  <c r="K204" i="22" s="1"/>
  <c r="J227" i="34"/>
  <c r="K210" i="22" s="1"/>
  <c r="G224" i="34"/>
  <c r="H207" i="22" s="1"/>
  <c r="G216" i="34"/>
  <c r="H199" i="22" s="1"/>
  <c r="K225" i="34"/>
  <c r="L208" i="22" s="1"/>
  <c r="F223" i="34"/>
  <c r="G206" i="22" s="1"/>
  <c r="F215" i="34"/>
  <c r="G198" i="22" s="1"/>
  <c r="F222" i="34"/>
  <c r="G205" i="22" s="1"/>
  <c r="J225" i="34"/>
  <c r="K208" i="22" s="1"/>
  <c r="K217" i="34"/>
  <c r="L200" i="22" s="1"/>
  <c r="G226" i="34"/>
  <c r="H209" i="22" s="1"/>
  <c r="G225" i="34"/>
  <c r="H208" i="22" s="1"/>
  <c r="G221" i="34"/>
  <c r="H204" i="22" s="1"/>
  <c r="G217" i="34"/>
  <c r="H200" i="22" s="1"/>
  <c r="G213" i="34"/>
  <c r="H194" i="22" s="1"/>
  <c r="J214" i="34"/>
  <c r="K213" i="34"/>
  <c r="L194" i="22" s="1"/>
  <c r="K226" i="34"/>
  <c r="L209" i="22" s="1"/>
  <c r="J222" i="34"/>
  <c r="K205" i="22" s="1"/>
  <c r="J223" i="34"/>
  <c r="K206" i="22" s="1"/>
  <c r="G222" i="34"/>
  <c r="H205" i="22" s="1"/>
  <c r="G214" i="34"/>
  <c r="G223" i="34"/>
  <c r="H206" i="22" s="1"/>
  <c r="G219" i="34"/>
  <c r="H202" i="22" s="1"/>
  <c r="G215" i="34"/>
  <c r="H198" i="22" s="1"/>
  <c r="F221" i="34"/>
  <c r="G204" i="22" s="1"/>
  <c r="F213" i="34"/>
  <c r="G194" i="22" s="1"/>
  <c r="H227" i="34"/>
  <c r="I210" i="22" s="1"/>
  <c r="H225" i="34"/>
  <c r="I208" i="22" s="1"/>
  <c r="D216" i="34"/>
  <c r="E199" i="22" s="1"/>
  <c r="K233" i="34"/>
  <c r="L216" i="22" s="1"/>
  <c r="D233" i="34"/>
  <c r="E216" i="22" s="1"/>
  <c r="D232" i="34"/>
  <c r="E215" i="22" s="1"/>
  <c r="K231" i="34"/>
  <c r="L214" i="22" s="1"/>
  <c r="G231" i="34"/>
  <c r="H214" i="22" s="1"/>
  <c r="J231" i="34"/>
  <c r="K214" i="22" s="1"/>
  <c r="H231" i="34"/>
  <c r="I214" i="22" s="1"/>
  <c r="K232" i="34"/>
  <c r="L215" i="22" s="1"/>
  <c r="G232" i="34"/>
  <c r="H215" i="22" s="1"/>
  <c r="I232" i="34"/>
  <c r="J215" i="22" s="1"/>
  <c r="D231" i="34"/>
  <c r="E214" i="22" s="1"/>
  <c r="E232" i="34"/>
  <c r="F215" i="22" s="1"/>
  <c r="H233" i="34"/>
  <c r="I216" i="22" s="1"/>
  <c r="F232" i="34"/>
  <c r="G215" i="22" s="1"/>
  <c r="G233" i="34"/>
  <c r="H216" i="22" s="1"/>
  <c r="E200" i="34"/>
  <c r="F181" i="22" s="1"/>
  <c r="I189" i="34"/>
  <c r="J170" i="22" s="1"/>
  <c r="I190" i="34"/>
  <c r="J171" i="22" s="1"/>
  <c r="E197" i="34"/>
  <c r="F178" i="22" s="1"/>
  <c r="E196" i="34"/>
  <c r="F177" i="22" s="1"/>
  <c r="I186" i="34"/>
  <c r="J165" i="22" s="1"/>
  <c r="I199" i="34"/>
  <c r="J180" i="22" s="1"/>
  <c r="F195" i="34"/>
  <c r="G176" i="22" s="1"/>
  <c r="J195" i="34"/>
  <c r="K176" i="22" s="1"/>
  <c r="K190" i="34"/>
  <c r="L171" i="22" s="1"/>
  <c r="K192" i="34"/>
  <c r="L173" i="22" s="1"/>
  <c r="K197" i="34"/>
  <c r="L178" i="22" s="1"/>
  <c r="G187" i="34"/>
  <c r="H168" i="22" s="1"/>
  <c r="K188" i="34"/>
  <c r="L169" i="22" s="1"/>
  <c r="K199" i="34"/>
  <c r="L180" i="22" s="1"/>
  <c r="K198" i="34"/>
  <c r="L179" i="22" s="1"/>
  <c r="K191" i="34"/>
  <c r="L172" i="22" s="1"/>
  <c r="K195" i="34"/>
  <c r="L176" i="22" s="1"/>
  <c r="K186" i="34"/>
  <c r="L165" i="22" s="1"/>
  <c r="K196" i="34"/>
  <c r="L177" i="22" s="1"/>
  <c r="K189" i="34"/>
  <c r="L170" i="22" s="1"/>
  <c r="K193" i="34"/>
  <c r="L174" i="22" s="1"/>
  <c r="I193" i="34"/>
  <c r="J174" i="22" s="1"/>
  <c r="E186" i="34"/>
  <c r="F165" i="22" s="1"/>
  <c r="K194" i="34"/>
  <c r="L175" i="22" s="1"/>
  <c r="K187" i="34"/>
  <c r="L167" i="22" s="1"/>
  <c r="G186" i="34"/>
  <c r="H165" i="22" s="1"/>
  <c r="I195" i="34"/>
  <c r="J176" i="22" s="1"/>
  <c r="I187" i="34"/>
  <c r="I188" i="34"/>
  <c r="J169" i="22" s="1"/>
  <c r="E194" i="34"/>
  <c r="F175" i="22" s="1"/>
  <c r="E189" i="34"/>
  <c r="F170" i="22" s="1"/>
  <c r="E192" i="34"/>
  <c r="F173" i="22" s="1"/>
  <c r="E187" i="34"/>
  <c r="F166" i="22" s="1"/>
  <c r="G193" i="34"/>
  <c r="H174" i="22" s="1"/>
  <c r="J187" i="34"/>
  <c r="K167" i="22" s="1"/>
  <c r="F189" i="34"/>
  <c r="G170" i="22" s="1"/>
  <c r="I200" i="34"/>
  <c r="J181" i="22" s="1"/>
  <c r="I191" i="34"/>
  <c r="J172" i="22" s="1"/>
  <c r="I192" i="34"/>
  <c r="J173" i="22" s="1"/>
  <c r="E191" i="34"/>
  <c r="F172" i="22" s="1"/>
  <c r="E190" i="34"/>
  <c r="F171" i="22" s="1"/>
  <c r="G196" i="34"/>
  <c r="H177" i="22" s="1"/>
  <c r="G192" i="34"/>
  <c r="H173" i="22" s="1"/>
  <c r="G190" i="34"/>
  <c r="H171" i="22" s="1"/>
  <c r="F193" i="34"/>
  <c r="G174" i="22" s="1"/>
  <c r="F186" i="34"/>
  <c r="G165" i="22" s="1"/>
  <c r="F191" i="34"/>
  <c r="G172" i="22" s="1"/>
  <c r="J190" i="34"/>
  <c r="K171" i="22" s="1"/>
  <c r="J196" i="34"/>
  <c r="K177" i="22" s="1"/>
  <c r="J189" i="34"/>
  <c r="K170" i="22" s="1"/>
  <c r="G191" i="34"/>
  <c r="H172" i="22" s="1"/>
  <c r="G197" i="34"/>
  <c r="H178" i="22" s="1"/>
  <c r="G188" i="34"/>
  <c r="H169" i="22" s="1"/>
  <c r="G199" i="34"/>
  <c r="H180" i="22" s="1"/>
  <c r="G194" i="34"/>
  <c r="H175" i="22" s="1"/>
  <c r="G200" i="34"/>
  <c r="H181" i="22" s="1"/>
  <c r="F192" i="34"/>
  <c r="G173" i="22" s="1"/>
  <c r="F198" i="34"/>
  <c r="G179" i="22" s="1"/>
  <c r="J197" i="34"/>
  <c r="K178" i="22" s="1"/>
  <c r="J188" i="34"/>
  <c r="K169" i="22" s="1"/>
  <c r="J194" i="34"/>
  <c r="K175" i="22" s="1"/>
  <c r="G198" i="34"/>
  <c r="H179" i="22" s="1"/>
  <c r="G189" i="34"/>
  <c r="H170" i="22" s="1"/>
  <c r="G195" i="34"/>
  <c r="H176" i="22" s="1"/>
  <c r="H200" i="34"/>
  <c r="I181" i="22" s="1"/>
  <c r="D200" i="34"/>
  <c r="E181" i="22" s="1"/>
  <c r="H187" i="34"/>
  <c r="I166" i="22" s="1"/>
  <c r="D193" i="34"/>
  <c r="E174" i="22" s="1"/>
  <c r="H215" i="34"/>
  <c r="I198" i="22" s="1"/>
  <c r="H219" i="34"/>
  <c r="I202" i="22" s="1"/>
  <c r="H218" i="34"/>
  <c r="I201" i="22" s="1"/>
  <c r="D198" i="34"/>
  <c r="E179" i="22" s="1"/>
  <c r="D188" i="34"/>
  <c r="E169" i="22" s="1"/>
  <c r="D191" i="34"/>
  <c r="E172" i="22" s="1"/>
  <c r="G168" i="22"/>
  <c r="G166" i="22"/>
  <c r="H190" i="34"/>
  <c r="I171" i="22" s="1"/>
  <c r="H196" i="34"/>
  <c r="I177" i="22" s="1"/>
  <c r="H189" i="34"/>
  <c r="I170" i="22" s="1"/>
  <c r="F167" i="22"/>
  <c r="D219" i="34"/>
  <c r="E202" i="22" s="1"/>
  <c r="D224" i="34"/>
  <c r="E207" i="22" s="1"/>
  <c r="H75" i="27"/>
  <c r="H121" i="27" s="1"/>
  <c r="I543" i="22" s="1"/>
  <c r="I483" i="22" s="1"/>
  <c r="J75" i="27"/>
  <c r="J119" i="27" s="1"/>
  <c r="K541" i="22" s="1"/>
  <c r="K481" i="22" s="1"/>
  <c r="J49" i="27"/>
  <c r="J94" i="27" s="1"/>
  <c r="K515" i="22" s="1"/>
  <c r="F214" i="34"/>
  <c r="I75" i="27"/>
  <c r="I124" i="27" s="1"/>
  <c r="J546" i="22" s="1"/>
  <c r="J486" i="22" s="1"/>
  <c r="H199" i="34"/>
  <c r="I180" i="22" s="1"/>
  <c r="H214" i="34"/>
  <c r="H221" i="34"/>
  <c r="I204" i="22" s="1"/>
  <c r="D192" i="34"/>
  <c r="E173" i="22" s="1"/>
  <c r="D190" i="34"/>
  <c r="E171" i="22" s="1"/>
  <c r="H197" i="34"/>
  <c r="I178" i="22" s="1"/>
  <c r="H188" i="34"/>
  <c r="I169" i="22" s="1"/>
  <c r="H194" i="34"/>
  <c r="I175" i="22" s="1"/>
  <c r="D223" i="34"/>
  <c r="E206" i="22" s="1"/>
  <c r="E167" i="22"/>
  <c r="E168" i="22"/>
  <c r="K166" i="22"/>
  <c r="F49" i="27"/>
  <c r="F75" i="27"/>
  <c r="F129" i="27" s="1"/>
  <c r="G551" i="22" s="1"/>
  <c r="H217" i="34"/>
  <c r="I200" i="22" s="1"/>
  <c r="D222" i="34"/>
  <c r="E205" i="22" s="1"/>
  <c r="D225" i="34"/>
  <c r="E208" i="22" s="1"/>
  <c r="D214" i="34"/>
  <c r="D217" i="34"/>
  <c r="E200" i="22" s="1"/>
  <c r="D221" i="34"/>
  <c r="E204" i="22" s="1"/>
  <c r="D116" i="27"/>
  <c r="E536" i="22" s="1"/>
  <c r="J129" i="27"/>
  <c r="K551" i="22" s="1"/>
  <c r="E121" i="27"/>
  <c r="F543" i="22" s="1"/>
  <c r="E60" i="29"/>
  <c r="D61" i="29"/>
  <c r="D56" i="29" s="1"/>
  <c r="D93" i="29" s="1"/>
  <c r="E110" i="22" s="1"/>
  <c r="E40" i="29"/>
  <c r="D41" i="29"/>
  <c r="D36" i="29" s="1"/>
  <c r="E99" i="29"/>
  <c r="F116" i="22" s="1"/>
  <c r="Q304" i="21"/>
  <c r="D92" i="29"/>
  <c r="E109" i="22" s="1"/>
  <c r="J80" i="29"/>
  <c r="K87" i="22" s="1"/>
  <c r="H15" i="21"/>
  <c r="C304" i="21"/>
  <c r="D162" i="21" a="1"/>
  <c r="M162" i="21" s="1"/>
  <c r="I150" i="22"/>
  <c r="H146" i="22"/>
  <c r="H150" i="22"/>
  <c r="L148" i="22"/>
  <c r="J139" i="22"/>
  <c r="K160" i="22"/>
  <c r="H144" i="22"/>
  <c r="I145" i="22"/>
  <c r="J144" i="22"/>
  <c r="J158" i="22"/>
  <c r="J156" i="22"/>
  <c r="K136" i="22"/>
  <c r="K141" i="22"/>
  <c r="K146" i="22"/>
  <c r="L146" i="22"/>
  <c r="F147" i="22"/>
  <c r="I140" i="22"/>
  <c r="K150" i="22"/>
  <c r="L135" i="22"/>
  <c r="G143" i="22"/>
  <c r="G152" i="22"/>
  <c r="K152" i="22"/>
  <c r="G151" i="22"/>
  <c r="H136" i="22"/>
  <c r="H160" i="22"/>
  <c r="H151" i="22"/>
  <c r="E156" i="22"/>
  <c r="F142" i="22"/>
  <c r="G140" i="22"/>
  <c r="J160" i="22"/>
  <c r="L156" i="22"/>
  <c r="J141" i="22"/>
  <c r="E152" i="22"/>
  <c r="I161" i="22"/>
  <c r="G141" i="22"/>
  <c r="I156" i="22"/>
  <c r="G150" i="22"/>
  <c r="K142" i="22"/>
  <c r="K148" i="22"/>
  <c r="F157" i="22"/>
  <c r="K161" i="22"/>
  <c r="L140" i="22"/>
  <c r="F160" i="22"/>
  <c r="H158" i="22"/>
  <c r="G139" i="22"/>
  <c r="F161" i="22"/>
  <c r="F50" i="22"/>
  <c r="P304" i="21"/>
  <c r="O305" i="21"/>
  <c r="G304" i="21"/>
  <c r="J575" i="22"/>
  <c r="J492" i="22"/>
  <c r="E125" i="27"/>
  <c r="F547" i="22" s="1"/>
  <c r="I561" i="22"/>
  <c r="E128" i="27"/>
  <c r="F550" i="22" s="1"/>
  <c r="I129" i="27"/>
  <c r="J551" i="22" s="1"/>
  <c r="I556" i="22"/>
  <c r="H135" i="27"/>
  <c r="I557" i="22" s="1"/>
  <c r="L556" i="22"/>
  <c r="K135" i="27"/>
  <c r="E116" i="27"/>
  <c r="F536" i="22" s="1"/>
  <c r="E129" i="27"/>
  <c r="F551" i="22" s="1"/>
  <c r="H116" i="27"/>
  <c r="I536" i="22" s="1"/>
  <c r="F126" i="27"/>
  <c r="G548" i="22" s="1"/>
  <c r="E123" i="27"/>
  <c r="F545" i="22" s="1"/>
  <c r="E120" i="27"/>
  <c r="F542" i="22" s="1"/>
  <c r="F90" i="27"/>
  <c r="G511" i="22" s="1"/>
  <c r="E100" i="27"/>
  <c r="F521" i="22" s="1"/>
  <c r="D100" i="27"/>
  <c r="E521" i="22" s="1"/>
  <c r="K526" i="22"/>
  <c r="J106" i="27"/>
  <c r="K527" i="22" s="1"/>
  <c r="I106" i="27"/>
  <c r="I107" i="27" s="1"/>
  <c r="J528" i="22" s="1"/>
  <c r="J526" i="22"/>
  <c r="K93" i="27"/>
  <c r="L514" i="22" s="1"/>
  <c r="G526" i="22"/>
  <c r="H94" i="27"/>
  <c r="I515" i="22" s="1"/>
  <c r="D159" i="21" a="1"/>
  <c r="R159" i="21" s="1"/>
  <c r="Q305" i="21"/>
  <c r="C305" i="21"/>
  <c r="H46" i="22"/>
  <c r="K583" i="22"/>
  <c r="G65" i="22"/>
  <c r="G582" i="22"/>
  <c r="E593" i="22"/>
  <c r="H61" i="22"/>
  <c r="I585" i="22"/>
  <c r="L495" i="22"/>
  <c r="E42" i="22"/>
  <c r="E52" i="22"/>
  <c r="L572" i="22"/>
  <c r="L63" i="22"/>
  <c r="L56" i="22"/>
  <c r="H64" i="22"/>
  <c r="J574" i="22"/>
  <c r="I591" i="22"/>
  <c r="H596" i="22"/>
  <c r="I590" i="22"/>
  <c r="K49" i="22"/>
  <c r="J56" i="22"/>
  <c r="F64" i="22"/>
  <c r="G43" i="22"/>
  <c r="G588" i="22"/>
  <c r="K580" i="22"/>
  <c r="G591" i="22"/>
  <c r="I579" i="22"/>
  <c r="H593" i="22"/>
  <c r="K51" i="22"/>
  <c r="H42" i="22"/>
  <c r="F62" i="22"/>
  <c r="G579" i="22"/>
  <c r="I577" i="22"/>
  <c r="I582" i="22"/>
  <c r="E571" i="22"/>
  <c r="F574" i="22"/>
  <c r="K584" i="22"/>
  <c r="H583" i="22"/>
  <c r="H578" i="22"/>
  <c r="I596" i="22"/>
  <c r="I575" i="22"/>
  <c r="F597" i="22"/>
  <c r="G574" i="22"/>
  <c r="H597" i="22"/>
  <c r="J579" i="22"/>
  <c r="E588" i="22"/>
  <c r="E578" i="22"/>
  <c r="H582" i="22"/>
  <c r="K577" i="22"/>
  <c r="E581" i="22"/>
  <c r="I593" i="22"/>
  <c r="H579" i="22"/>
  <c r="E597" i="22"/>
  <c r="I580" i="22"/>
  <c r="J571" i="22"/>
  <c r="H577" i="22"/>
  <c r="J590" i="22"/>
  <c r="I592" i="22"/>
  <c r="H571" i="22"/>
  <c r="F596" i="22"/>
  <c r="E577" i="22"/>
  <c r="I581" i="22"/>
  <c r="H575" i="22"/>
  <c r="E585" i="22"/>
  <c r="K575" i="22"/>
  <c r="L580" i="22"/>
  <c r="J573" i="22"/>
  <c r="L584" i="22"/>
  <c r="F594" i="22"/>
  <c r="G587" i="22"/>
  <c r="H584" i="22"/>
  <c r="E590" i="22"/>
  <c r="K581" i="22"/>
  <c r="H595" i="22"/>
  <c r="J583" i="22"/>
  <c r="J584" i="22"/>
  <c r="I572" i="22"/>
  <c r="K571" i="22"/>
  <c r="F582" i="22"/>
  <c r="F591" i="22"/>
  <c r="I587" i="22"/>
  <c r="G573" i="22"/>
  <c r="L597" i="22"/>
  <c r="L586" i="22"/>
  <c r="G571" i="22"/>
  <c r="L575" i="22"/>
  <c r="G575" i="22"/>
  <c r="K591" i="22"/>
  <c r="J582" i="22"/>
  <c r="G590" i="22"/>
  <c r="L574" i="22"/>
  <c r="E595" i="22"/>
  <c r="L592" i="22"/>
  <c r="F577" i="22"/>
  <c r="F595" i="22"/>
  <c r="K578" i="22"/>
  <c r="E594" i="22"/>
  <c r="I597" i="22"/>
  <c r="L593" i="22"/>
  <c r="H586" i="22"/>
  <c r="F588" i="22"/>
  <c r="J580" i="22"/>
  <c r="I586" i="22"/>
  <c r="H572" i="22"/>
  <c r="J591" i="22"/>
  <c r="J577" i="22"/>
  <c r="F580" i="22"/>
  <c r="E575" i="22"/>
  <c r="E572" i="22"/>
  <c r="F592" i="22"/>
  <c r="E583" i="22"/>
  <c r="K574" i="22"/>
  <c r="G593" i="22"/>
  <c r="J592" i="22"/>
  <c r="K597" i="22"/>
  <c r="I573" i="22"/>
  <c r="I571" i="22"/>
  <c r="K478" i="22"/>
  <c r="E478" i="22"/>
  <c r="G478" i="22"/>
  <c r="I497" i="22"/>
  <c r="F483" i="22"/>
  <c r="I493" i="22"/>
  <c r="H479" i="22"/>
  <c r="G493" i="22"/>
  <c r="F476" i="22"/>
  <c r="H43" i="22"/>
  <c r="L55" i="22"/>
  <c r="L65" i="22"/>
  <c r="J44" i="22"/>
  <c r="F43" i="22"/>
  <c r="F63" i="22"/>
  <c r="I67" i="22"/>
  <c r="L64" i="22"/>
  <c r="L48" i="22"/>
  <c r="E44" i="22"/>
  <c r="E66" i="22"/>
  <c r="G42" i="22"/>
  <c r="I62" i="22"/>
  <c r="K55" i="22"/>
  <c r="L43" i="22"/>
  <c r="L61" i="22"/>
  <c r="E67" i="22"/>
  <c r="F61" i="22"/>
  <c r="G62" i="22"/>
  <c r="K43" i="22"/>
  <c r="E63" i="22"/>
  <c r="K59" i="22"/>
  <c r="G50" i="22"/>
  <c r="E48" i="22"/>
  <c r="L53" i="22"/>
  <c r="I46" i="22"/>
  <c r="G53" i="22"/>
  <c r="K47" i="22"/>
  <c r="I49" i="22"/>
  <c r="H59" i="22"/>
  <c r="E47" i="22"/>
  <c r="E50" i="22"/>
  <c r="L52" i="22"/>
  <c r="H66" i="22"/>
  <c r="E43" i="22"/>
  <c r="L47" i="22"/>
  <c r="E55" i="22"/>
  <c r="G64" i="22"/>
  <c r="G66" i="22"/>
  <c r="H67" i="22"/>
  <c r="K66" i="22"/>
  <c r="L67" i="22"/>
  <c r="L57" i="22"/>
  <c r="F44" i="22"/>
  <c r="I43" i="22"/>
  <c r="K44" i="22"/>
  <c r="E56" i="22"/>
  <c r="I61" i="22"/>
  <c r="L44" i="22"/>
  <c r="K42" i="22"/>
  <c r="K62" i="22"/>
  <c r="K65" i="22"/>
  <c r="J63" i="22"/>
  <c r="J65" i="22"/>
  <c r="J67" i="22"/>
  <c r="J52" i="22"/>
  <c r="H57" i="22"/>
  <c r="G59" i="22"/>
  <c r="I66" i="22"/>
  <c r="J47" i="22"/>
  <c r="H53" i="22"/>
  <c r="K52" i="22"/>
  <c r="J54" i="22"/>
  <c r="G49" i="22"/>
  <c r="F49" i="22"/>
  <c r="E51" i="22"/>
  <c r="K61" i="22"/>
  <c r="G61" i="22"/>
  <c r="L58" i="22"/>
  <c r="I498" i="22"/>
  <c r="F493" i="22"/>
  <c r="F42" i="22"/>
  <c r="L573" i="22"/>
  <c r="H585" i="22"/>
  <c r="E59" i="22"/>
  <c r="F54" i="22"/>
  <c r="J48" i="22"/>
  <c r="I51" i="22"/>
  <c r="G44" i="22"/>
  <c r="F587" i="22"/>
  <c r="H47" i="22"/>
  <c r="E61" i="22"/>
  <c r="L50" i="22"/>
  <c r="H44" i="22"/>
  <c r="E62" i="22"/>
  <c r="F66" i="22"/>
  <c r="H65" i="22"/>
  <c r="L49" i="22"/>
  <c r="I63" i="22"/>
  <c r="K67" i="22"/>
  <c r="L54" i="22"/>
  <c r="K582" i="22"/>
  <c r="J593" i="22"/>
  <c r="J597" i="22"/>
  <c r="J581" i="22"/>
  <c r="H590" i="22"/>
  <c r="I595" i="22"/>
  <c r="L576" i="22"/>
  <c r="K592" i="22"/>
  <c r="H587" i="22"/>
  <c r="G595" i="22"/>
  <c r="L582" i="22"/>
  <c r="H594" i="22"/>
  <c r="E576" i="22"/>
  <c r="K588" i="22"/>
  <c r="K593" i="22"/>
  <c r="K579" i="22"/>
  <c r="J497" i="22"/>
  <c r="F482" i="22"/>
  <c r="F487" i="22"/>
  <c r="J489" i="22"/>
  <c r="H489" i="22"/>
  <c r="F56" i="22"/>
  <c r="E596" i="22"/>
  <c r="H591" i="22"/>
  <c r="E53" i="22"/>
  <c r="G46" i="22"/>
  <c r="K53" i="22"/>
  <c r="K46" i="22"/>
  <c r="F579" i="22"/>
  <c r="F48" i="22"/>
  <c r="K50" i="22"/>
  <c r="K63" i="22"/>
  <c r="K56" i="22"/>
  <c r="J64" i="22"/>
  <c r="F67" i="22"/>
  <c r="I64" i="22"/>
  <c r="J55" i="22"/>
  <c r="G56" i="22"/>
  <c r="E65" i="22"/>
  <c r="J66" i="22"/>
  <c r="I42" i="22"/>
  <c r="J596" i="22"/>
  <c r="L588" i="22"/>
  <c r="I584" i="22"/>
  <c r="J595" i="22"/>
  <c r="K594" i="22"/>
  <c r="L579" i="22"/>
  <c r="G584" i="22"/>
  <c r="J576" i="22"/>
  <c r="K596" i="22"/>
  <c r="K573" i="22"/>
  <c r="H574" i="22"/>
  <c r="L583" i="22"/>
  <c r="F575" i="22"/>
  <c r="E573" i="22"/>
  <c r="F572" i="22"/>
  <c r="I574" i="22"/>
  <c r="J585" i="22"/>
  <c r="F485" i="22"/>
  <c r="E501" i="22"/>
  <c r="J588" i="22"/>
  <c r="F593" i="22"/>
  <c r="K595" i="22"/>
  <c r="E58" i="22"/>
  <c r="F47" i="22"/>
  <c r="J53" i="22"/>
  <c r="I52" i="22"/>
  <c r="L571" i="22"/>
  <c r="G577" i="22"/>
  <c r="I54" i="22"/>
  <c r="E64" i="22"/>
  <c r="L51" i="22"/>
  <c r="F65" i="22"/>
  <c r="H55" i="22"/>
  <c r="J42" i="22"/>
  <c r="F55" i="22"/>
  <c r="G63" i="22"/>
  <c r="J62" i="22"/>
  <c r="L66" i="22"/>
  <c r="L46" i="22"/>
  <c r="L581" i="22"/>
  <c r="K586" i="22"/>
  <c r="L595" i="22"/>
  <c r="E584" i="22"/>
  <c r="G592" i="22"/>
  <c r="L596" i="22"/>
  <c r="K572" i="22"/>
  <c r="L585" i="22"/>
  <c r="E574" i="22"/>
  <c r="G578" i="22"/>
  <c r="J586" i="22"/>
  <c r="G572" i="22"/>
  <c r="G594" i="22"/>
  <c r="E591" i="22"/>
  <c r="I578" i="22"/>
  <c r="H63" i="22"/>
  <c r="J502" i="22"/>
  <c r="J498" i="22"/>
  <c r="K491" i="22"/>
  <c r="I477" i="22"/>
  <c r="L241" i="22"/>
  <c r="E305" i="21"/>
  <c r="E304" i="21"/>
  <c r="F305" i="21"/>
  <c r="O304" i="21"/>
  <c r="N304" i="21"/>
  <c r="L305" i="21"/>
  <c r="K304" i="21"/>
  <c r="H304" i="21"/>
  <c r="I305" i="21"/>
  <c r="I304" i="21"/>
  <c r="J305" i="21"/>
  <c r="H305" i="21"/>
  <c r="K305" i="21"/>
  <c r="J304" i="21"/>
  <c r="G305" i="21"/>
  <c r="L304" i="21"/>
  <c r="M305" i="21"/>
  <c r="M304" i="21"/>
  <c r="N305" i="21"/>
  <c r="P305" i="21"/>
  <c r="F304" i="21"/>
  <c r="D305" i="21"/>
  <c r="H239" i="22"/>
  <c r="H245" i="22"/>
  <c r="E150" i="22"/>
  <c r="H141" i="22"/>
  <c r="J142" i="22"/>
  <c r="H143" i="22"/>
  <c r="F136" i="22"/>
  <c r="K139" i="22"/>
  <c r="E155" i="22"/>
  <c r="E33" i="22" s="1"/>
  <c r="E120" i="21" s="1"/>
  <c r="D300" i="21" s="1"/>
  <c r="L142" i="22"/>
  <c r="G147" i="22"/>
  <c r="J155" i="22"/>
  <c r="J33" i="22" s="1"/>
  <c r="J120" i="21" s="1"/>
  <c r="I300" i="21" s="1"/>
  <c r="K158" i="22"/>
  <c r="G144" i="22"/>
  <c r="J146" i="22"/>
  <c r="I139" i="22"/>
  <c r="K143" i="22"/>
  <c r="F137" i="22"/>
  <c r="E142" i="22"/>
  <c r="F151" i="22"/>
  <c r="F139" i="22"/>
  <c r="I147" i="22"/>
  <c r="G157" i="22"/>
  <c r="E159" i="22"/>
  <c r="G142" i="22"/>
  <c r="L143" i="22"/>
  <c r="F145" i="22"/>
  <c r="F140" i="22"/>
  <c r="G137" i="22"/>
  <c r="I160" i="22"/>
  <c r="F152" i="22"/>
  <c r="I146" i="22"/>
  <c r="E139" i="22"/>
  <c r="L161" i="22"/>
  <c r="I155" i="22"/>
  <c r="I33" i="22" s="1"/>
  <c r="I120" i="21" s="1"/>
  <c r="H300" i="21" s="1"/>
  <c r="L158" i="22"/>
  <c r="K140" i="22"/>
  <c r="H147" i="22"/>
  <c r="L155" i="22"/>
  <c r="L33" i="22" s="1"/>
  <c r="L120" i="21" s="1"/>
  <c r="K300" i="21" s="1"/>
  <c r="J150" i="22"/>
  <c r="F141" i="22"/>
  <c r="E145" i="22"/>
  <c r="J151" i="22"/>
  <c r="J152" i="22"/>
  <c r="E135" i="22"/>
  <c r="F155" i="22"/>
  <c r="F33" i="22" s="1"/>
  <c r="F120" i="21" s="1"/>
  <c r="E300" i="21" s="1"/>
  <c r="I151" i="22"/>
  <c r="L136" i="22"/>
  <c r="E146" i="22"/>
  <c r="E137" i="22"/>
  <c r="E140" i="22"/>
  <c r="K156" i="22"/>
  <c r="I152" i="22"/>
  <c r="H148" i="22"/>
  <c r="J136" i="22"/>
  <c r="H149" i="22"/>
  <c r="H161" i="22"/>
  <c r="L151" i="22"/>
  <c r="F143" i="22"/>
  <c r="H152" i="22"/>
  <c r="K155" i="22"/>
  <c r="K33" i="22" s="1"/>
  <c r="K120" i="21" s="1"/>
  <c r="J300" i="21" s="1"/>
  <c r="K145" i="22"/>
  <c r="G149" i="22"/>
  <c r="E144" i="22"/>
  <c r="J145" i="22"/>
  <c r="J137" i="22"/>
  <c r="J143" i="22"/>
  <c r="H155" i="22"/>
  <c r="H33" i="22" s="1"/>
  <c r="H120" i="21" s="1"/>
  <c r="G300" i="21" s="1"/>
  <c r="I159" i="22"/>
  <c r="H140" i="22"/>
  <c r="G161" i="22"/>
  <c r="K151" i="22"/>
  <c r="F146" i="22"/>
  <c r="I144" i="22"/>
  <c r="I148" i="22"/>
  <c r="L147" i="22"/>
  <c r="I137" i="22"/>
  <c r="I141" i="22"/>
  <c r="K157" i="22"/>
  <c r="F158" i="22"/>
  <c r="K144" i="22"/>
  <c r="G155" i="22"/>
  <c r="G33" i="22" s="1"/>
  <c r="G120" i="21" s="1"/>
  <c r="F300" i="21" s="1"/>
  <c r="E158" i="22"/>
  <c r="I135" i="22"/>
  <c r="F148" i="22"/>
  <c r="H142" i="22"/>
  <c r="L152" i="22"/>
  <c r="H156" i="22"/>
  <c r="G146" i="22"/>
  <c r="E160" i="22"/>
  <c r="L157" i="22"/>
  <c r="L144" i="22"/>
  <c r="I142" i="22"/>
  <c r="G158" i="22"/>
  <c r="I136" i="22"/>
  <c r="K137" i="22"/>
  <c r="L160" i="22"/>
  <c r="H137" i="22"/>
  <c r="F159" i="22"/>
  <c r="G136" i="22"/>
  <c r="H139" i="22"/>
  <c r="L139" i="22"/>
  <c r="E148" i="22"/>
  <c r="H159" i="22"/>
  <c r="H157" i="22"/>
  <c r="G135" i="22"/>
  <c r="I158" i="22"/>
  <c r="L145" i="22"/>
  <c r="G156" i="22"/>
  <c r="L159" i="22"/>
  <c r="J140" i="22"/>
  <c r="F149" i="22"/>
  <c r="J149" i="22"/>
  <c r="G145" i="22"/>
  <c r="E149" i="22"/>
  <c r="E161" i="22"/>
  <c r="I143" i="22"/>
  <c r="G160" i="22"/>
  <c r="E151" i="22"/>
  <c r="J161" i="22"/>
  <c r="J159" i="22"/>
  <c r="L149" i="22"/>
  <c r="F144" i="22"/>
  <c r="J135" i="22"/>
  <c r="K147" i="22"/>
  <c r="J147" i="22"/>
  <c r="L141" i="22"/>
  <c r="L150" i="22"/>
  <c r="J157" i="22"/>
  <c r="H135" i="22"/>
  <c r="G159" i="22"/>
  <c r="F156" i="22"/>
  <c r="H145" i="22"/>
  <c r="F135" i="22"/>
  <c r="E147" i="22"/>
  <c r="J148" i="22"/>
  <c r="E141" i="22"/>
  <c r="K135" i="22"/>
  <c r="E157" i="22"/>
  <c r="K149" i="22"/>
  <c r="I149" i="22"/>
  <c r="E143" i="22"/>
  <c r="G148" i="22"/>
  <c r="E136" i="22"/>
  <c r="L137" i="22"/>
  <c r="K159" i="22"/>
  <c r="F556" i="22"/>
  <c r="E135" i="27"/>
  <c r="F557" i="22" s="1"/>
  <c r="F497" i="22" s="1"/>
  <c r="G557" i="22"/>
  <c r="G497" i="22" s="1"/>
  <c r="F136" i="27"/>
  <c r="G558" i="22" s="1"/>
  <c r="K129" i="27"/>
  <c r="L551" i="22" s="1"/>
  <c r="K126" i="27"/>
  <c r="L548" i="22" s="1"/>
  <c r="L488" i="22" s="1"/>
  <c r="K124" i="27"/>
  <c r="L546" i="22" s="1"/>
  <c r="L486" i="22" s="1"/>
  <c r="K122" i="27"/>
  <c r="L544" i="22" s="1"/>
  <c r="L484" i="22" s="1"/>
  <c r="K120" i="27"/>
  <c r="L542" i="22" s="1"/>
  <c r="L482" i="22" s="1"/>
  <c r="K118" i="27"/>
  <c r="L540" i="22" s="1"/>
  <c r="L480" i="22" s="1"/>
  <c r="K116" i="27"/>
  <c r="L536" i="22" s="1"/>
  <c r="L476" i="22" s="1"/>
  <c r="K125" i="27"/>
  <c r="L547" i="22" s="1"/>
  <c r="L487" i="22" s="1"/>
  <c r="K123" i="27"/>
  <c r="L545" i="22" s="1"/>
  <c r="L485" i="22" s="1"/>
  <c r="K121" i="27"/>
  <c r="L543" i="22" s="1"/>
  <c r="L483" i="22" s="1"/>
  <c r="K119" i="27"/>
  <c r="L541" i="22" s="1"/>
  <c r="L481" i="22" s="1"/>
  <c r="E124" i="27"/>
  <c r="F546" i="22" s="1"/>
  <c r="F486" i="22" s="1"/>
  <c r="G128" i="27"/>
  <c r="H550" i="22" s="1"/>
  <c r="H490" i="22" s="1"/>
  <c r="H561" i="22"/>
  <c r="G116" i="27"/>
  <c r="H536" i="22" s="1"/>
  <c r="H476" i="22" s="1"/>
  <c r="H129" i="27"/>
  <c r="I551" i="22" s="1"/>
  <c r="I491" i="22" s="1"/>
  <c r="E556" i="22"/>
  <c r="D135" i="27"/>
  <c r="E557" i="22" s="1"/>
  <c r="E497" i="22" s="1"/>
  <c r="K136" i="27"/>
  <c r="L558" i="22" s="1"/>
  <c r="L557" i="22"/>
  <c r="D129" i="27"/>
  <c r="E551" i="22" s="1"/>
  <c r="E491" i="22" s="1"/>
  <c r="D126" i="27"/>
  <c r="E548" i="22" s="1"/>
  <c r="D125" i="27"/>
  <c r="E547" i="22" s="1"/>
  <c r="D124" i="27"/>
  <c r="E546" i="22" s="1"/>
  <c r="D123" i="27"/>
  <c r="E545" i="22" s="1"/>
  <c r="E485" i="22" s="1"/>
  <c r="D122" i="27"/>
  <c r="E544" i="22" s="1"/>
  <c r="D121" i="27"/>
  <c r="E543" i="22" s="1"/>
  <c r="D120" i="27"/>
  <c r="E542" i="22" s="1"/>
  <c r="E482" i="22" s="1"/>
  <c r="D119" i="27"/>
  <c r="E541" i="22" s="1"/>
  <c r="E481" i="22" s="1"/>
  <c r="D118" i="27"/>
  <c r="E540" i="22" s="1"/>
  <c r="I126" i="27"/>
  <c r="J548" i="22" s="1"/>
  <c r="J488" i="22" s="1"/>
  <c r="I118" i="27"/>
  <c r="J540" i="22" s="1"/>
  <c r="J480" i="22" s="1"/>
  <c r="I122" i="27"/>
  <c r="J544" i="22" s="1"/>
  <c r="J484" i="22" s="1"/>
  <c r="I119" i="27"/>
  <c r="J541" i="22" s="1"/>
  <c r="J481" i="22" s="1"/>
  <c r="I116" i="27"/>
  <c r="J536" i="22" s="1"/>
  <c r="J476" i="22" s="1"/>
  <c r="I125" i="27"/>
  <c r="J547" i="22" s="1"/>
  <c r="J487" i="22" s="1"/>
  <c r="I123" i="27"/>
  <c r="J545" i="22" s="1"/>
  <c r="J485" i="22" s="1"/>
  <c r="I121" i="27"/>
  <c r="J543" i="22" s="1"/>
  <c r="J483" i="22" s="1"/>
  <c r="G118" i="27"/>
  <c r="H540" i="22" s="1"/>
  <c r="H480" i="22" s="1"/>
  <c r="G120" i="27"/>
  <c r="H542" i="22" s="1"/>
  <c r="H482" i="22" s="1"/>
  <c r="G122" i="27"/>
  <c r="H544" i="22" s="1"/>
  <c r="H484" i="22" s="1"/>
  <c r="G124" i="27"/>
  <c r="H546" i="22" s="1"/>
  <c r="H486" i="22" s="1"/>
  <c r="G126" i="27"/>
  <c r="H548" i="22" s="1"/>
  <c r="H488" i="22" s="1"/>
  <c r="H118" i="27"/>
  <c r="I540" i="22" s="1"/>
  <c r="H119" i="27"/>
  <c r="I541" i="22" s="1"/>
  <c r="H120" i="27"/>
  <c r="I542" i="22" s="1"/>
  <c r="H122" i="27"/>
  <c r="I544" i="22" s="1"/>
  <c r="I484" i="22" s="1"/>
  <c r="H123" i="27"/>
  <c r="I545" i="22" s="1"/>
  <c r="H124" i="27"/>
  <c r="I546" i="22" s="1"/>
  <c r="I486" i="22" s="1"/>
  <c r="H126" i="27"/>
  <c r="I548" i="22" s="1"/>
  <c r="J134" i="27"/>
  <c r="G134" i="27"/>
  <c r="E127" i="27"/>
  <c r="F549" i="22" s="1"/>
  <c r="F489" i="22" s="1"/>
  <c r="H132" i="27"/>
  <c r="I554" i="22" s="1"/>
  <c r="E118" i="27"/>
  <c r="F540" i="22" s="1"/>
  <c r="F480" i="22" s="1"/>
  <c r="E126" i="27"/>
  <c r="F548" i="22" s="1"/>
  <c r="F488" i="22" s="1"/>
  <c r="E119" i="27"/>
  <c r="F541" i="22" s="1"/>
  <c r="F481" i="22" s="1"/>
  <c r="E122" i="27"/>
  <c r="F544" i="22" s="1"/>
  <c r="F484" i="22" s="1"/>
  <c r="J116" i="27"/>
  <c r="K536" i="22" s="1"/>
  <c r="G129" i="27"/>
  <c r="H551" i="22" s="1"/>
  <c r="H491" i="22" s="1"/>
  <c r="G119" i="27"/>
  <c r="H541" i="22" s="1"/>
  <c r="H481" i="22" s="1"/>
  <c r="G121" i="27"/>
  <c r="H543" i="22" s="1"/>
  <c r="H483" i="22" s="1"/>
  <c r="G123" i="27"/>
  <c r="H545" i="22" s="1"/>
  <c r="H485" i="22" s="1"/>
  <c r="G125" i="27"/>
  <c r="H547" i="22" s="1"/>
  <c r="H487" i="22" s="1"/>
  <c r="J118" i="27"/>
  <c r="K540" i="22" s="1"/>
  <c r="F119" i="27"/>
  <c r="G541" i="22" s="1"/>
  <c r="G481" i="22" s="1"/>
  <c r="J120" i="27"/>
  <c r="K542" i="22" s="1"/>
  <c r="F121" i="27"/>
  <c r="G543" i="22" s="1"/>
  <c r="J122" i="27"/>
  <c r="K544" i="22" s="1"/>
  <c r="F123" i="27"/>
  <c r="G545" i="22" s="1"/>
  <c r="J124" i="27"/>
  <c r="K546" i="22" s="1"/>
  <c r="F125" i="27"/>
  <c r="G547" i="22" s="1"/>
  <c r="E92" i="27"/>
  <c r="F513" i="22" s="1"/>
  <c r="H91" i="27"/>
  <c r="I512" i="22" s="1"/>
  <c r="G94" i="27"/>
  <c r="H515" i="22" s="1"/>
  <c r="I94" i="27"/>
  <c r="J515" i="22" s="1"/>
  <c r="F93" i="27"/>
  <c r="G514" i="22" s="1"/>
  <c r="I95" i="27"/>
  <c r="J516" i="22" s="1"/>
  <c r="E87" i="27"/>
  <c r="F506" i="22" s="1"/>
  <c r="D106" i="27"/>
  <c r="D107" i="27" s="1"/>
  <c r="E528" i="22" s="1"/>
  <c r="L526" i="22"/>
  <c r="J89" i="27"/>
  <c r="K510" i="22" s="1"/>
  <c r="J531" i="22"/>
  <c r="F107" i="27"/>
  <c r="G528" i="22" s="1"/>
  <c r="G527" i="22"/>
  <c r="H100" i="27"/>
  <c r="I521" i="22" s="1"/>
  <c r="F92" i="27"/>
  <c r="G513" i="22" s="1"/>
  <c r="I92" i="27"/>
  <c r="J513" i="22" s="1"/>
  <c r="K95" i="27"/>
  <c r="L516" i="22" s="1"/>
  <c r="I100" i="27"/>
  <c r="J521" i="22" s="1"/>
  <c r="J107" i="27"/>
  <c r="K528" i="22" s="1"/>
  <c r="F97" i="27"/>
  <c r="G518" i="22" s="1"/>
  <c r="F87" i="27"/>
  <c r="G506" i="22" s="1"/>
  <c r="H89" i="27"/>
  <c r="I510" i="22" s="1"/>
  <c r="E105" i="27"/>
  <c r="K100" i="27"/>
  <c r="L521" i="22" s="1"/>
  <c r="G100" i="27"/>
  <c r="H521" i="22" s="1"/>
  <c r="E30" i="27"/>
  <c r="G95" i="27"/>
  <c r="H516" i="22" s="1"/>
  <c r="K94" i="27"/>
  <c r="L515" i="22" s="1"/>
  <c r="F95" i="27"/>
  <c r="G516" i="22" s="1"/>
  <c r="H96" i="27"/>
  <c r="I517" i="22" s="1"/>
  <c r="K531" i="22"/>
  <c r="I531" i="22"/>
  <c r="G531" i="22"/>
  <c r="H105" i="27"/>
  <c r="G103" i="27"/>
  <c r="H524" i="22" s="1"/>
  <c r="I90" i="27"/>
  <c r="J511" i="22" s="1"/>
  <c r="E89" i="27"/>
  <c r="F510" i="22" s="1"/>
  <c r="H87" i="27"/>
  <c r="I506" i="22" s="1"/>
  <c r="D87" i="27"/>
  <c r="E506" i="22" s="1"/>
  <c r="D91" i="27"/>
  <c r="E512" i="22" s="1"/>
  <c r="G92" i="27"/>
  <c r="H513" i="22" s="1"/>
  <c r="G87" i="27"/>
  <c r="H506" i="22" s="1"/>
  <c r="G91" i="27"/>
  <c r="H512" i="22" s="1"/>
  <c r="I87" i="27"/>
  <c r="J506" i="22" s="1"/>
  <c r="I93" i="27"/>
  <c r="J514" i="22" s="1"/>
  <c r="E90" i="27"/>
  <c r="F511" i="22" s="1"/>
  <c r="E93" i="27"/>
  <c r="F514" i="22" s="1"/>
  <c r="E91" i="27"/>
  <c r="F512" i="22" s="1"/>
  <c r="K96" i="27"/>
  <c r="L517" i="22" s="1"/>
  <c r="K92" i="27"/>
  <c r="L513" i="22" s="1"/>
  <c r="F100" i="27"/>
  <c r="G521" i="22" s="1"/>
  <c r="D92" i="27"/>
  <c r="E513" i="22" s="1"/>
  <c r="H92" i="27"/>
  <c r="I513" i="22" s="1"/>
  <c r="G106" i="27"/>
  <c r="H527" i="22" s="1"/>
  <c r="E531" i="22"/>
  <c r="D96" i="27"/>
  <c r="E517" i="22" s="1"/>
  <c r="D94" i="27"/>
  <c r="E515" i="22" s="1"/>
  <c r="D89" i="27"/>
  <c r="E510" i="22" s="1"/>
  <c r="G90" i="27"/>
  <c r="H511" i="22" s="1"/>
  <c r="G93" i="27"/>
  <c r="H514" i="22" s="1"/>
  <c r="G96" i="27"/>
  <c r="H517" i="22" s="1"/>
  <c r="I97" i="27"/>
  <c r="J518" i="22" s="1"/>
  <c r="I91" i="27"/>
  <c r="J512" i="22" s="1"/>
  <c r="E95" i="27"/>
  <c r="F516" i="22" s="1"/>
  <c r="E97" i="27"/>
  <c r="F518" i="22" s="1"/>
  <c r="E96" i="27"/>
  <c r="F517" i="22" s="1"/>
  <c r="K97" i="27"/>
  <c r="L518" i="22" s="1"/>
  <c r="K91" i="27"/>
  <c r="L512" i="22" s="1"/>
  <c r="D97" i="27"/>
  <c r="E518" i="22" s="1"/>
  <c r="D95" i="27"/>
  <c r="E516" i="22" s="1"/>
  <c r="D93" i="27"/>
  <c r="E514" i="22" s="1"/>
  <c r="D90" i="27"/>
  <c r="E511" i="22" s="1"/>
  <c r="J93" i="27"/>
  <c r="K514" i="22" s="1"/>
  <c r="F96" i="27"/>
  <c r="G517" i="22" s="1"/>
  <c r="F94" i="27"/>
  <c r="G515" i="22" s="1"/>
  <c r="F91" i="27"/>
  <c r="G512" i="22" s="1"/>
  <c r="F89" i="27"/>
  <c r="G510" i="22" s="1"/>
  <c r="H97" i="27"/>
  <c r="I518" i="22" s="1"/>
  <c r="H95" i="27"/>
  <c r="I516" i="22" s="1"/>
  <c r="H93" i="27"/>
  <c r="I514" i="22" s="1"/>
  <c r="H90" i="27"/>
  <c r="I511" i="22" s="1"/>
  <c r="G97" i="27"/>
  <c r="H518" i="22" s="1"/>
  <c r="G89" i="27"/>
  <c r="H510" i="22" s="1"/>
  <c r="I89" i="27"/>
  <c r="J510" i="22" s="1"/>
  <c r="I96" i="27"/>
  <c r="J517" i="22" s="1"/>
  <c r="E94" i="27"/>
  <c r="F515" i="22" s="1"/>
  <c r="K87" i="27"/>
  <c r="L506" i="22" s="1"/>
  <c r="K90" i="27"/>
  <c r="L511" i="22" s="1"/>
  <c r="K89" i="27"/>
  <c r="L510" i="22" s="1"/>
  <c r="K107" i="27"/>
  <c r="L528" i="22" s="1"/>
  <c r="E679" i="22"/>
  <c r="F690" i="22"/>
  <c r="J684" i="22"/>
  <c r="G689" i="22"/>
  <c r="G684" i="22"/>
  <c r="K686" i="22"/>
  <c r="E685" i="22"/>
  <c r="E687" i="22"/>
  <c r="E689" i="22"/>
  <c r="F686" i="22"/>
  <c r="F688" i="22"/>
  <c r="H683" i="22"/>
  <c r="L686" i="22"/>
  <c r="L688" i="22"/>
  <c r="I690" i="22"/>
  <c r="J685" i="22"/>
  <c r="K685" i="22"/>
  <c r="E672" i="22"/>
  <c r="E681" i="22"/>
  <c r="E664" i="22"/>
  <c r="E674" i="22"/>
  <c r="E666" i="22"/>
  <c r="F681" i="22"/>
  <c r="F672" i="22"/>
  <c r="F675" i="22"/>
  <c r="F682" i="22"/>
  <c r="G671" i="22"/>
  <c r="G673" i="22"/>
  <c r="G665" i="22"/>
  <c r="G666" i="22"/>
  <c r="H670" i="22"/>
  <c r="H666" i="22"/>
  <c r="H681" i="22"/>
  <c r="I679" i="22"/>
  <c r="I666" i="22"/>
  <c r="I673" i="22"/>
  <c r="I672" i="22"/>
  <c r="I675" i="22"/>
  <c r="J666" i="22"/>
  <c r="J680" i="22"/>
  <c r="J674" i="22"/>
  <c r="J675" i="22"/>
  <c r="K677" i="22"/>
  <c r="K665" i="22"/>
  <c r="K667" i="22"/>
  <c r="K664" i="22"/>
  <c r="K672" i="22"/>
  <c r="L670" i="22"/>
  <c r="L673" i="22"/>
  <c r="L671" i="22"/>
  <c r="L682" i="22"/>
  <c r="L677" i="22"/>
  <c r="E684" i="22"/>
  <c r="F684" i="22"/>
  <c r="K690" i="22"/>
  <c r="K684" i="22"/>
  <c r="H690" i="22"/>
  <c r="K683" i="22"/>
  <c r="G686" i="22"/>
  <c r="K688" i="22"/>
  <c r="I685" i="22"/>
  <c r="I687" i="22"/>
  <c r="I689" i="22"/>
  <c r="J686" i="22"/>
  <c r="J688" i="22"/>
  <c r="L683" i="22"/>
  <c r="H687" i="22"/>
  <c r="H689" i="22"/>
  <c r="E690" i="22"/>
  <c r="E680" i="22"/>
  <c r="E678" i="22"/>
  <c r="E668" i="22"/>
  <c r="E665" i="22"/>
  <c r="F670" i="22"/>
  <c r="F668" i="22"/>
  <c r="F667" i="22"/>
  <c r="F669" i="22"/>
  <c r="F680" i="22"/>
  <c r="F664" i="22"/>
  <c r="G664" i="22"/>
  <c r="G680" i="22"/>
  <c r="G670" i="22"/>
  <c r="G679" i="22"/>
  <c r="G668" i="22"/>
  <c r="H664" i="22"/>
  <c r="H676" i="22"/>
  <c r="H679" i="22"/>
  <c r="H671" i="22"/>
  <c r="H668" i="22"/>
  <c r="H672" i="22"/>
  <c r="I670" i="22"/>
  <c r="I669" i="22"/>
  <c r="I668" i="22"/>
  <c r="I682" i="22"/>
  <c r="I665" i="22"/>
  <c r="J672" i="22"/>
  <c r="J667" i="22"/>
  <c r="J668" i="22"/>
  <c r="J679" i="22"/>
  <c r="J673" i="22"/>
  <c r="J678" i="22"/>
  <c r="K682" i="22"/>
  <c r="K673" i="22"/>
  <c r="K670" i="22"/>
  <c r="L667" i="22"/>
  <c r="L678" i="22"/>
  <c r="L664" i="22"/>
  <c r="L669" i="22"/>
  <c r="L679" i="22"/>
  <c r="L690" i="22"/>
  <c r="G683" i="22"/>
  <c r="K687" i="22"/>
  <c r="G688" i="22"/>
  <c r="E683" i="22"/>
  <c r="E686" i="22"/>
  <c r="E688" i="22"/>
  <c r="F683" i="22"/>
  <c r="F687" i="22"/>
  <c r="F689" i="22"/>
  <c r="L684" i="22"/>
  <c r="L687" i="22"/>
  <c r="L689" i="22"/>
  <c r="L685" i="22"/>
  <c r="F685" i="22"/>
  <c r="H685" i="22"/>
  <c r="E673" i="22"/>
  <c r="E671" i="22"/>
  <c r="E682" i="22"/>
  <c r="E675" i="22"/>
  <c r="F674" i="22"/>
  <c r="F673" i="22"/>
  <c r="F666" i="22"/>
  <c r="G678" i="22"/>
  <c r="G676" i="22"/>
  <c r="G669" i="22"/>
  <c r="G672" i="22"/>
  <c r="G682" i="22"/>
  <c r="H677" i="22"/>
  <c r="H678" i="22"/>
  <c r="H673" i="22"/>
  <c r="H674" i="22"/>
  <c r="H682" i="22"/>
  <c r="I667" i="22"/>
  <c r="I680" i="22"/>
  <c r="I678" i="22"/>
  <c r="I674" i="22"/>
  <c r="J670" i="22"/>
  <c r="J671" i="22"/>
  <c r="J677" i="22"/>
  <c r="J676" i="22"/>
  <c r="K679" i="22"/>
  <c r="K680" i="22"/>
  <c r="K678" i="22"/>
  <c r="K669" i="22"/>
  <c r="K676" i="22"/>
  <c r="K675" i="22"/>
  <c r="L680" i="22"/>
  <c r="L666" i="22"/>
  <c r="L668" i="22"/>
  <c r="F679" i="22"/>
  <c r="H684" i="22"/>
  <c r="I684" i="22"/>
  <c r="G687" i="22"/>
  <c r="K689" i="22"/>
  <c r="G690" i="22"/>
  <c r="I683" i="22"/>
  <c r="I686" i="22"/>
  <c r="I688" i="22"/>
  <c r="J683" i="22"/>
  <c r="J687" i="22"/>
  <c r="J689" i="22"/>
  <c r="H686" i="22"/>
  <c r="H688" i="22"/>
  <c r="E660" i="22"/>
  <c r="G685" i="22"/>
  <c r="J690" i="22"/>
  <c r="E676" i="22"/>
  <c r="E667" i="22"/>
  <c r="E669" i="22"/>
  <c r="E677" i="22"/>
  <c r="E670" i="22"/>
  <c r="F678" i="22"/>
  <c r="F677" i="22"/>
  <c r="F676" i="22"/>
  <c r="F671" i="22"/>
  <c r="F665" i="22"/>
  <c r="G681" i="22"/>
  <c r="G674" i="22"/>
  <c r="G677" i="22"/>
  <c r="G675" i="22"/>
  <c r="G667" i="22"/>
  <c r="H675" i="22"/>
  <c r="H665" i="22"/>
  <c r="H680" i="22"/>
  <c r="H669" i="22"/>
  <c r="H667" i="22"/>
  <c r="I664" i="22"/>
  <c r="I681" i="22"/>
  <c r="I671" i="22"/>
  <c r="I676" i="22"/>
  <c r="I677" i="22"/>
  <c r="J682" i="22"/>
  <c r="J669" i="22"/>
  <c r="J665" i="22"/>
  <c r="J664" i="22"/>
  <c r="J681" i="22"/>
  <c r="K674" i="22"/>
  <c r="K681" i="22"/>
  <c r="K668" i="22"/>
  <c r="K671" i="22"/>
  <c r="K666" i="22"/>
  <c r="L674" i="22"/>
  <c r="L676" i="22"/>
  <c r="L681" i="22"/>
  <c r="L665" i="22"/>
  <c r="L675" i="22"/>
  <c r="L672" i="22"/>
  <c r="E398" i="22"/>
  <c r="F398" i="22"/>
  <c r="F384" i="22"/>
  <c r="L399" i="22"/>
  <c r="L406" i="22"/>
  <c r="K388" i="22"/>
  <c r="F402" i="22"/>
  <c r="H387" i="22"/>
  <c r="F391" i="22"/>
  <c r="K394" i="22"/>
  <c r="E391" i="22"/>
  <c r="L403" i="22"/>
  <c r="E397" i="22"/>
  <c r="K406" i="22"/>
  <c r="F388" i="22"/>
  <c r="H393" i="22"/>
  <c r="H402" i="22"/>
  <c r="G405" i="22"/>
  <c r="L393" i="22"/>
  <c r="K405" i="22"/>
  <c r="L394" i="22"/>
  <c r="H392" i="22"/>
  <c r="H396" i="22"/>
  <c r="E384" i="22"/>
  <c r="J385" i="22"/>
  <c r="H404" i="22"/>
  <c r="F408" i="22"/>
  <c r="K403" i="22"/>
  <c r="L392" i="22"/>
  <c r="G402" i="22"/>
  <c r="E385" i="22"/>
  <c r="K391" i="22"/>
  <c r="J396" i="22"/>
  <c r="F394" i="22"/>
  <c r="I399" i="22"/>
  <c r="L405" i="22"/>
  <c r="E393" i="22"/>
  <c r="F399" i="22"/>
  <c r="K400" i="22"/>
  <c r="I394" i="22"/>
  <c r="H407" i="22"/>
  <c r="G394" i="22"/>
  <c r="I409" i="22"/>
  <c r="H403" i="22"/>
  <c r="H383" i="22"/>
  <c r="J386" i="22"/>
  <c r="I389" i="22"/>
  <c r="K384" i="22"/>
  <c r="G383" i="22"/>
  <c r="G385" i="22"/>
  <c r="H398" i="22"/>
  <c r="K389" i="22"/>
  <c r="K385" i="22"/>
  <c r="G390" i="22"/>
  <c r="G384" i="22"/>
  <c r="I386" i="22"/>
  <c r="I385" i="22"/>
  <c r="I384" i="22"/>
  <c r="F405" i="22"/>
  <c r="E408" i="22"/>
  <c r="J388" i="22"/>
  <c r="K397" i="22"/>
  <c r="G408" i="22"/>
  <c r="E407" i="22"/>
  <c r="H388" i="22"/>
  <c r="K393" i="22"/>
  <c r="E396" i="22"/>
  <c r="J393" i="22"/>
  <c r="J394" i="22"/>
  <c r="E390" i="22"/>
  <c r="G388" i="22"/>
  <c r="G409" i="22"/>
  <c r="I391" i="22"/>
  <c r="L388" i="22"/>
  <c r="F392" i="22"/>
  <c r="F395" i="22"/>
  <c r="E399" i="22"/>
  <c r="J398" i="22"/>
  <c r="H394" i="22"/>
  <c r="G387" i="22"/>
  <c r="H397" i="22"/>
  <c r="H399" i="22"/>
  <c r="E395" i="22"/>
  <c r="F404" i="22"/>
  <c r="J405" i="22"/>
  <c r="J408" i="22"/>
  <c r="I396" i="22"/>
  <c r="G403" i="22"/>
  <c r="J391" i="22"/>
  <c r="J403" i="22"/>
  <c r="K409" i="22"/>
  <c r="F406" i="22"/>
  <c r="L407" i="22"/>
  <c r="G396" i="22"/>
  <c r="H409" i="22"/>
  <c r="I393" i="22"/>
  <c r="F409" i="22"/>
  <c r="L404" i="22"/>
  <c r="E383" i="22"/>
  <c r="J390" i="22"/>
  <c r="E386" i="22"/>
  <c r="K390" i="22"/>
  <c r="J383" i="22"/>
  <c r="H385" i="22"/>
  <c r="H384" i="22"/>
  <c r="L389" i="22"/>
  <c r="L385" i="22"/>
  <c r="F383" i="22"/>
  <c r="I406" i="22"/>
  <c r="E392" i="22"/>
  <c r="K404" i="22"/>
  <c r="L391" i="22"/>
  <c r="H391" i="22"/>
  <c r="L409" i="22"/>
  <c r="I404" i="22"/>
  <c r="J406" i="22"/>
  <c r="G392" i="22"/>
  <c r="G391" i="22"/>
  <c r="K402" i="22"/>
  <c r="L397" i="22"/>
  <c r="I403" i="22"/>
  <c r="F393" i="22"/>
  <c r="J400" i="22"/>
  <c r="I400" i="22"/>
  <c r="G395" i="22"/>
  <c r="G397" i="22"/>
  <c r="I395" i="22"/>
  <c r="I405" i="22"/>
  <c r="I397" i="22"/>
  <c r="F407" i="22"/>
  <c r="F396" i="22"/>
  <c r="J397" i="22"/>
  <c r="G404" i="22"/>
  <c r="I407" i="22"/>
  <c r="H406" i="22"/>
  <c r="E388" i="22"/>
  <c r="K396" i="22"/>
  <c r="J399" i="22"/>
  <c r="L402" i="22"/>
  <c r="G393" i="22"/>
  <c r="E409" i="22"/>
  <c r="E402" i="22"/>
  <c r="G399" i="22"/>
  <c r="H405" i="22"/>
  <c r="J392" i="22"/>
  <c r="L386" i="22"/>
  <c r="J389" i="22"/>
  <c r="E403" i="22"/>
  <c r="F386" i="22"/>
  <c r="K398" i="22"/>
  <c r="H386" i="22"/>
  <c r="H389" i="22"/>
  <c r="L398" i="22"/>
  <c r="L390" i="22"/>
  <c r="G386" i="22"/>
  <c r="L383" i="22"/>
  <c r="F403" i="22"/>
  <c r="I392" i="22"/>
  <c r="J395" i="22"/>
  <c r="K392" i="22"/>
  <c r="L396" i="22"/>
  <c r="F400" i="22"/>
  <c r="L395" i="22"/>
  <c r="F397" i="22"/>
  <c r="G400" i="22"/>
  <c r="J402" i="22"/>
  <c r="E394" i="22"/>
  <c r="G407" i="22"/>
  <c r="E404" i="22"/>
  <c r="G406" i="22"/>
  <c r="K395" i="22"/>
  <c r="I388" i="22"/>
  <c r="K399" i="22"/>
  <c r="H408" i="22"/>
  <c r="E400" i="22"/>
  <c r="K408" i="22"/>
  <c r="E389" i="22"/>
  <c r="F390" i="22"/>
  <c r="E405" i="22"/>
  <c r="J404" i="22"/>
  <c r="I408" i="22"/>
  <c r="H395" i="22"/>
  <c r="J407" i="22"/>
  <c r="L408" i="22"/>
  <c r="F389" i="22"/>
  <c r="J409" i="22"/>
  <c r="K387" i="22"/>
  <c r="L400" i="22"/>
  <c r="E387" i="22"/>
  <c r="K407" i="22"/>
  <c r="I402" i="22"/>
  <c r="J387" i="22"/>
  <c r="F387" i="22"/>
  <c r="I387" i="22"/>
  <c r="H400" i="22"/>
  <c r="L387" i="22"/>
  <c r="E406" i="22"/>
  <c r="F385" i="22"/>
  <c r="I390" i="22"/>
  <c r="I398" i="22"/>
  <c r="J384" i="22"/>
  <c r="I383" i="22"/>
  <c r="H390" i="22"/>
  <c r="K383" i="22"/>
  <c r="K386" i="22"/>
  <c r="G389" i="22"/>
  <c r="L384" i="22"/>
  <c r="G398" i="22"/>
  <c r="F150" i="22"/>
  <c r="H253" i="22"/>
  <c r="G253" i="22"/>
  <c r="G251" i="22"/>
  <c r="G249" i="22"/>
  <c r="G247" i="22"/>
  <c r="F253" i="22"/>
  <c r="F251" i="22"/>
  <c r="F249" i="22"/>
  <c r="F247" i="22"/>
  <c r="I251" i="22"/>
  <c r="I247" i="22"/>
  <c r="H250" i="22"/>
  <c r="E253" i="22"/>
  <c r="E249" i="22"/>
  <c r="L251" i="22"/>
  <c r="L247" i="22"/>
  <c r="L254" i="22"/>
  <c r="K254" i="22"/>
  <c r="K252" i="22"/>
  <c r="K250" i="22"/>
  <c r="K248" i="22"/>
  <c r="J254" i="22"/>
  <c r="J252" i="22"/>
  <c r="J250" i="22"/>
  <c r="J248" i="22"/>
  <c r="L252" i="22"/>
  <c r="I250" i="22"/>
  <c r="I253" i="22"/>
  <c r="H249" i="22"/>
  <c r="E252" i="22"/>
  <c r="E248" i="22"/>
  <c r="L250" i="22"/>
  <c r="H254" i="22"/>
  <c r="G254" i="22"/>
  <c r="G252" i="22"/>
  <c r="G250" i="22"/>
  <c r="G248" i="22"/>
  <c r="F254" i="22"/>
  <c r="F252" i="22"/>
  <c r="F250" i="22"/>
  <c r="F248" i="22"/>
  <c r="E254" i="22"/>
  <c r="I249" i="22"/>
  <c r="H252" i="22"/>
  <c r="H248" i="22"/>
  <c r="E251" i="22"/>
  <c r="E247" i="22"/>
  <c r="L249" i="22"/>
  <c r="L253" i="22"/>
  <c r="K253" i="22"/>
  <c r="K251" i="22"/>
  <c r="K249" i="22"/>
  <c r="K247" i="22"/>
  <c r="J253" i="22"/>
  <c r="J251" i="22"/>
  <c r="J249" i="22"/>
  <c r="J247" i="22"/>
  <c r="I252" i="22"/>
  <c r="I248" i="22"/>
  <c r="H251" i="22"/>
  <c r="H247" i="22"/>
  <c r="E250" i="22"/>
  <c r="I254" i="22"/>
  <c r="L248" i="22"/>
  <c r="L491" i="22"/>
  <c r="I500" i="22"/>
  <c r="I499" i="22"/>
  <c r="J491" i="22"/>
  <c r="F478" i="22"/>
  <c r="E489" i="22"/>
  <c r="K480" i="22"/>
  <c r="I496" i="22"/>
  <c r="F477" i="22"/>
  <c r="L496" i="22"/>
  <c r="I492" i="22"/>
  <c r="K482" i="22"/>
  <c r="J496" i="22"/>
  <c r="I481" i="22"/>
  <c r="G490" i="22"/>
  <c r="J493" i="22"/>
  <c r="I495" i="22"/>
  <c r="E493" i="22"/>
  <c r="G499" i="22"/>
  <c r="G487" i="22"/>
  <c r="K489" i="22"/>
  <c r="L502" i="22"/>
  <c r="E477" i="22"/>
  <c r="H494" i="22"/>
  <c r="L499" i="22"/>
  <c r="G501" i="22"/>
  <c r="F490" i="22"/>
  <c r="G489" i="22"/>
  <c r="F502" i="22"/>
  <c r="E487" i="22"/>
  <c r="F499" i="22"/>
  <c r="K494" i="22"/>
  <c r="H500" i="22"/>
  <c r="G488" i="22"/>
  <c r="L492" i="22"/>
  <c r="L497" i="22"/>
  <c r="G491" i="22"/>
  <c r="J477" i="22"/>
  <c r="E496" i="22"/>
  <c r="K479" i="22"/>
  <c r="H492" i="22"/>
  <c r="I487" i="22"/>
  <c r="H495" i="22"/>
  <c r="J495" i="22"/>
  <c r="E483" i="22"/>
  <c r="K501" i="22"/>
  <c r="I490" i="22"/>
  <c r="E480" i="22"/>
  <c r="K492" i="22"/>
  <c r="I488" i="22"/>
  <c r="G492" i="22"/>
  <c r="J479" i="22"/>
  <c r="K490" i="22"/>
  <c r="J490" i="22"/>
  <c r="J500" i="22"/>
  <c r="I502" i="22"/>
  <c r="L477" i="22"/>
  <c r="G495" i="22"/>
  <c r="H499" i="22"/>
  <c r="I479" i="22"/>
  <c r="G485" i="22"/>
  <c r="I494" i="22"/>
  <c r="F491" i="22"/>
  <c r="L498" i="22"/>
  <c r="L501" i="22"/>
  <c r="E495" i="22"/>
  <c r="G500" i="22"/>
  <c r="F492" i="22"/>
  <c r="L490" i="22"/>
  <c r="G480" i="22"/>
  <c r="F494" i="22"/>
  <c r="I476" i="22"/>
  <c r="G498" i="22"/>
  <c r="E492" i="22"/>
  <c r="F501" i="22"/>
  <c r="E476" i="22"/>
  <c r="L494" i="22"/>
  <c r="L478" i="22"/>
  <c r="K485" i="22"/>
  <c r="E490" i="22"/>
  <c r="E500" i="22"/>
  <c r="H477" i="22"/>
  <c r="E488" i="22"/>
  <c r="E499" i="22"/>
  <c r="I478" i="22"/>
  <c r="G476" i="22"/>
  <c r="J499" i="22"/>
  <c r="E472" i="22"/>
  <c r="H493" i="22"/>
  <c r="G502" i="22"/>
  <c r="I480" i="22"/>
  <c r="F495" i="22"/>
  <c r="H478" i="22"/>
  <c r="K493" i="22"/>
  <c r="J494" i="22"/>
  <c r="E479" i="22"/>
  <c r="F496" i="22"/>
  <c r="H501" i="22"/>
  <c r="G486" i="22"/>
  <c r="L493" i="22"/>
  <c r="G479" i="22"/>
  <c r="G483" i="22"/>
  <c r="G477" i="22"/>
  <c r="E502" i="22"/>
  <c r="G496" i="22"/>
  <c r="K500" i="22"/>
  <c r="J501" i="22"/>
  <c r="E494" i="22"/>
  <c r="J478" i="22"/>
  <c r="K502" i="22"/>
  <c r="I489" i="22"/>
  <c r="L479" i="22"/>
  <c r="L500" i="22"/>
  <c r="I485" i="22"/>
  <c r="E484" i="22"/>
  <c r="I501" i="22"/>
  <c r="K477" i="22"/>
  <c r="L489" i="22"/>
  <c r="F479" i="22"/>
  <c r="K484" i="22"/>
  <c r="G494" i="22"/>
  <c r="I482" i="22"/>
  <c r="K495" i="22"/>
  <c r="K499" i="22"/>
  <c r="K486" i="22"/>
  <c r="K476" i="22"/>
  <c r="H502" i="22"/>
  <c r="E486" i="22"/>
  <c r="G580" i="22"/>
  <c r="I588" i="22"/>
  <c r="F581" i="22"/>
  <c r="F583" i="22"/>
  <c r="G576" i="22"/>
  <c r="G581" i="22"/>
  <c r="I583" i="22"/>
  <c r="H580" i="22"/>
  <c r="F578" i="22"/>
  <c r="J578" i="22"/>
  <c r="F571" i="22"/>
  <c r="H581" i="22"/>
  <c r="L587" i="22"/>
  <c r="K576" i="22"/>
  <c r="F576" i="22"/>
  <c r="E580" i="22"/>
  <c r="F590" i="22"/>
  <c r="K590" i="22"/>
  <c r="G583" i="22"/>
  <c r="G585" i="22"/>
  <c r="I594" i="22"/>
  <c r="K585" i="22"/>
  <c r="H588" i="22"/>
  <c r="G597" i="22"/>
  <c r="K587" i="22"/>
  <c r="E586" i="22"/>
  <c r="E587" i="22"/>
  <c r="H576" i="22"/>
  <c r="E567" i="22"/>
  <c r="J587" i="22"/>
  <c r="L578" i="22"/>
  <c r="E592" i="22"/>
  <c r="H592" i="22"/>
  <c r="G586" i="22"/>
  <c r="J594" i="22"/>
  <c r="G596" i="22"/>
  <c r="F584" i="22"/>
  <c r="J572" i="22"/>
  <c r="F586" i="22"/>
  <c r="I576" i="22"/>
  <c r="E579" i="22"/>
  <c r="H573" i="22"/>
  <c r="F573" i="22"/>
  <c r="L594" i="22"/>
  <c r="F585" i="22"/>
  <c r="L591" i="22"/>
  <c r="L590" i="22"/>
  <c r="E582" i="22"/>
  <c r="L59" i="22"/>
  <c r="H51" i="22"/>
  <c r="H54" i="22"/>
  <c r="H56" i="22"/>
  <c r="J58" i="22"/>
  <c r="G48" i="22"/>
  <c r="J46" i="22"/>
  <c r="I58" i="22"/>
  <c r="E46" i="22"/>
  <c r="J61" i="22"/>
  <c r="K58" i="22"/>
  <c r="I57" i="22"/>
  <c r="G51" i="22"/>
  <c r="F52" i="22"/>
  <c r="I65" i="22"/>
  <c r="L42" i="22"/>
  <c r="F57" i="22"/>
  <c r="G54" i="22"/>
  <c r="F58" i="22"/>
  <c r="H58" i="22"/>
  <c r="I56" i="22"/>
  <c r="G57" i="22"/>
  <c r="J43" i="22"/>
  <c r="J49" i="22"/>
  <c r="H48" i="22"/>
  <c r="E49" i="22"/>
  <c r="J57" i="22"/>
  <c r="I59" i="22"/>
  <c r="G52" i="22"/>
  <c r="E57" i="22"/>
  <c r="I53" i="22"/>
  <c r="K54" i="22"/>
  <c r="F53" i="22"/>
  <c r="G67" i="22"/>
  <c r="I48" i="22"/>
  <c r="G47" i="22"/>
  <c r="E54" i="22"/>
  <c r="I55" i="22"/>
  <c r="I50" i="22"/>
  <c r="H52" i="22"/>
  <c r="F51" i="22"/>
  <c r="I47" i="22"/>
  <c r="J50" i="22"/>
  <c r="J51" i="22"/>
  <c r="H62" i="22"/>
  <c r="G55" i="22"/>
  <c r="K57" i="22"/>
  <c r="K48" i="22"/>
  <c r="H50" i="22"/>
  <c r="F46" i="22"/>
  <c r="F59" i="22"/>
  <c r="L62" i="22"/>
  <c r="K64" i="22"/>
  <c r="J59" i="22"/>
  <c r="H49" i="22"/>
  <c r="G58" i="22"/>
  <c r="I230" i="22" l="1"/>
  <c r="I8" i="22" s="1"/>
  <c r="I94" i="21" s="1"/>
  <c r="H33" i="18" s="1"/>
  <c r="R33" i="18" s="1"/>
  <c r="I244" i="22"/>
  <c r="I22" i="22" s="1"/>
  <c r="I108" i="21" s="1"/>
  <c r="H10" i="18" s="1"/>
  <c r="E240" i="22"/>
  <c r="E18" i="22" s="1"/>
  <c r="E104" i="21" s="1"/>
  <c r="D43" i="18" s="1"/>
  <c r="N43" i="18" s="1"/>
  <c r="G246" i="22"/>
  <c r="G24" i="22" s="1"/>
  <c r="G110" i="21" s="1"/>
  <c r="K229" i="22"/>
  <c r="K7" i="22" s="1"/>
  <c r="K93" i="21" s="1"/>
  <c r="J32" i="18" s="1"/>
  <c r="T32" i="18" s="1"/>
  <c r="G237" i="22"/>
  <c r="G15" i="22" s="1"/>
  <c r="G101" i="21" s="1"/>
  <c r="F40" i="18" s="1"/>
  <c r="P40" i="18" s="1"/>
  <c r="I246" i="22"/>
  <c r="K231" i="22"/>
  <c r="K9" i="22" s="1"/>
  <c r="K95" i="21" s="1"/>
  <c r="J34" i="18" s="1"/>
  <c r="K228" i="22"/>
  <c r="K241" i="22"/>
  <c r="K19" i="22" s="1"/>
  <c r="K105" i="21" s="1"/>
  <c r="F231" i="22"/>
  <c r="F9" i="22" s="1"/>
  <c r="F95" i="21" s="1"/>
  <c r="E34" i="18" s="1"/>
  <c r="F233" i="22"/>
  <c r="F11" i="22" s="1"/>
  <c r="F97" i="21" s="1"/>
  <c r="E36" i="18" s="1"/>
  <c r="O36" i="18" s="1"/>
  <c r="H240" i="22"/>
  <c r="H18" i="22" s="1"/>
  <c r="H104" i="21" s="1"/>
  <c r="G43" i="18" s="1"/>
  <c r="Q43" i="18" s="1"/>
  <c r="L234" i="22"/>
  <c r="L12" i="22" s="1"/>
  <c r="L98" i="21" s="1"/>
  <c r="K37" i="18" s="1"/>
  <c r="U37" i="18" s="1"/>
  <c r="H244" i="22"/>
  <c r="H22" i="22" s="1"/>
  <c r="H108" i="21" s="1"/>
  <c r="G10" i="18" s="1"/>
  <c r="E242" i="22"/>
  <c r="E20" i="22" s="1"/>
  <c r="E106" i="21" s="1"/>
  <c r="D9" i="18" s="1"/>
  <c r="D24" i="18" s="1"/>
  <c r="N24" i="18" s="1"/>
  <c r="G230" i="22"/>
  <c r="G8" i="22" s="1"/>
  <c r="G94" i="21" s="1"/>
  <c r="F33" i="18" s="1"/>
  <c r="P33" i="18" s="1"/>
  <c r="K238" i="22"/>
  <c r="K16" i="22" s="1"/>
  <c r="K102" i="21" s="1"/>
  <c r="J41" i="18" s="1"/>
  <c r="T41" i="18" s="1"/>
  <c r="F237" i="22"/>
  <c r="F15" i="22" s="1"/>
  <c r="F101" i="21" s="1"/>
  <c r="E40" i="18" s="1"/>
  <c r="O40" i="18" s="1"/>
  <c r="I233" i="22"/>
  <c r="I11" i="22" s="1"/>
  <c r="I97" i="21" s="1"/>
  <c r="H36" i="18" s="1"/>
  <c r="R36" i="18" s="1"/>
  <c r="F234" i="22"/>
  <c r="F12" i="22" s="1"/>
  <c r="F98" i="21" s="1"/>
  <c r="D200" i="21" s="1"/>
  <c r="D217" i="21" s="1"/>
  <c r="H235" i="22"/>
  <c r="H13" i="22" s="1"/>
  <c r="H99" i="21" s="1"/>
  <c r="G38" i="18" s="1"/>
  <c r="Q38" i="18" s="1"/>
  <c r="L233" i="22"/>
  <c r="L11" i="22" s="1"/>
  <c r="L97" i="21" s="1"/>
  <c r="K36" i="18" s="1"/>
  <c r="U36" i="18" s="1"/>
  <c r="G242" i="22"/>
  <c r="G20" i="22" s="1"/>
  <c r="G106" i="21" s="1"/>
  <c r="F9" i="18" s="1"/>
  <c r="E228" i="22"/>
  <c r="E6" i="22" s="1"/>
  <c r="E92" i="21" s="1"/>
  <c r="D31" i="18" s="1"/>
  <c r="N31" i="18" s="1"/>
  <c r="G236" i="22"/>
  <c r="L238" i="22"/>
  <c r="L16" i="22" s="1"/>
  <c r="L102" i="21" s="1"/>
  <c r="K41" i="18" s="1"/>
  <c r="U41" i="18" s="1"/>
  <c r="F244" i="22"/>
  <c r="F22" i="22" s="1"/>
  <c r="F108" i="21" s="1"/>
  <c r="E10" i="18" s="1"/>
  <c r="I243" i="22"/>
  <c r="I21" i="22" s="1"/>
  <c r="I107" i="21" s="1"/>
  <c r="H70" i="18" s="1"/>
  <c r="I234" i="22"/>
  <c r="I12" i="22" s="1"/>
  <c r="I98" i="21" s="1"/>
  <c r="H37" i="18" s="1"/>
  <c r="R37" i="18" s="1"/>
  <c r="E239" i="22"/>
  <c r="E17" i="22" s="1"/>
  <c r="E103" i="21" s="1"/>
  <c r="D42" i="18" s="1"/>
  <c r="N42" i="18" s="1"/>
  <c r="I231" i="22"/>
  <c r="I9" i="22" s="1"/>
  <c r="I95" i="21" s="1"/>
  <c r="H34" i="18" s="1"/>
  <c r="L244" i="22"/>
  <c r="L22" i="22" s="1"/>
  <c r="L108" i="21" s="1"/>
  <c r="K10" i="18" s="1"/>
  <c r="J238" i="22"/>
  <c r="J16" i="22" s="1"/>
  <c r="J102" i="21" s="1"/>
  <c r="I41" i="18" s="1"/>
  <c r="S41" i="18" s="1"/>
  <c r="E230" i="22"/>
  <c r="E8" i="22" s="1"/>
  <c r="E94" i="21" s="1"/>
  <c r="D33" i="18" s="1"/>
  <c r="N33" i="18" s="1"/>
  <c r="J245" i="22"/>
  <c r="J23" i="22" s="1"/>
  <c r="J109" i="21" s="1"/>
  <c r="I58" i="18" s="1"/>
  <c r="I241" i="22"/>
  <c r="I19" i="22" s="1"/>
  <c r="I105" i="21" s="1"/>
  <c r="I236" i="22"/>
  <c r="I14" i="22" s="1"/>
  <c r="I100" i="21" s="1"/>
  <c r="H39" i="18" s="1"/>
  <c r="R39" i="18" s="1"/>
  <c r="E235" i="22"/>
  <c r="E13" i="22" s="1"/>
  <c r="E99" i="21" s="1"/>
  <c r="D38" i="18" s="1"/>
  <c r="N38" i="18" s="1"/>
  <c r="G241" i="22"/>
  <c r="G19" i="22" s="1"/>
  <c r="G105" i="21" s="1"/>
  <c r="J237" i="22"/>
  <c r="J15" i="22" s="1"/>
  <c r="J101" i="21" s="1"/>
  <c r="I40" i="18" s="1"/>
  <c r="S40" i="18" s="1"/>
  <c r="K233" i="22"/>
  <c r="K11" i="22" s="1"/>
  <c r="K97" i="21" s="1"/>
  <c r="J36" i="18" s="1"/>
  <c r="T36" i="18" s="1"/>
  <c r="F241" i="22"/>
  <c r="F19" i="22" s="1"/>
  <c r="F105" i="21" s="1"/>
  <c r="F245" i="22"/>
  <c r="F23" i="22" s="1"/>
  <c r="F109" i="21" s="1"/>
  <c r="E58" i="18" s="1"/>
  <c r="H237" i="22"/>
  <c r="H15" i="22" s="1"/>
  <c r="H101" i="21" s="1"/>
  <c r="G40" i="18" s="1"/>
  <c r="Q40" i="18" s="1"/>
  <c r="K236" i="22"/>
  <c r="K14" i="22" s="1"/>
  <c r="K100" i="21" s="1"/>
  <c r="J39" i="18" s="1"/>
  <c r="T39" i="18" s="1"/>
  <c r="G245" i="22"/>
  <c r="G23" i="22" s="1"/>
  <c r="G109" i="21" s="1"/>
  <c r="F58" i="18" s="1"/>
  <c r="J234" i="22"/>
  <c r="I240" i="22"/>
  <c r="I18" i="22" s="1"/>
  <c r="I104" i="21" s="1"/>
  <c r="H43" i="18" s="1"/>
  <c r="R43" i="18" s="1"/>
  <c r="E246" i="22"/>
  <c r="E24" i="22" s="1"/>
  <c r="E110" i="21" s="1"/>
  <c r="I238" i="22"/>
  <c r="I16" i="22" s="1"/>
  <c r="I102" i="21" s="1"/>
  <c r="H41" i="18" s="1"/>
  <c r="R41" i="18" s="1"/>
  <c r="J229" i="22"/>
  <c r="J7" i="22" s="1"/>
  <c r="J93" i="21" s="1"/>
  <c r="I32" i="18" s="1"/>
  <c r="S32" i="18" s="1"/>
  <c r="L236" i="22"/>
  <c r="L14" i="22" s="1"/>
  <c r="L100" i="21" s="1"/>
  <c r="K39" i="18" s="1"/>
  <c r="U39" i="18" s="1"/>
  <c r="E233" i="22"/>
  <c r="E11" i="22" s="1"/>
  <c r="E97" i="21" s="1"/>
  <c r="D36" i="18" s="1"/>
  <c r="N36" i="18" s="1"/>
  <c r="J241" i="22"/>
  <c r="J19" i="22" s="1"/>
  <c r="J105" i="21" s="1"/>
  <c r="F238" i="22"/>
  <c r="F16" i="22" s="1"/>
  <c r="F102" i="21" s="1"/>
  <c r="E41" i="18" s="1"/>
  <c r="O41" i="18" s="1"/>
  <c r="I229" i="22"/>
  <c r="I7" i="22" s="1"/>
  <c r="I93" i="21" s="1"/>
  <c r="H32" i="18" s="1"/>
  <c r="R32" i="18" s="1"/>
  <c r="I245" i="22"/>
  <c r="I23" i="22" s="1"/>
  <c r="I109" i="21" s="1"/>
  <c r="H58" i="18" s="1"/>
  <c r="H238" i="22"/>
  <c r="H16" i="22" s="1"/>
  <c r="H102" i="21" s="1"/>
  <c r="G41" i="18" s="1"/>
  <c r="Q41" i="18" s="1"/>
  <c r="J230" i="22"/>
  <c r="J8" i="22" s="1"/>
  <c r="J94" i="21" s="1"/>
  <c r="I33" i="18" s="1"/>
  <c r="S33" i="18" s="1"/>
  <c r="K237" i="22"/>
  <c r="K15" i="22" s="1"/>
  <c r="K101" i="21" s="1"/>
  <c r="J40" i="18" s="1"/>
  <c r="T40" i="18" s="1"/>
  <c r="F230" i="22"/>
  <c r="F8" i="22" s="1"/>
  <c r="F94" i="21" s="1"/>
  <c r="E33" i="18" s="1"/>
  <c r="O33" i="18" s="1"/>
  <c r="J240" i="22"/>
  <c r="J18" i="22" s="1"/>
  <c r="J104" i="21" s="1"/>
  <c r="I43" i="18" s="1"/>
  <c r="S43" i="18" s="1"/>
  <c r="I237" i="22"/>
  <c r="I15" i="22" s="1"/>
  <c r="I101" i="21" s="1"/>
  <c r="H40" i="18" s="1"/>
  <c r="R40" i="18" s="1"/>
  <c r="E245" i="22"/>
  <c r="E23" i="22" s="1"/>
  <c r="E109" i="21" s="1"/>
  <c r="D58" i="18" s="1"/>
  <c r="J246" i="22"/>
  <c r="J24" i="22" s="1"/>
  <c r="J110" i="21" s="1"/>
  <c r="J236" i="22"/>
  <c r="J14" i="22" s="1"/>
  <c r="J100" i="21" s="1"/>
  <c r="I39" i="18" s="1"/>
  <c r="S39" i="18" s="1"/>
  <c r="K245" i="22"/>
  <c r="K23" i="22" s="1"/>
  <c r="K109" i="21" s="1"/>
  <c r="J58" i="18" s="1"/>
  <c r="H236" i="22"/>
  <c r="H14" i="22" s="1"/>
  <c r="H100" i="21" s="1"/>
  <c r="G39" i="18" s="1"/>
  <c r="Q39" i="18" s="1"/>
  <c r="L237" i="22"/>
  <c r="L15" i="22" s="1"/>
  <c r="L101" i="21" s="1"/>
  <c r="K40" i="18" s="1"/>
  <c r="U40" i="18" s="1"/>
  <c r="H246" i="22"/>
  <c r="H24" i="22" s="1"/>
  <c r="H110" i="21" s="1"/>
  <c r="E231" i="22"/>
  <c r="E9" i="22" s="1"/>
  <c r="E95" i="21" s="1"/>
  <c r="D34" i="18" s="1"/>
  <c r="G234" i="22"/>
  <c r="E238" i="22"/>
  <c r="E16" i="22" s="1"/>
  <c r="E102" i="21" s="1"/>
  <c r="D41" i="18" s="1"/>
  <c r="N41" i="18" s="1"/>
  <c r="H242" i="22"/>
  <c r="H20" i="22" s="1"/>
  <c r="H106" i="21" s="1"/>
  <c r="G9" i="18" s="1"/>
  <c r="G239" i="22"/>
  <c r="G17" i="22" s="1"/>
  <c r="G103" i="21" s="1"/>
  <c r="F42" i="18" s="1"/>
  <c r="P42" i="18" s="1"/>
  <c r="I235" i="22"/>
  <c r="I13" i="22" s="1"/>
  <c r="I99" i="21" s="1"/>
  <c r="H38" i="18" s="1"/>
  <c r="R38" i="18" s="1"/>
  <c r="I228" i="22"/>
  <c r="I6" i="22" s="1"/>
  <c r="I92" i="21" s="1"/>
  <c r="H31" i="18" s="1"/>
  <c r="R31" i="18" s="1"/>
  <c r="E229" i="22"/>
  <c r="E7" i="22" s="1"/>
  <c r="E93" i="21" s="1"/>
  <c r="D32" i="18" s="1"/>
  <c r="N32" i="18" s="1"/>
  <c r="G240" i="22"/>
  <c r="G18" i="22" s="1"/>
  <c r="G104" i="21" s="1"/>
  <c r="F43" i="18" s="1"/>
  <c r="P43" i="18" s="1"/>
  <c r="F228" i="22"/>
  <c r="F6" i="22" s="1"/>
  <c r="F92" i="21" s="1"/>
  <c r="E31" i="18" s="1"/>
  <c r="O31" i="18" s="1"/>
  <c r="J243" i="22"/>
  <c r="J21" i="22" s="1"/>
  <c r="J107" i="21" s="1"/>
  <c r="I70" i="18" s="1"/>
  <c r="J235" i="22"/>
  <c r="J13" i="22" s="1"/>
  <c r="J99" i="21" s="1"/>
  <c r="I38" i="18" s="1"/>
  <c r="S38" i="18" s="1"/>
  <c r="K232" i="22"/>
  <c r="K10" i="22" s="1"/>
  <c r="K96" i="21" s="1"/>
  <c r="J35" i="18" s="1"/>
  <c r="T35" i="18" s="1"/>
  <c r="K240" i="22"/>
  <c r="K230" i="22"/>
  <c r="K8" i="22" s="1"/>
  <c r="K94" i="21" s="1"/>
  <c r="J33" i="18" s="1"/>
  <c r="T33" i="18" s="1"/>
  <c r="F240" i="22"/>
  <c r="F18" i="22" s="1"/>
  <c r="F104" i="21" s="1"/>
  <c r="E43" i="18" s="1"/>
  <c r="O43" i="18" s="1"/>
  <c r="F236" i="22"/>
  <c r="F14" i="22" s="1"/>
  <c r="F100" i="21" s="1"/>
  <c r="E39" i="18" s="1"/>
  <c r="O39" i="18" s="1"/>
  <c r="F235" i="22"/>
  <c r="F13" i="22" s="1"/>
  <c r="F99" i="21" s="1"/>
  <c r="E38" i="18" s="1"/>
  <c r="O38" i="18" s="1"/>
  <c r="L235" i="22"/>
  <c r="L13" i="22" s="1"/>
  <c r="L99" i="21" s="1"/>
  <c r="K38" i="18" s="1"/>
  <c r="U38" i="18" s="1"/>
  <c r="L230" i="22"/>
  <c r="L8" i="22" s="1"/>
  <c r="L94" i="21" s="1"/>
  <c r="K33" i="18" s="1"/>
  <c r="U33" i="18" s="1"/>
  <c r="H243" i="22"/>
  <c r="H21" i="22" s="1"/>
  <c r="H107" i="21" s="1"/>
  <c r="G70" i="18" s="1"/>
  <c r="H241" i="22"/>
  <c r="H19" i="22" s="1"/>
  <c r="H105" i="21" s="1"/>
  <c r="L246" i="22"/>
  <c r="L24" i="22" s="1"/>
  <c r="L110" i="21" s="1"/>
  <c r="H234" i="22"/>
  <c r="H12" i="22" s="1"/>
  <c r="H98" i="21" s="1"/>
  <c r="G37" i="18" s="1"/>
  <c r="Q37" i="18" s="1"/>
  <c r="H230" i="22"/>
  <c r="H8" i="22" s="1"/>
  <c r="H94" i="21" s="1"/>
  <c r="G33" i="18" s="1"/>
  <c r="Q33" i="18" s="1"/>
  <c r="L245" i="22"/>
  <c r="L23" i="22" s="1"/>
  <c r="L109" i="21" s="1"/>
  <c r="K58" i="18" s="1"/>
  <c r="E243" i="22"/>
  <c r="E21" i="22" s="1"/>
  <c r="E107" i="21" s="1"/>
  <c r="D70" i="18" s="1"/>
  <c r="E236" i="22"/>
  <c r="E14" i="22" s="1"/>
  <c r="E100" i="21" s="1"/>
  <c r="D39" i="18" s="1"/>
  <c r="N39" i="18" s="1"/>
  <c r="G235" i="22"/>
  <c r="G13" i="22" s="1"/>
  <c r="G99" i="21" s="1"/>
  <c r="F38" i="18" s="1"/>
  <c r="P38" i="18" s="1"/>
  <c r="E232" i="22"/>
  <c r="E10" i="22" s="1"/>
  <c r="E96" i="21" s="1"/>
  <c r="D35" i="18" s="1"/>
  <c r="N35" i="18" s="1"/>
  <c r="H233" i="22"/>
  <c r="H11" i="22" s="1"/>
  <c r="H97" i="21" s="1"/>
  <c r="G36" i="18" s="1"/>
  <c r="Q36" i="18" s="1"/>
  <c r="L231" i="22"/>
  <c r="L9" i="22" s="1"/>
  <c r="L95" i="21" s="1"/>
  <c r="K34" i="18" s="1"/>
  <c r="G233" i="22"/>
  <c r="G11" i="22" s="1"/>
  <c r="G97" i="21" s="1"/>
  <c r="F36" i="18" s="1"/>
  <c r="P36" i="18" s="1"/>
  <c r="E244" i="22"/>
  <c r="E22" i="22" s="1"/>
  <c r="E108" i="21" s="1"/>
  <c r="D10" i="18" s="1"/>
  <c r="L240" i="22"/>
  <c r="L18" i="22" s="1"/>
  <c r="L104" i="21" s="1"/>
  <c r="K43" i="18" s="1"/>
  <c r="U43" i="18" s="1"/>
  <c r="G238" i="22"/>
  <c r="G16" i="22" s="1"/>
  <c r="G102" i="21" s="1"/>
  <c r="F41" i="18" s="1"/>
  <c r="P41" i="18" s="1"/>
  <c r="K242" i="22"/>
  <c r="K20" i="22" s="1"/>
  <c r="K106" i="21" s="1"/>
  <c r="J9" i="18" s="1"/>
  <c r="G231" i="22"/>
  <c r="G9" i="22" s="1"/>
  <c r="G95" i="21" s="1"/>
  <c r="F34" i="18" s="1"/>
  <c r="J231" i="22"/>
  <c r="J9" i="22" s="1"/>
  <c r="J95" i="21" s="1"/>
  <c r="I34" i="18" s="1"/>
  <c r="K246" i="22"/>
  <c r="K24" i="22" s="1"/>
  <c r="K110" i="21" s="1"/>
  <c r="I239" i="22"/>
  <c r="I17" i="22" s="1"/>
  <c r="I103" i="21" s="1"/>
  <c r="H42" i="18" s="1"/>
  <c r="R42" i="18" s="1"/>
  <c r="G229" i="22"/>
  <c r="G7" i="22" s="1"/>
  <c r="G93" i="21" s="1"/>
  <c r="F32" i="18" s="1"/>
  <c r="P32" i="18" s="1"/>
  <c r="E234" i="22"/>
  <c r="E12" i="22" s="1"/>
  <c r="E98" i="21" s="1"/>
  <c r="D37" i="18" s="1"/>
  <c r="N37" i="18" s="1"/>
  <c r="G228" i="22"/>
  <c r="G6" i="22" s="1"/>
  <c r="G92" i="21" s="1"/>
  <c r="F31" i="18" s="1"/>
  <c r="P31" i="18" s="1"/>
  <c r="J232" i="22"/>
  <c r="J10" i="22" s="1"/>
  <c r="J96" i="21" s="1"/>
  <c r="I35" i="18" s="1"/>
  <c r="S35" i="18" s="1"/>
  <c r="K239" i="22"/>
  <c r="K243" i="22"/>
  <c r="K21" i="22" s="1"/>
  <c r="K107" i="21" s="1"/>
  <c r="J70" i="18" s="1"/>
  <c r="F242" i="22"/>
  <c r="F20" i="22" s="1"/>
  <c r="F106" i="21" s="1"/>
  <c r="E9" i="18" s="1"/>
  <c r="L242" i="22"/>
  <c r="L20" i="22" s="1"/>
  <c r="L106" i="21" s="1"/>
  <c r="K9" i="18" s="1"/>
  <c r="K24" i="18" s="1"/>
  <c r="L243" i="22"/>
  <c r="L21" i="22" s="1"/>
  <c r="L107" i="21" s="1"/>
  <c r="K70" i="18" s="1"/>
  <c r="E237" i="22"/>
  <c r="E15" i="22" s="1"/>
  <c r="E101" i="21" s="1"/>
  <c r="D40" i="18" s="1"/>
  <c r="N40" i="18" s="1"/>
  <c r="F243" i="22"/>
  <c r="F21" i="22" s="1"/>
  <c r="F107" i="21" s="1"/>
  <c r="E70" i="18" s="1"/>
  <c r="G243" i="22"/>
  <c r="G21" i="22" s="1"/>
  <c r="G107" i="21" s="1"/>
  <c r="F70" i="18" s="1"/>
  <c r="J242" i="22"/>
  <c r="J20" i="22" s="1"/>
  <c r="J106" i="21" s="1"/>
  <c r="I9" i="18" s="1"/>
  <c r="G232" i="22"/>
  <c r="G10" i="22" s="1"/>
  <c r="G96" i="21" s="1"/>
  <c r="F35" i="18" s="1"/>
  <c r="P35" i="18" s="1"/>
  <c r="F239" i="22"/>
  <c r="F17" i="22" s="1"/>
  <c r="F103" i="21" s="1"/>
  <c r="E42" i="18" s="1"/>
  <c r="O42" i="18" s="1"/>
  <c r="E527" i="22"/>
  <c r="J527" i="22"/>
  <c r="F116" i="27"/>
  <c r="G536" i="22" s="1"/>
  <c r="F124" i="27"/>
  <c r="G546" i="22" s="1"/>
  <c r="F122" i="27"/>
  <c r="G544" i="22" s="1"/>
  <c r="G484" i="22" s="1"/>
  <c r="F120" i="27"/>
  <c r="G542" i="22" s="1"/>
  <c r="G482" i="22" s="1"/>
  <c r="G12" i="22" s="1"/>
  <c r="G98" i="21" s="1"/>
  <c r="F37" i="18" s="1"/>
  <c r="P37" i="18" s="1"/>
  <c r="F118" i="27"/>
  <c r="G540" i="22" s="1"/>
  <c r="J126" i="27"/>
  <c r="K548" i="22" s="1"/>
  <c r="K488" i="22" s="1"/>
  <c r="J125" i="27"/>
  <c r="K547" i="22" s="1"/>
  <c r="K487" i="22" s="1"/>
  <c r="J123" i="27"/>
  <c r="K545" i="22" s="1"/>
  <c r="J121" i="27"/>
  <c r="K543" i="22" s="1"/>
  <c r="K483" i="22" s="1"/>
  <c r="K13" i="22" s="1"/>
  <c r="K99" i="21" s="1"/>
  <c r="J38" i="18" s="1"/>
  <c r="T38" i="18" s="1"/>
  <c r="H125" i="27"/>
  <c r="I547" i="22" s="1"/>
  <c r="I120" i="27"/>
  <c r="J542" i="22" s="1"/>
  <c r="J482" i="22" s="1"/>
  <c r="J12" i="22" s="1"/>
  <c r="J98" i="21" s="1"/>
  <c r="I37" i="18" s="1"/>
  <c r="S37" i="18" s="1"/>
  <c r="K195" i="22"/>
  <c r="K196" i="22"/>
  <c r="H195" i="22"/>
  <c r="H196" i="22"/>
  <c r="K168" i="22"/>
  <c r="H167" i="22"/>
  <c r="H166" i="22"/>
  <c r="I167" i="22"/>
  <c r="L168" i="22"/>
  <c r="L166" i="22"/>
  <c r="F168" i="22"/>
  <c r="J166" i="22"/>
  <c r="J167" i="22"/>
  <c r="J168" i="22"/>
  <c r="I168" i="22"/>
  <c r="J100" i="27"/>
  <c r="K521" i="22" s="1"/>
  <c r="J95" i="27"/>
  <c r="K516" i="22" s="1"/>
  <c r="I196" i="22"/>
  <c r="I195" i="22"/>
  <c r="J87" i="27"/>
  <c r="K506" i="22" s="1"/>
  <c r="J97" i="27"/>
  <c r="K518" i="22" s="1"/>
  <c r="J96" i="27"/>
  <c r="K517" i="22" s="1"/>
  <c r="J91" i="27"/>
  <c r="K512" i="22" s="1"/>
  <c r="E196" i="22"/>
  <c r="E195" i="22"/>
  <c r="J90" i="27"/>
  <c r="K511" i="22" s="1"/>
  <c r="J92" i="27"/>
  <c r="K513" i="22" s="1"/>
  <c r="G195" i="22"/>
  <c r="G196" i="22"/>
  <c r="D96" i="29"/>
  <c r="E113" i="22" s="1"/>
  <c r="D91" i="29"/>
  <c r="E108" i="22" s="1"/>
  <c r="E61" i="29"/>
  <c r="E56" i="29" s="1"/>
  <c r="F60" i="29"/>
  <c r="E41" i="29"/>
  <c r="E36" i="29" s="1"/>
  <c r="F40" i="29"/>
  <c r="H162" i="21"/>
  <c r="D69" i="29"/>
  <c r="E76" i="22" s="1"/>
  <c r="D72" i="29"/>
  <c r="E79" i="22" s="1"/>
  <c r="D70" i="29"/>
  <c r="E77" i="22" s="1"/>
  <c r="D82" i="29"/>
  <c r="D89" i="29"/>
  <c r="E106" i="22" s="1"/>
  <c r="D88" i="29"/>
  <c r="E105" i="22" s="1"/>
  <c r="E162" i="21"/>
  <c r="F162" i="21"/>
  <c r="D162" i="21"/>
  <c r="I159" i="21"/>
  <c r="U159" i="21"/>
  <c r="H159" i="21"/>
  <c r="P162" i="21"/>
  <c r="N162" i="21"/>
  <c r="L162" i="21"/>
  <c r="M159" i="21"/>
  <c r="D159" i="21"/>
  <c r="L159" i="21"/>
  <c r="G159" i="21"/>
  <c r="S159" i="21"/>
  <c r="S162" i="21"/>
  <c r="Q162" i="21"/>
  <c r="O162" i="21"/>
  <c r="O159" i="21"/>
  <c r="J159" i="21"/>
  <c r="E159" i="21"/>
  <c r="Q159" i="21"/>
  <c r="J162" i="21"/>
  <c r="N159" i="21"/>
  <c r="T159" i="21"/>
  <c r="K162" i="21"/>
  <c r="I162" i="21"/>
  <c r="T162" i="21"/>
  <c r="G162" i="21"/>
  <c r="P159" i="21"/>
  <c r="K159" i="21"/>
  <c r="F159" i="21"/>
  <c r="D75" i="29"/>
  <c r="E82" i="22" s="1"/>
  <c r="D77" i="29"/>
  <c r="E84" i="22" s="1"/>
  <c r="D101" i="29"/>
  <c r="D94" i="29"/>
  <c r="E111" i="22" s="1"/>
  <c r="D76" i="29"/>
  <c r="E83" i="22" s="1"/>
  <c r="D74" i="29"/>
  <c r="E81" i="22" s="1"/>
  <c r="E118" i="22"/>
  <c r="D95" i="29"/>
  <c r="E112" i="22" s="1"/>
  <c r="D90" i="29"/>
  <c r="E107" i="22" s="1"/>
  <c r="E89" i="22"/>
  <c r="D71" i="29"/>
  <c r="E78" i="22" s="1"/>
  <c r="D73" i="29"/>
  <c r="E80" i="22" s="1"/>
  <c r="E82" i="29"/>
  <c r="E69" i="29"/>
  <c r="F76" i="22" s="1"/>
  <c r="F89" i="22"/>
  <c r="E77" i="29"/>
  <c r="F84" i="22" s="1"/>
  <c r="E73" i="29"/>
  <c r="F80" i="22" s="1"/>
  <c r="E72" i="29"/>
  <c r="F79" i="22" s="1"/>
  <c r="E76" i="29"/>
  <c r="F83" i="22" s="1"/>
  <c r="E71" i="29"/>
  <c r="F78" i="22" s="1"/>
  <c r="E70" i="29"/>
  <c r="F77" i="22" s="1"/>
  <c r="E74" i="29"/>
  <c r="F81" i="22" s="1"/>
  <c r="E75" i="29"/>
  <c r="F82" i="22" s="1"/>
  <c r="R162" i="21"/>
  <c r="U162" i="21"/>
  <c r="D136" i="27"/>
  <c r="E558" i="22" s="1"/>
  <c r="E498" i="22" s="1"/>
  <c r="E28" i="22" s="1"/>
  <c r="E114" i="21" s="1"/>
  <c r="H136" i="27"/>
  <c r="I558" i="22" s="1"/>
  <c r="K6" i="22"/>
  <c r="K92" i="21" s="1"/>
  <c r="J31" i="18" s="1"/>
  <c r="T31" i="18" s="1"/>
  <c r="H7" i="22"/>
  <c r="H93" i="21" s="1"/>
  <c r="G32" i="18" s="1"/>
  <c r="Q32" i="18" s="1"/>
  <c r="I24" i="22"/>
  <c r="I110" i="21" s="1"/>
  <c r="J28" i="22"/>
  <c r="J114" i="21" s="1"/>
  <c r="H9" i="22"/>
  <c r="H95" i="21" s="1"/>
  <c r="G34" i="18" s="1"/>
  <c r="L26" i="22"/>
  <c r="L112" i="21" s="1"/>
  <c r="K297" i="21" s="1"/>
  <c r="E31" i="22"/>
  <c r="E117" i="21" s="1"/>
  <c r="G22" i="22"/>
  <c r="G108" i="21" s="1"/>
  <c r="F10" i="18" s="1"/>
  <c r="I27" i="22"/>
  <c r="I113" i="21" s="1"/>
  <c r="H298" i="21" s="1"/>
  <c r="J17" i="22"/>
  <c r="J103" i="21" s="1"/>
  <c r="I42" i="18" s="1"/>
  <c r="S42" i="18" s="1"/>
  <c r="F30" i="22"/>
  <c r="F116" i="21" s="1"/>
  <c r="F27" i="22"/>
  <c r="F113" i="21" s="1"/>
  <c r="E298" i="21" s="1"/>
  <c r="J11" i="22"/>
  <c r="J97" i="21" s="1"/>
  <c r="I36" i="18" s="1"/>
  <c r="S36" i="18" s="1"/>
  <c r="H6" i="22"/>
  <c r="H92" i="21" s="1"/>
  <c r="G31" i="18" s="1"/>
  <c r="Q31" i="18" s="1"/>
  <c r="I10" i="22"/>
  <c r="I96" i="21" s="1"/>
  <c r="H35" i="18" s="1"/>
  <c r="R35" i="18" s="1"/>
  <c r="I28" i="22"/>
  <c r="I114" i="21" s="1"/>
  <c r="L10" i="22"/>
  <c r="L96" i="21" s="1"/>
  <c r="K35" i="18" s="1"/>
  <c r="U35" i="18" s="1"/>
  <c r="J6" i="22"/>
  <c r="J92" i="21" s="1"/>
  <c r="I31" i="18" s="1"/>
  <c r="S31" i="18" s="1"/>
  <c r="L17" i="22"/>
  <c r="L103" i="21" s="1"/>
  <c r="K42" i="18" s="1"/>
  <c r="U42" i="18" s="1"/>
  <c r="I29" i="22"/>
  <c r="I115" i="21" s="1"/>
  <c r="F24" i="22"/>
  <c r="F110" i="21" s="1"/>
  <c r="J27" i="22"/>
  <c r="J113" i="21" s="1"/>
  <c r="I298" i="21" s="1"/>
  <c r="H17" i="22"/>
  <c r="H103" i="21" s="1"/>
  <c r="G42" i="18" s="1"/>
  <c r="Q42" i="18" s="1"/>
  <c r="F10" i="22"/>
  <c r="F96" i="21" s="1"/>
  <c r="E35" i="18" s="1"/>
  <c r="O35" i="18" s="1"/>
  <c r="L19" i="22"/>
  <c r="L105" i="21" s="1"/>
  <c r="E19" i="22"/>
  <c r="E105" i="21" s="1"/>
  <c r="J32" i="22"/>
  <c r="J118" i="21" s="1"/>
  <c r="I68" i="21" s="1"/>
  <c r="I299" i="21" s="1"/>
  <c r="I20" i="22"/>
  <c r="I106" i="21" s="1"/>
  <c r="H9" i="18" s="1"/>
  <c r="H24" i="18" s="1"/>
  <c r="J22" i="22"/>
  <c r="J108" i="21" s="1"/>
  <c r="I10" i="18" s="1"/>
  <c r="L7" i="22"/>
  <c r="L93" i="21" s="1"/>
  <c r="K32" i="18" s="1"/>
  <c r="U32" i="18" s="1"/>
  <c r="F7" i="22"/>
  <c r="F93" i="21" s="1"/>
  <c r="E32" i="18" s="1"/>
  <c r="O32" i="18" s="1"/>
  <c r="I30" i="22"/>
  <c r="I116" i="21" s="1"/>
  <c r="G135" i="27"/>
  <c r="H557" i="22" s="1"/>
  <c r="H497" i="22" s="1"/>
  <c r="H27" i="22" s="1"/>
  <c r="H113" i="21" s="1"/>
  <c r="G136" i="27"/>
  <c r="H558" i="22" s="1"/>
  <c r="H498" i="22" s="1"/>
  <c r="H28" i="22" s="1"/>
  <c r="H114" i="21" s="1"/>
  <c r="H556" i="22"/>
  <c r="H496" i="22" s="1"/>
  <c r="H26" i="22" s="1"/>
  <c r="H112" i="21" s="1"/>
  <c r="G297" i="21" s="1"/>
  <c r="E136" i="27"/>
  <c r="F558" i="22" s="1"/>
  <c r="F498" i="22" s="1"/>
  <c r="F28" i="22" s="1"/>
  <c r="F114" i="21" s="1"/>
  <c r="J135" i="27"/>
  <c r="K557" i="22" s="1"/>
  <c r="K497" i="22" s="1"/>
  <c r="K27" i="22" s="1"/>
  <c r="K113" i="21" s="1"/>
  <c r="K556" i="22"/>
  <c r="K496" i="22" s="1"/>
  <c r="K26" i="22" s="1"/>
  <c r="K112" i="21" s="1"/>
  <c r="L6" i="22"/>
  <c r="L92" i="21" s="1"/>
  <c r="K31" i="18" s="1"/>
  <c r="H10" i="22"/>
  <c r="H96" i="21" s="1"/>
  <c r="G35" i="18" s="1"/>
  <c r="Q35" i="18" s="1"/>
  <c r="K22" i="22"/>
  <c r="K108" i="21" s="1"/>
  <c r="J10" i="18" s="1"/>
  <c r="K12" i="22"/>
  <c r="K98" i="21" s="1"/>
  <c r="I200" i="21" s="1"/>
  <c r="I217" i="21" s="1"/>
  <c r="G31" i="22"/>
  <c r="G117" i="21" s="1"/>
  <c r="I526" i="22"/>
  <c r="H106" i="27"/>
  <c r="I527" i="22" s="1"/>
  <c r="F526" i="22"/>
  <c r="E106" i="27"/>
  <c r="F527" i="22" s="1"/>
  <c r="G107" i="27"/>
  <c r="H528" i="22" s="1"/>
  <c r="L31" i="22"/>
  <c r="G30" i="22"/>
  <c r="L28" i="22"/>
  <c r="L114" i="21" s="1"/>
  <c r="I31" i="22"/>
  <c r="G27" i="22"/>
  <c r="G113" i="21" s="1"/>
  <c r="H23" i="22"/>
  <c r="H109" i="21" s="1"/>
  <c r="G58" i="18" s="1"/>
  <c r="H29" i="22"/>
  <c r="H115" i="21" s="1"/>
  <c r="E29" i="22"/>
  <c r="E115" i="21" s="1"/>
  <c r="E32" i="22"/>
  <c r="E118" i="21" s="1"/>
  <c r="D68" i="21" s="1"/>
  <c r="F32" i="22"/>
  <c r="F118" i="21" s="1"/>
  <c r="E68" i="21" s="1"/>
  <c r="G32" i="22"/>
  <c r="G118" i="21" s="1"/>
  <c r="F68" i="21" s="1"/>
  <c r="E26" i="22"/>
  <c r="E112" i="21" s="1"/>
  <c r="J30" i="22"/>
  <c r="K30" i="22"/>
  <c r="L29" i="22"/>
  <c r="L115" i="21" s="1"/>
  <c r="F29" i="22"/>
  <c r="F115" i="21" s="1"/>
  <c r="G29" i="22"/>
  <c r="G115" i="21" s="1"/>
  <c r="I32" i="22"/>
  <c r="I118" i="21" s="1"/>
  <c r="H68" i="21" s="1"/>
  <c r="I26" i="22"/>
  <c r="I112" i="21" s="1"/>
  <c r="J29" i="22"/>
  <c r="J115" i="21" s="1"/>
  <c r="K29" i="22"/>
  <c r="K115" i="21" s="1"/>
  <c r="F26" i="22"/>
  <c r="F112" i="21" s="1"/>
  <c r="G26" i="22"/>
  <c r="G112" i="21" s="1"/>
  <c r="H32" i="22"/>
  <c r="H118" i="21" s="1"/>
  <c r="G68" i="21" s="1"/>
  <c r="E30" i="22"/>
  <c r="L30" i="22"/>
  <c r="K32" i="22"/>
  <c r="K118" i="21" s="1"/>
  <c r="J68" i="21" s="1"/>
  <c r="E27" i="22"/>
  <c r="E113" i="21" s="1"/>
  <c r="F31" i="22"/>
  <c r="J31" i="22"/>
  <c r="K31" i="22"/>
  <c r="L27" i="22"/>
  <c r="L113" i="21" s="1"/>
  <c r="H30" i="22"/>
  <c r="G28" i="22"/>
  <c r="G114" i="21" s="1"/>
  <c r="J26" i="22"/>
  <c r="J112" i="21" s="1"/>
  <c r="L32" i="22"/>
  <c r="L118" i="21" s="1"/>
  <c r="K68" i="21" s="1"/>
  <c r="H31" i="22"/>
  <c r="G14" i="22" l="1"/>
  <c r="G100" i="21" s="1"/>
  <c r="F39" i="18" s="1"/>
  <c r="P39" i="18" s="1"/>
  <c r="F47" i="18" s="1"/>
  <c r="K18" i="22"/>
  <c r="K104" i="21" s="1"/>
  <c r="J43" i="18" s="1"/>
  <c r="T43" i="18" s="1"/>
  <c r="K17" i="22"/>
  <c r="K103" i="21" s="1"/>
  <c r="J42" i="18" s="1"/>
  <c r="T42" i="18" s="1"/>
  <c r="C200" i="21"/>
  <c r="C217" i="21" s="1"/>
  <c r="K11" i="18"/>
  <c r="G60" i="29"/>
  <c r="F61" i="29"/>
  <c r="F56" i="29" s="1"/>
  <c r="G40" i="29"/>
  <c r="F41" i="29"/>
  <c r="F36" i="29" s="1"/>
  <c r="E101" i="29"/>
  <c r="F118" i="22"/>
  <c r="E88" i="29"/>
  <c r="F105" i="22" s="1"/>
  <c r="E90" i="29"/>
  <c r="F107" i="22" s="1"/>
  <c r="E93" i="29"/>
  <c r="F110" i="22" s="1"/>
  <c r="E92" i="29"/>
  <c r="F109" i="22" s="1"/>
  <c r="E96" i="29"/>
  <c r="F113" i="22" s="1"/>
  <c r="E89" i="29"/>
  <c r="F106" i="22" s="1"/>
  <c r="E94" i="29"/>
  <c r="F111" i="22" s="1"/>
  <c r="E95" i="29"/>
  <c r="F112" i="22" s="1"/>
  <c r="E91" i="29"/>
  <c r="F108" i="22" s="1"/>
  <c r="D11" i="18"/>
  <c r="J11" i="18"/>
  <c r="E37" i="18"/>
  <c r="O37" i="18" s="1"/>
  <c r="E47" i="18" s="1"/>
  <c r="F200" i="21"/>
  <c r="F217" i="21" s="1"/>
  <c r="G67" i="18"/>
  <c r="I66" i="18"/>
  <c r="I11" i="18"/>
  <c r="D65" i="18"/>
  <c r="K7" i="18"/>
  <c r="K57" i="18" s="1"/>
  <c r="J37" i="18"/>
  <c r="T37" i="18" s="1"/>
  <c r="G200" i="21"/>
  <c r="G217" i="21" s="1"/>
  <c r="H11" i="18"/>
  <c r="K66" i="18"/>
  <c r="J200" i="21"/>
  <c r="J217" i="21" s="1"/>
  <c r="H66" i="18"/>
  <c r="U31" i="18"/>
  <c r="K47" i="18" s="1"/>
  <c r="H200" i="21"/>
  <c r="H217" i="21" s="1"/>
  <c r="G11" i="18"/>
  <c r="I67" i="18"/>
  <c r="H65" i="18"/>
  <c r="I24" i="18"/>
  <c r="E200" i="21"/>
  <c r="E217" i="21" s="1"/>
  <c r="H67" i="18"/>
  <c r="I65" i="18"/>
  <c r="I47" i="18"/>
  <c r="K56" i="18"/>
  <c r="F11" i="18"/>
  <c r="G66" i="18"/>
  <c r="I48" i="18"/>
  <c r="I71" i="18"/>
  <c r="G65" i="18"/>
  <c r="K71" i="18"/>
  <c r="I46" i="18"/>
  <c r="G24" i="18"/>
  <c r="AC24" i="18" s="1"/>
  <c r="K55" i="18"/>
  <c r="K46" i="18"/>
  <c r="I55" i="18"/>
  <c r="K48" i="18"/>
  <c r="E11" i="18"/>
  <c r="J136" i="27"/>
  <c r="K558" i="22" s="1"/>
  <c r="K498" i="22" s="1"/>
  <c r="K28" i="22" s="1"/>
  <c r="K114" i="21" s="1"/>
  <c r="E107" i="27"/>
  <c r="F528" i="22" s="1"/>
  <c r="D67" i="18"/>
  <c r="H107" i="27"/>
  <c r="I528" i="22" s="1"/>
  <c r="K65" i="18"/>
  <c r="K67" i="18"/>
  <c r="D66" i="18"/>
  <c r="D55" i="18"/>
  <c r="D7" i="18"/>
  <c r="D57" i="18" s="1"/>
  <c r="D71" i="18"/>
  <c r="I7" i="18"/>
  <c r="I57" i="18" s="1"/>
  <c r="G298" i="21"/>
  <c r="K298" i="21"/>
  <c r="F117" i="21"/>
  <c r="F297" i="21"/>
  <c r="L68" i="21"/>
  <c r="D299" i="21"/>
  <c r="F298" i="21"/>
  <c r="L117" i="21"/>
  <c r="H47" i="18"/>
  <c r="G48" i="18"/>
  <c r="G7" i="18"/>
  <c r="K299" i="21"/>
  <c r="K117" i="21"/>
  <c r="D47" i="18"/>
  <c r="D56" i="18"/>
  <c r="D298" i="21"/>
  <c r="L116" i="21"/>
  <c r="E297" i="21"/>
  <c r="H297" i="21"/>
  <c r="D297" i="21"/>
  <c r="J65" i="18"/>
  <c r="J67" i="18"/>
  <c r="J66" i="18"/>
  <c r="J24" i="18"/>
  <c r="I117" i="21"/>
  <c r="H55" i="18"/>
  <c r="H56" i="18"/>
  <c r="G71" i="18"/>
  <c r="H117" i="21"/>
  <c r="J297" i="21"/>
  <c r="J117" i="21"/>
  <c r="D46" i="18"/>
  <c r="J299" i="21"/>
  <c r="E116" i="21"/>
  <c r="H299" i="21"/>
  <c r="I56" i="18"/>
  <c r="K116" i="21"/>
  <c r="F299" i="21"/>
  <c r="J298" i="21"/>
  <c r="F24" i="18"/>
  <c r="X24" i="18" s="1"/>
  <c r="F65" i="18"/>
  <c r="F67" i="18"/>
  <c r="F66" i="18"/>
  <c r="H48" i="18"/>
  <c r="H71" i="18"/>
  <c r="G55" i="18"/>
  <c r="G46" i="18"/>
  <c r="I297" i="21"/>
  <c r="H116" i="21"/>
  <c r="D48" i="18"/>
  <c r="G299" i="21"/>
  <c r="J116" i="21"/>
  <c r="E299" i="21"/>
  <c r="E24" i="18"/>
  <c r="S24" i="18" s="1"/>
  <c r="O24" i="18" s="1"/>
  <c r="P24" i="18" s="1"/>
  <c r="Q24" i="18" s="1"/>
  <c r="R24" i="18" s="1"/>
  <c r="E66" i="18"/>
  <c r="E65" i="18"/>
  <c r="E67" i="18"/>
  <c r="G116" i="21"/>
  <c r="H7" i="18"/>
  <c r="H46" i="18"/>
  <c r="G47" i="18"/>
  <c r="G56" i="18"/>
  <c r="T24" i="18" l="1"/>
  <c r="U24" i="18" s="1"/>
  <c r="V24" i="18" s="1"/>
  <c r="W24" i="18" s="1"/>
  <c r="Y24" i="18"/>
  <c r="F48" i="18"/>
  <c r="F55" i="18"/>
  <c r="F7" i="18"/>
  <c r="F57" i="18" s="1"/>
  <c r="F46" i="18"/>
  <c r="F71" i="18"/>
  <c r="F56" i="18"/>
  <c r="J47" i="18"/>
  <c r="G61" i="29"/>
  <c r="G56" i="29" s="1"/>
  <c r="H60" i="29"/>
  <c r="G41" i="29"/>
  <c r="G36" i="29" s="1"/>
  <c r="H40" i="29"/>
  <c r="G118" i="22"/>
  <c r="F95" i="29"/>
  <c r="G112" i="22" s="1"/>
  <c r="F89" i="29"/>
  <c r="G106" i="22" s="1"/>
  <c r="F91" i="29"/>
  <c r="G108" i="22" s="1"/>
  <c r="F92" i="29"/>
  <c r="G109" i="22" s="1"/>
  <c r="F88" i="29"/>
  <c r="G105" i="22" s="1"/>
  <c r="F94" i="29"/>
  <c r="G111" i="22" s="1"/>
  <c r="F90" i="29"/>
  <c r="G107" i="22" s="1"/>
  <c r="F96" i="29"/>
  <c r="G113" i="22" s="1"/>
  <c r="F93" i="29"/>
  <c r="G110" i="22" s="1"/>
  <c r="F101" i="29"/>
  <c r="F82" i="29"/>
  <c r="G89" i="22"/>
  <c r="F72" i="29"/>
  <c r="G79" i="22" s="1"/>
  <c r="F75" i="29"/>
  <c r="G82" i="22" s="1"/>
  <c r="F71" i="29"/>
  <c r="G78" i="22" s="1"/>
  <c r="F74" i="29"/>
  <c r="G81" i="22" s="1"/>
  <c r="F69" i="29"/>
  <c r="G76" i="22" s="1"/>
  <c r="F77" i="29"/>
  <c r="G84" i="22" s="1"/>
  <c r="F76" i="29"/>
  <c r="G83" i="22" s="1"/>
  <c r="F73" i="29"/>
  <c r="G80" i="22" s="1"/>
  <c r="F70" i="29"/>
  <c r="G77" i="22" s="1"/>
  <c r="J46" i="18"/>
  <c r="E46" i="18"/>
  <c r="E48" i="18"/>
  <c r="E7" i="18"/>
  <c r="E57" i="18" s="1"/>
  <c r="E56" i="18"/>
  <c r="E55" i="18"/>
  <c r="E71" i="18"/>
  <c r="J7" i="18"/>
  <c r="J57" i="18" s="1"/>
  <c r="J71" i="18"/>
  <c r="J48" i="18"/>
  <c r="J56" i="18"/>
  <c r="J55" i="18"/>
  <c r="K62" i="18"/>
  <c r="D61" i="18"/>
  <c r="I60" i="18"/>
  <c r="H57" i="18"/>
  <c r="H60" i="18" s="1"/>
  <c r="K61" i="18"/>
  <c r="D62" i="18"/>
  <c r="K60" i="18"/>
  <c r="I61" i="18"/>
  <c r="D60" i="18"/>
  <c r="I62" i="18"/>
  <c r="G57" i="18"/>
  <c r="G61" i="18" s="1"/>
  <c r="Z24" i="18" l="1"/>
  <c r="AA24" i="18" s="1"/>
  <c r="AB24" i="18" s="1"/>
  <c r="AD24" i="18" s="1"/>
  <c r="F61" i="18"/>
  <c r="F62" i="18"/>
  <c r="F60" i="18"/>
  <c r="I60" i="29"/>
  <c r="H61" i="29"/>
  <c r="H56" i="29" s="1"/>
  <c r="I40" i="29"/>
  <c r="H41" i="29"/>
  <c r="H36" i="29" s="1"/>
  <c r="G82" i="29"/>
  <c r="G76" i="29"/>
  <c r="H83" i="22" s="1"/>
  <c r="G70" i="29"/>
  <c r="H77" i="22" s="1"/>
  <c r="H89" i="22"/>
  <c r="G74" i="29"/>
  <c r="H81" i="22" s="1"/>
  <c r="G73" i="29"/>
  <c r="H80" i="22" s="1"/>
  <c r="G72" i="29"/>
  <c r="H79" i="22" s="1"/>
  <c r="G69" i="29"/>
  <c r="H76" i="22" s="1"/>
  <c r="G71" i="29"/>
  <c r="H78" i="22" s="1"/>
  <c r="G75" i="29"/>
  <c r="H82" i="22" s="1"/>
  <c r="G77" i="29"/>
  <c r="H84" i="22" s="1"/>
  <c r="G101" i="29"/>
  <c r="G93" i="29"/>
  <c r="H110" i="22" s="1"/>
  <c r="G91" i="29"/>
  <c r="H108" i="22" s="1"/>
  <c r="H118" i="22"/>
  <c r="G89" i="29"/>
  <c r="H106" i="22" s="1"/>
  <c r="G94" i="29"/>
  <c r="H111" i="22" s="1"/>
  <c r="G96" i="29"/>
  <c r="H113" i="22" s="1"/>
  <c r="G95" i="29"/>
  <c r="H112" i="22" s="1"/>
  <c r="G88" i="29"/>
  <c r="H105" i="22" s="1"/>
  <c r="G92" i="29"/>
  <c r="H109" i="22" s="1"/>
  <c r="G90" i="29"/>
  <c r="H107" i="22" s="1"/>
  <c r="E61" i="18"/>
  <c r="E62" i="18"/>
  <c r="E60" i="18"/>
  <c r="J61" i="18"/>
  <c r="J60" i="18"/>
  <c r="J62" i="18"/>
  <c r="H61" i="18"/>
  <c r="H62" i="18"/>
  <c r="I18" i="18"/>
  <c r="I26" i="18" s="1"/>
  <c r="I8" i="18"/>
  <c r="I12" i="18" s="1"/>
  <c r="D49" i="18"/>
  <c r="D50" i="18" s="1"/>
  <c r="D18" i="18"/>
  <c r="D8" i="18"/>
  <c r="D12" i="18" s="1"/>
  <c r="D72" i="18"/>
  <c r="D73" i="18" s="1"/>
  <c r="D57" i="21" s="1"/>
  <c r="K18" i="18"/>
  <c r="K8" i="18"/>
  <c r="K12" i="18" s="1"/>
  <c r="K72" i="18"/>
  <c r="K73" i="18" s="1"/>
  <c r="K57" i="21" s="1"/>
  <c r="K49" i="18"/>
  <c r="K50" i="18" s="1"/>
  <c r="G62" i="18"/>
  <c r="I72" i="18"/>
  <c r="I73" i="18" s="1"/>
  <c r="I57" i="21" s="1"/>
  <c r="G60" i="18"/>
  <c r="I49" i="18"/>
  <c r="I50" i="18" s="1"/>
  <c r="F72" i="18" l="1"/>
  <c r="F73" i="18" s="1"/>
  <c r="F57" i="21" s="1"/>
  <c r="F295" i="21" s="1"/>
  <c r="F49" i="18"/>
  <c r="F50" i="18" s="1"/>
  <c r="F8" i="18"/>
  <c r="F12" i="18" s="1"/>
  <c r="F13" i="18" s="1"/>
  <c r="F25" i="18" s="1"/>
  <c r="X25" i="18" s="1"/>
  <c r="F18" i="18"/>
  <c r="F19" i="18" s="1"/>
  <c r="F61" i="21" s="1"/>
  <c r="F62" i="21" s="1"/>
  <c r="F39" i="21" s="1"/>
  <c r="J60" i="29"/>
  <c r="I61" i="29"/>
  <c r="I56" i="29" s="1"/>
  <c r="J40" i="29"/>
  <c r="I41" i="29"/>
  <c r="I36" i="29" s="1"/>
  <c r="H82" i="29"/>
  <c r="I89" i="22"/>
  <c r="H69" i="29"/>
  <c r="I76" i="22" s="1"/>
  <c r="H72" i="29"/>
  <c r="I79" i="22" s="1"/>
  <c r="H73" i="29"/>
  <c r="I80" i="22" s="1"/>
  <c r="H77" i="29"/>
  <c r="I84" i="22" s="1"/>
  <c r="H75" i="29"/>
  <c r="I82" i="22" s="1"/>
  <c r="H74" i="29"/>
  <c r="I81" i="22" s="1"/>
  <c r="H76" i="29"/>
  <c r="I83" i="22" s="1"/>
  <c r="H70" i="29"/>
  <c r="I77" i="22" s="1"/>
  <c r="H71" i="29"/>
  <c r="I78" i="22" s="1"/>
  <c r="H101" i="29"/>
  <c r="I118" i="22"/>
  <c r="H95" i="29"/>
  <c r="I112" i="22" s="1"/>
  <c r="H89" i="29"/>
  <c r="I106" i="22" s="1"/>
  <c r="H92" i="29"/>
  <c r="I109" i="22" s="1"/>
  <c r="H90" i="29"/>
  <c r="I107" i="22" s="1"/>
  <c r="H88" i="29"/>
  <c r="I105" i="22" s="1"/>
  <c r="H91" i="29"/>
  <c r="I108" i="22" s="1"/>
  <c r="H96" i="29"/>
  <c r="I113" i="22" s="1"/>
  <c r="H93" i="29"/>
  <c r="I110" i="22" s="1"/>
  <c r="H94" i="29"/>
  <c r="I111" i="22" s="1"/>
  <c r="E8" i="18"/>
  <c r="E12" i="18" s="1"/>
  <c r="E13" i="18" s="1"/>
  <c r="E25" i="18" s="1"/>
  <c r="S25" i="18" s="1"/>
  <c r="E18" i="18"/>
  <c r="E26" i="18" s="1"/>
  <c r="S26" i="18" s="1"/>
  <c r="E72" i="18"/>
  <c r="E73" i="18" s="1"/>
  <c r="E57" i="21" s="1"/>
  <c r="E295" i="21" s="1"/>
  <c r="E49" i="18"/>
  <c r="E50" i="18" s="1"/>
  <c r="J72" i="18"/>
  <c r="J73" i="18" s="1"/>
  <c r="J57" i="21" s="1"/>
  <c r="J295" i="21" s="1"/>
  <c r="J8" i="18"/>
  <c r="J12" i="18" s="1"/>
  <c r="J13" i="18" s="1"/>
  <c r="J25" i="18" s="1"/>
  <c r="J18" i="18"/>
  <c r="J19" i="18" s="1"/>
  <c r="J61" i="21" s="1"/>
  <c r="J62" i="21" s="1"/>
  <c r="J39" i="21" s="1"/>
  <c r="J49" i="18"/>
  <c r="J50" i="18" s="1"/>
  <c r="H8" i="18"/>
  <c r="H12" i="18" s="1"/>
  <c r="H13" i="18" s="1"/>
  <c r="H25" i="18" s="1"/>
  <c r="H49" i="18"/>
  <c r="H50" i="18" s="1"/>
  <c r="H18" i="18"/>
  <c r="H26" i="18" s="1"/>
  <c r="H72" i="18"/>
  <c r="H73" i="18" s="1"/>
  <c r="H57" i="21" s="1"/>
  <c r="H295" i="21" s="1"/>
  <c r="I19" i="18"/>
  <c r="I61" i="21" s="1"/>
  <c r="I296" i="21" s="1"/>
  <c r="K13" i="18"/>
  <c r="K25" i="18" s="1"/>
  <c r="D26" i="18"/>
  <c r="N26" i="18" s="1"/>
  <c r="D19" i="18"/>
  <c r="D61" i="21" s="1"/>
  <c r="K19" i="18"/>
  <c r="K61" i="21" s="1"/>
  <c r="K26" i="18"/>
  <c r="G72" i="18"/>
  <c r="G73" i="18" s="1"/>
  <c r="G57" i="21" s="1"/>
  <c r="G8" i="18"/>
  <c r="G12" i="18" s="1"/>
  <c r="G18" i="18"/>
  <c r="G49" i="18"/>
  <c r="G50" i="18" s="1"/>
  <c r="D295" i="21"/>
  <c r="I13" i="18"/>
  <c r="I25" i="18" s="1"/>
  <c r="I27" i="18" s="1"/>
  <c r="I56" i="21" s="1"/>
  <c r="I295" i="21"/>
  <c r="K295" i="21"/>
  <c r="D13" i="18"/>
  <c r="D25" i="18" s="1"/>
  <c r="N25" i="18" s="1"/>
  <c r="O26" i="18" l="1"/>
  <c r="P26" i="18" s="1"/>
  <c r="O25" i="18"/>
  <c r="P25" i="18" s="1"/>
  <c r="Q25" i="18" s="1"/>
  <c r="R25" i="18" s="1"/>
  <c r="T25" i="18"/>
  <c r="U25" i="18" s="1"/>
  <c r="V25" i="18" s="1"/>
  <c r="W25" i="18" s="1"/>
  <c r="F26" i="18"/>
  <c r="X26" i="18" s="1"/>
  <c r="T26" i="18" s="1"/>
  <c r="U26" i="18" s="1"/>
  <c r="V26" i="18" s="1"/>
  <c r="W26" i="18" s="1"/>
  <c r="F296" i="21"/>
  <c r="F14" i="18"/>
  <c r="X27" i="18" s="1"/>
  <c r="K60" i="29"/>
  <c r="K61" i="29" s="1"/>
  <c r="K56" i="29" s="1"/>
  <c r="J61" i="29"/>
  <c r="J56" i="29" s="1"/>
  <c r="K40" i="29"/>
  <c r="K41" i="29" s="1"/>
  <c r="K36" i="29" s="1"/>
  <c r="J41" i="29"/>
  <c r="J36" i="29" s="1"/>
  <c r="I93" i="29"/>
  <c r="J110" i="22" s="1"/>
  <c r="J118" i="22"/>
  <c r="I94" i="29"/>
  <c r="J111" i="22" s="1"/>
  <c r="I101" i="29"/>
  <c r="I95" i="29"/>
  <c r="J112" i="22" s="1"/>
  <c r="I89" i="29"/>
  <c r="J106" i="22" s="1"/>
  <c r="I88" i="29"/>
  <c r="J105" i="22" s="1"/>
  <c r="I91" i="29"/>
  <c r="J108" i="22" s="1"/>
  <c r="I92" i="29"/>
  <c r="J109" i="22" s="1"/>
  <c r="I96" i="29"/>
  <c r="J113" i="22" s="1"/>
  <c r="I90" i="29"/>
  <c r="J107" i="22" s="1"/>
  <c r="I71" i="29"/>
  <c r="J78" i="22" s="1"/>
  <c r="I82" i="29"/>
  <c r="I76" i="29"/>
  <c r="J83" i="22" s="1"/>
  <c r="I73" i="29"/>
  <c r="J80" i="22" s="1"/>
  <c r="J89" i="22"/>
  <c r="I70" i="29"/>
  <c r="J77" i="22" s="1"/>
  <c r="I74" i="29"/>
  <c r="J81" i="22" s="1"/>
  <c r="I69" i="29"/>
  <c r="J76" i="22" s="1"/>
  <c r="I75" i="29"/>
  <c r="J82" i="22" s="1"/>
  <c r="I72" i="29"/>
  <c r="J79" i="22" s="1"/>
  <c r="I77" i="29"/>
  <c r="J84" i="22" s="1"/>
  <c r="E19" i="18"/>
  <c r="E61" i="21" s="1"/>
  <c r="E62" i="21" s="1"/>
  <c r="E39" i="21" s="1"/>
  <c r="H19" i="18"/>
  <c r="H61" i="21" s="1"/>
  <c r="H296" i="21" s="1"/>
  <c r="J296" i="21"/>
  <c r="J26" i="18"/>
  <c r="J27" i="18" s="1"/>
  <c r="J56" i="21" s="1"/>
  <c r="J14" i="18"/>
  <c r="J50" i="21" s="1"/>
  <c r="J294" i="21" s="1"/>
  <c r="I62" i="21"/>
  <c r="I39" i="21" s="1"/>
  <c r="D27" i="18"/>
  <c r="D56" i="21" s="1"/>
  <c r="I14" i="18"/>
  <c r="I50" i="21" s="1"/>
  <c r="E14" i="18"/>
  <c r="S27" i="18" s="1"/>
  <c r="D14" i="18"/>
  <c r="N27" i="18" s="1"/>
  <c r="G13" i="18"/>
  <c r="G25" i="18" s="1"/>
  <c r="AC25" i="18" s="1"/>
  <c r="Y25" i="18" s="1"/>
  <c r="Z25" i="18" s="1"/>
  <c r="AA25" i="18" s="1"/>
  <c r="AB25" i="18" s="1"/>
  <c r="K62" i="21"/>
  <c r="K39" i="21" s="1"/>
  <c r="K296" i="21"/>
  <c r="K14" i="18"/>
  <c r="G295" i="21"/>
  <c r="K27" i="18"/>
  <c r="K56" i="21" s="1"/>
  <c r="L57" i="21"/>
  <c r="E27" i="18"/>
  <c r="E56" i="21" s="1"/>
  <c r="D296" i="21"/>
  <c r="D62" i="21"/>
  <c r="H14" i="18"/>
  <c r="G26" i="18"/>
  <c r="AC26" i="18" s="1"/>
  <c r="G19" i="18"/>
  <c r="G61" i="21" s="1"/>
  <c r="G62" i="21" s="1"/>
  <c r="H27" i="18"/>
  <c r="H56" i="21" s="1"/>
  <c r="AD25" i="18" l="1"/>
  <c r="Q26" i="18"/>
  <c r="R26" i="18" s="1"/>
  <c r="O27" i="18"/>
  <c r="P27" i="18" s="1"/>
  <c r="Y26" i="18"/>
  <c r="Z26" i="18" s="1"/>
  <c r="AA26" i="18" s="1"/>
  <c r="AB26" i="18" s="1"/>
  <c r="T27" i="18"/>
  <c r="U27" i="18" s="1"/>
  <c r="V27" i="18" s="1"/>
  <c r="W27" i="18" s="1"/>
  <c r="F27" i="18"/>
  <c r="F56" i="21" s="1"/>
  <c r="F20" i="18"/>
  <c r="F50" i="21"/>
  <c r="F64" i="21" s="1"/>
  <c r="F65" i="21" s="1"/>
  <c r="F15" i="18"/>
  <c r="F16" i="18" s="1"/>
  <c r="F53" i="21" s="1"/>
  <c r="F54" i="21" s="1"/>
  <c r="E50" i="21"/>
  <c r="E294" i="21" s="1"/>
  <c r="J93" i="29"/>
  <c r="K110" i="22" s="1"/>
  <c r="J89" i="29"/>
  <c r="K106" i="22" s="1"/>
  <c r="J96" i="29"/>
  <c r="K113" i="22" s="1"/>
  <c r="J95" i="29"/>
  <c r="K112" i="22" s="1"/>
  <c r="K118" i="22"/>
  <c r="J92" i="29"/>
  <c r="K109" i="22" s="1"/>
  <c r="J88" i="29"/>
  <c r="K105" i="22" s="1"/>
  <c r="J90" i="29"/>
  <c r="K107" i="22" s="1"/>
  <c r="J101" i="29"/>
  <c r="J94" i="29"/>
  <c r="K111" i="22" s="1"/>
  <c r="J91" i="29"/>
  <c r="K108" i="22" s="1"/>
  <c r="J77" i="29"/>
  <c r="K84" i="22" s="1"/>
  <c r="J74" i="29"/>
  <c r="K81" i="22" s="1"/>
  <c r="J72" i="29"/>
  <c r="K79" i="22" s="1"/>
  <c r="J76" i="29"/>
  <c r="K83" i="22" s="1"/>
  <c r="J82" i="29"/>
  <c r="K89" i="22"/>
  <c r="J70" i="29"/>
  <c r="K77" i="22" s="1"/>
  <c r="J75" i="29"/>
  <c r="K82" i="22" s="1"/>
  <c r="J69" i="29"/>
  <c r="K76" i="22" s="1"/>
  <c r="J71" i="29"/>
  <c r="K78" i="22" s="1"/>
  <c r="J73" i="29"/>
  <c r="K80" i="22" s="1"/>
  <c r="K69" i="29"/>
  <c r="L76" i="22" s="1"/>
  <c r="K74" i="29"/>
  <c r="L81" i="22" s="1"/>
  <c r="K73" i="29"/>
  <c r="L80" i="22" s="1"/>
  <c r="K75" i="29"/>
  <c r="L82" i="22" s="1"/>
  <c r="K77" i="29"/>
  <c r="L84" i="22" s="1"/>
  <c r="K76" i="29"/>
  <c r="L83" i="22" s="1"/>
  <c r="L89" i="22"/>
  <c r="K71" i="29"/>
  <c r="L78" i="22" s="1"/>
  <c r="K72" i="29"/>
  <c r="L79" i="22" s="1"/>
  <c r="K82" i="29"/>
  <c r="K70" i="29"/>
  <c r="L77" i="22" s="1"/>
  <c r="L118" i="22"/>
  <c r="K101" i="29"/>
  <c r="K90" i="29"/>
  <c r="L107" i="22" s="1"/>
  <c r="K95" i="29"/>
  <c r="L112" i="22" s="1"/>
  <c r="K96" i="29"/>
  <c r="L113" i="22" s="1"/>
  <c r="K89" i="29"/>
  <c r="L106" i="22" s="1"/>
  <c r="K93" i="29"/>
  <c r="L110" i="22" s="1"/>
  <c r="K94" i="29"/>
  <c r="L111" i="22" s="1"/>
  <c r="K92" i="29"/>
  <c r="L109" i="22" s="1"/>
  <c r="K91" i="29"/>
  <c r="L108" i="22" s="1"/>
  <c r="K88" i="29"/>
  <c r="L105" i="22" s="1"/>
  <c r="E296" i="21"/>
  <c r="J81" i="21"/>
  <c r="H62" i="21"/>
  <c r="H39" i="21" s="1"/>
  <c r="J64" i="21"/>
  <c r="J65" i="21" s="1"/>
  <c r="J40" i="21" s="1"/>
  <c r="J80" i="21"/>
  <c r="J83" i="21"/>
  <c r="J44" i="21" s="1"/>
  <c r="J78" i="21"/>
  <c r="J41" i="21" s="1"/>
  <c r="J79" i="21"/>
  <c r="J42" i="21" s="1"/>
  <c r="I15" i="18"/>
  <c r="I16" i="18" s="1"/>
  <c r="I53" i="21" s="1"/>
  <c r="I54" i="21" s="1"/>
  <c r="J69" i="21"/>
  <c r="J43" i="21" s="1"/>
  <c r="J82" i="21"/>
  <c r="J51" i="21"/>
  <c r="J20" i="18"/>
  <c r="J58" i="21"/>
  <c r="J38" i="21" s="1"/>
  <c r="I167" i="21" s="1"/>
  <c r="J71" i="21"/>
  <c r="J15" i="18"/>
  <c r="J16" i="18" s="1"/>
  <c r="J53" i="21" s="1"/>
  <c r="I20" i="18"/>
  <c r="E20" i="18"/>
  <c r="E15" i="18"/>
  <c r="E16" i="18" s="1"/>
  <c r="E53" i="21" s="1"/>
  <c r="E37" i="21" s="1"/>
  <c r="G14" i="18"/>
  <c r="AC27" i="18" s="1"/>
  <c r="G296" i="21"/>
  <c r="G39" i="21"/>
  <c r="K50" i="21"/>
  <c r="K15" i="18"/>
  <c r="K16" i="18" s="1"/>
  <c r="K53" i="21" s="1"/>
  <c r="K20" i="18"/>
  <c r="G27" i="18"/>
  <c r="G56" i="21" s="1"/>
  <c r="H50" i="21"/>
  <c r="H15" i="18"/>
  <c r="H16" i="18" s="1"/>
  <c r="H53" i="21" s="1"/>
  <c r="H20" i="18"/>
  <c r="I294" i="21"/>
  <c r="I64" i="21"/>
  <c r="I65" i="21" s="1"/>
  <c r="I83" i="21"/>
  <c r="I44" i="21" s="1"/>
  <c r="I51" i="21"/>
  <c r="I79" i="21"/>
  <c r="I42" i="21" s="1"/>
  <c r="I69" i="21"/>
  <c r="I43" i="21" s="1"/>
  <c r="I80" i="21"/>
  <c r="I81" i="21"/>
  <c r="I71" i="21"/>
  <c r="I82" i="21"/>
  <c r="I78" i="21"/>
  <c r="I41" i="21" s="1"/>
  <c r="I58" i="21"/>
  <c r="I38" i="21" s="1"/>
  <c r="H167" i="21" s="1"/>
  <c r="D39" i="21"/>
  <c r="D20" i="18"/>
  <c r="D15" i="18"/>
  <c r="D16" i="18" s="1"/>
  <c r="D53" i="21" s="1"/>
  <c r="D50" i="21"/>
  <c r="L56" i="21" l="1"/>
  <c r="Q27" i="18"/>
  <c r="R27" i="18" s="1"/>
  <c r="AD26" i="18"/>
  <c r="AE26" i="18" s="1"/>
  <c r="F83" i="21"/>
  <c r="F44" i="21" s="1"/>
  <c r="F81" i="21"/>
  <c r="F71" i="21"/>
  <c r="F79" i="21"/>
  <c r="F42" i="21" s="1"/>
  <c r="F37" i="21"/>
  <c r="F82" i="21"/>
  <c r="F51" i="21"/>
  <c r="F58" i="21"/>
  <c r="F38" i="21" s="1"/>
  <c r="E167" i="21" s="1"/>
  <c r="F69" i="21"/>
  <c r="F43" i="21" s="1"/>
  <c r="F294" i="21"/>
  <c r="F80" i="21"/>
  <c r="F78" i="21"/>
  <c r="F41" i="21" s="1"/>
  <c r="E81" i="21"/>
  <c r="E64" i="21"/>
  <c r="E65" i="21" s="1"/>
  <c r="E40" i="21" s="1"/>
  <c r="E69" i="21"/>
  <c r="E43" i="21" s="1"/>
  <c r="E83" i="21"/>
  <c r="E44" i="21" s="1"/>
  <c r="E82" i="21"/>
  <c r="E80" i="21"/>
  <c r="E71" i="21"/>
  <c r="E79" i="21"/>
  <c r="E42" i="21" s="1"/>
  <c r="E51" i="21"/>
  <c r="G15" i="18"/>
  <c r="G16" i="18" s="1"/>
  <c r="G53" i="21" s="1"/>
  <c r="G37" i="21" s="1"/>
  <c r="E58" i="21"/>
  <c r="E38" i="21" s="1"/>
  <c r="D167" i="21" s="1"/>
  <c r="E78" i="21"/>
  <c r="E41" i="21" s="1"/>
  <c r="I37" i="21"/>
  <c r="J301" i="21"/>
  <c r="J37" i="21"/>
  <c r="J54" i="21"/>
  <c r="G20" i="18"/>
  <c r="G50" i="21"/>
  <c r="G51" i="21" s="1"/>
  <c r="L62" i="21"/>
  <c r="E54" i="21"/>
  <c r="I301" i="21"/>
  <c r="I40" i="21"/>
  <c r="F40" i="21"/>
  <c r="F301" i="21"/>
  <c r="H64" i="21"/>
  <c r="H65" i="21" s="1"/>
  <c r="H51" i="21"/>
  <c r="H294" i="21"/>
  <c r="H83" i="21"/>
  <c r="H44" i="21" s="1"/>
  <c r="H82" i="21"/>
  <c r="H79" i="21"/>
  <c r="H42" i="21" s="1"/>
  <c r="H81" i="21"/>
  <c r="H80" i="21"/>
  <c r="H78" i="21"/>
  <c r="H41" i="21" s="1"/>
  <c r="H71" i="21"/>
  <c r="H69" i="21"/>
  <c r="H43" i="21" s="1"/>
  <c r="H58" i="21"/>
  <c r="H38" i="21" s="1"/>
  <c r="G167" i="21" s="1"/>
  <c r="D83" i="21"/>
  <c r="L50" i="21"/>
  <c r="D64" i="21"/>
  <c r="D294" i="21"/>
  <c r="D51" i="21"/>
  <c r="D71" i="21"/>
  <c r="D80" i="21"/>
  <c r="D79" i="21"/>
  <c r="D81" i="21"/>
  <c r="D69" i="21"/>
  <c r="D82" i="21"/>
  <c r="D78" i="21"/>
  <c r="D58" i="21"/>
  <c r="L39" i="21"/>
  <c r="M39" i="21"/>
  <c r="K37" i="21"/>
  <c r="K54" i="21"/>
  <c r="G83" i="21"/>
  <c r="G44" i="21" s="1"/>
  <c r="K294" i="21"/>
  <c r="K64" i="21"/>
  <c r="K65" i="21" s="1"/>
  <c r="K51" i="21"/>
  <c r="K83" i="21"/>
  <c r="K44" i="21" s="1"/>
  <c r="K78" i="21"/>
  <c r="K41" i="21" s="1"/>
  <c r="K79" i="21"/>
  <c r="K42" i="21" s="1"/>
  <c r="K69" i="21"/>
  <c r="K43" i="21" s="1"/>
  <c r="K81" i="21"/>
  <c r="K71" i="21"/>
  <c r="K82" i="21"/>
  <c r="K80" i="21"/>
  <c r="K58" i="21"/>
  <c r="K38" i="21" s="1"/>
  <c r="J167" i="21" s="1"/>
  <c r="D54" i="21"/>
  <c r="D37" i="21"/>
  <c r="H37" i="21"/>
  <c r="H54" i="21"/>
  <c r="L53" i="21" l="1"/>
  <c r="E301" i="21"/>
  <c r="G54" i="21"/>
  <c r="G78" i="21"/>
  <c r="G41" i="21" s="1"/>
  <c r="G79" i="21"/>
  <c r="G42" i="21" s="1"/>
  <c r="G82" i="21"/>
  <c r="L82" i="21" s="1"/>
  <c r="G80" i="21"/>
  <c r="L80" i="21" s="1"/>
  <c r="G71" i="21"/>
  <c r="L71" i="21" s="1"/>
  <c r="G64" i="21"/>
  <c r="G65" i="21" s="1"/>
  <c r="G40" i="21" s="1"/>
  <c r="G58" i="21"/>
  <c r="G38" i="21" s="1"/>
  <c r="F167" i="21" s="1"/>
  <c r="G294" i="21"/>
  <c r="G69" i="21"/>
  <c r="G43" i="21" s="1"/>
  <c r="G81" i="21"/>
  <c r="L81" i="21" s="1"/>
  <c r="D41" i="21"/>
  <c r="D42" i="21"/>
  <c r="M37" i="21"/>
  <c r="L37" i="21"/>
  <c r="K40" i="21"/>
  <c r="K301" i="21"/>
  <c r="D65" i="21"/>
  <c r="G142" i="21"/>
  <c r="C23" i="21"/>
  <c r="D43" i="21"/>
  <c r="D38" i="21"/>
  <c r="L51" i="21"/>
  <c r="D44" i="21"/>
  <c r="L83" i="21"/>
  <c r="H40" i="21"/>
  <c r="H301" i="21"/>
  <c r="L78" i="21" l="1"/>
  <c r="L58" i="21"/>
  <c r="L79" i="21"/>
  <c r="L69" i="21"/>
  <c r="G301" i="21"/>
  <c r="L64" i="21"/>
  <c r="L65" i="21" s="1"/>
  <c r="M43" i="21"/>
  <c r="L43" i="21"/>
  <c r="L44" i="21"/>
  <c r="M44" i="21"/>
  <c r="L38" i="21"/>
  <c r="M38" i="21"/>
  <c r="C167" i="21"/>
  <c r="C225" i="21"/>
  <c r="C278" i="21"/>
  <c r="E23" i="21"/>
  <c r="E278" i="21" s="1"/>
  <c r="C21" i="21"/>
  <c r="G140" i="21"/>
  <c r="M41" i="21"/>
  <c r="L41" i="21"/>
  <c r="D301" i="21"/>
  <c r="D40" i="21"/>
  <c r="M42" i="21"/>
  <c r="L42" i="21"/>
  <c r="M40" i="21" l="1"/>
  <c r="L40" i="21"/>
  <c r="C276" i="21"/>
  <c r="C223" i="21"/>
  <c r="E21" i="21"/>
  <c r="G145" i="21"/>
  <c r="C30" i="21"/>
  <c r="C29" i="21"/>
  <c r="G144" i="21"/>
  <c r="C31" i="21"/>
  <c r="G146" i="21"/>
  <c r="G141" i="21"/>
  <c r="C22" i="21"/>
  <c r="C231" i="21" l="1"/>
  <c r="C283" i="21"/>
  <c r="E30" i="21"/>
  <c r="E283" i="21" s="1"/>
  <c r="C284" i="21"/>
  <c r="E31" i="21"/>
  <c r="E284" i="21" s="1"/>
  <c r="C288" i="21" s="1"/>
  <c r="E288" i="21" s="1"/>
  <c r="C232" i="21"/>
  <c r="C24" i="21"/>
  <c r="G143" i="21"/>
  <c r="O139" i="21" s="1" a="1"/>
  <c r="C224" i="21"/>
  <c r="E22" i="21"/>
  <c r="E277" i="21" s="1"/>
  <c r="C277" i="21"/>
  <c r="E276" i="21"/>
  <c r="C230" i="21"/>
  <c r="C282" i="21"/>
  <c r="E29" i="21"/>
  <c r="E285" i="21" l="1"/>
  <c r="Q139" i="21"/>
  <c r="R139" i="21"/>
  <c r="T139" i="21"/>
  <c r="P139" i="21"/>
  <c r="O139" i="21"/>
  <c r="U139" i="21"/>
  <c r="S139" i="21"/>
  <c r="V139" i="21"/>
  <c r="E32" i="21"/>
  <c r="E282" i="21"/>
  <c r="C226" i="21"/>
  <c r="C279" i="21"/>
  <c r="E24" i="21"/>
  <c r="E279" i="21" s="1"/>
  <c r="E280" i="21" s="1"/>
  <c r="E25" i="21" l="1"/>
  <c r="C17" i="21"/>
  <c r="E17" i="21" s="1"/>
  <c r="N139" i="21"/>
  <c r="C233" i="21"/>
  <c r="C16" i="21" l="1"/>
  <c r="M139" i="21"/>
  <c r="C227" i="21"/>
  <c r="E16" i="21" l="1"/>
  <c r="C287" i="21"/>
  <c r="E287" i="21" l="1"/>
  <c r="E18" i="21"/>
  <c r="E289" i="21" l="1"/>
  <c r="L139" i="21"/>
  <c r="Y27" i="18" l="1"/>
  <c r="Z27" i="18" l="1"/>
  <c r="AA27" i="18" s="1"/>
  <c r="AB27" i="18" s="1"/>
  <c r="AD27" i="18" l="1"/>
</calcChain>
</file>

<file path=xl/comments1.xml><?xml version="1.0" encoding="utf-8"?>
<comments xmlns="http://schemas.openxmlformats.org/spreadsheetml/2006/main">
  <authors>
    <author>Olavi</author>
  </authors>
  <commentList>
    <comment ref="B56" authorId="0" shapeId="0">
      <text>
        <r>
          <rPr>
            <sz val="9"/>
            <color indexed="81"/>
            <rFont val="Tahoma"/>
            <family val="2"/>
            <charset val="186"/>
          </rPr>
          <t>st. "maksutulu kasv" - "toetuste kasv"</t>
        </r>
      </text>
    </comment>
  </commentList>
</comments>
</file>

<file path=xl/comments2.xml><?xml version="1.0" encoding="utf-8"?>
<comments xmlns="http://schemas.openxmlformats.org/spreadsheetml/2006/main">
  <authors>
    <author>Olavi</author>
  </authors>
  <commentList>
    <comment ref="B60" authorId="0" shapeId="0">
      <text>
        <r>
          <rPr>
            <sz val="9"/>
            <color indexed="81"/>
            <rFont val="Tahoma"/>
            <family val="2"/>
            <charset val="186"/>
          </rPr>
          <t>lisatud ostujõu muutus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  <charset val="186"/>
          </rPr>
          <t>Vahe (&lt;1.0) on säästmine!</t>
        </r>
      </text>
    </comment>
  </commentList>
</comments>
</file>

<file path=xl/comments3.xml><?xml version="1.0" encoding="utf-8"?>
<comments xmlns="http://schemas.openxmlformats.org/spreadsheetml/2006/main">
  <authors>
    <author>Olavi</author>
  </authors>
  <commentList>
    <comment ref="Q4" authorId="0" shapeId="0">
      <text>
        <r>
          <rPr>
            <b/>
            <sz val="9"/>
            <color indexed="81"/>
            <rFont val="Tahoma"/>
            <family val="2"/>
            <charset val="186"/>
          </rPr>
          <t>Koefitsiendid on puhastatud impordist st kohandatud Eesti toorainele (põlevkivi)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  <charset val="186"/>
          </rPr>
          <t>Koefitsiendid on puhastatud impordist st kohandatud Eesti toorainele</t>
        </r>
      </text>
    </comment>
  </commentList>
</comments>
</file>

<file path=xl/comments4.xml><?xml version="1.0" encoding="utf-8"?>
<comments xmlns="http://schemas.openxmlformats.org/spreadsheetml/2006/main">
  <authors>
    <author>Olavi</author>
  </authors>
  <commentList>
    <comment ref="B56" authorId="0" shapeId="0">
      <text>
        <r>
          <rPr>
            <b/>
            <sz val="9"/>
            <color indexed="81"/>
            <rFont val="Tahoma"/>
            <family val="2"/>
            <charset val="186"/>
          </rPr>
          <t>Olavi:</t>
        </r>
        <r>
          <rPr>
            <sz val="9"/>
            <color indexed="81"/>
            <rFont val="Tahoma"/>
            <family val="2"/>
            <charset val="186"/>
          </rPr>
          <t xml:space="preserve">
Pos. Väärtus =&gt; ostujõu kasv
</t>
        </r>
      </text>
    </comment>
  </commentList>
</comments>
</file>

<file path=xl/comments5.xml><?xml version="1.0" encoding="utf-8"?>
<comments xmlns="http://schemas.openxmlformats.org/spreadsheetml/2006/main">
  <authors>
    <author>Olavi</author>
    <author>Marek Rannala</author>
  </authors>
  <commentList>
    <comment ref="B75" authorId="0" shapeId="0">
      <text>
        <r>
          <rPr>
            <b/>
            <sz val="9"/>
            <color indexed="81"/>
            <rFont val="Tahoma"/>
            <family val="2"/>
            <charset val="186"/>
          </rPr>
          <t>Olavi:</t>
        </r>
        <r>
          <rPr>
            <sz val="9"/>
            <color indexed="81"/>
            <rFont val="Tahoma"/>
            <family val="2"/>
            <charset val="186"/>
          </rPr>
          <t xml:space="preserve">
2012 eur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186"/>
          </rPr>
          <t>Olavi:</t>
        </r>
        <r>
          <rPr>
            <sz val="9"/>
            <color indexed="81"/>
            <rFont val="Tahoma"/>
            <family val="2"/>
            <charset val="186"/>
          </rPr>
          <t xml:space="preserve">
 vaja korrigeerida inflatsiooniga kui eeldada, et iga 5 a tagant inflatsiooni võrra aktsiisimäär kasvaks</t>
        </r>
      </text>
    </comment>
    <comment ref="Q166" authorId="1" shapeId="0">
      <text>
        <r>
          <rPr>
            <b/>
            <sz val="9"/>
            <color rgb="FF000000"/>
            <rFont val="Calibri"/>
            <family val="2"/>
          </rPr>
          <t>Marek Rannala:</t>
        </r>
        <r>
          <rPr>
            <sz val="9"/>
            <color rgb="FF000000"/>
            <rFont val="Calibri"/>
            <family val="2"/>
          </rPr>
          <t xml:space="preserve">
2015 ja 2025 keskmine, muidu oli imelikult väike number</t>
        </r>
      </text>
    </comment>
    <comment ref="P178" authorId="1" shapeId="0">
      <text>
        <r>
          <rPr>
            <b/>
            <sz val="9"/>
            <color rgb="FF000000"/>
            <rFont val="Calibri"/>
            <family val="2"/>
          </rPr>
          <t>Marek Rannala:</t>
        </r>
        <r>
          <rPr>
            <sz val="9"/>
            <color rgb="FF000000"/>
            <rFont val="Calibri"/>
            <family val="2"/>
          </rPr>
          <t xml:space="preserve">
TAK</t>
        </r>
      </text>
    </comment>
    <comment ref="P179" authorId="1" shapeId="0">
      <text>
        <r>
          <rPr>
            <b/>
            <sz val="9"/>
            <color rgb="FF000000"/>
            <rFont val="Calibri"/>
            <family val="2"/>
          </rPr>
          <t>Marek Rannala:</t>
        </r>
        <r>
          <rPr>
            <sz val="9"/>
            <color rgb="FF000000"/>
            <rFont val="Calibri"/>
            <family val="2"/>
          </rPr>
          <t xml:space="preserve">
TAK</t>
        </r>
      </text>
    </comment>
  </commentList>
</comments>
</file>

<file path=xl/comments6.xml><?xml version="1.0" encoding="utf-8"?>
<comments xmlns="http://schemas.openxmlformats.org/spreadsheetml/2006/main">
  <authors>
    <author>Olavi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  <charset val="186"/>
          </rPr>
          <t>Ekspordi kasv, liidetud väliskaubanduse saldo reale Ahto,O. File-ides!</t>
        </r>
      </text>
    </comment>
  </commentList>
</comments>
</file>

<file path=xl/comments7.xml><?xml version="1.0" encoding="utf-8"?>
<comments xmlns="http://schemas.openxmlformats.org/spreadsheetml/2006/main">
  <authors>
    <author>Olavi</author>
    <author>Olavi Grünvald</author>
  </authors>
  <commentList>
    <comment ref="I82" authorId="0" shapeId="0">
      <text>
        <r>
          <rPr>
            <b/>
            <sz val="9"/>
            <color indexed="81"/>
            <rFont val="Tahoma"/>
            <family val="2"/>
            <charset val="186"/>
          </rPr>
          <t xml:space="preserve">Puhastatud impordist, st kohandatud põlevkivi sektorile!
Oli 196 MEUR
</t>
        </r>
      </text>
    </comment>
    <comment ref="O82" authorId="0" shapeId="0">
      <text>
        <r>
          <rPr>
            <b/>
            <sz val="9"/>
            <color indexed="81"/>
            <rFont val="Tahoma"/>
            <family val="2"/>
            <charset val="186"/>
          </rPr>
          <t>Import välja võetud, kohandatud põlevkiviõli tootmisele!
Oli 650 MEUR</t>
        </r>
      </text>
    </comment>
    <comment ref="F307" authorId="1" shapeId="0">
      <text>
        <r>
          <rPr>
            <b/>
            <sz val="9"/>
            <color indexed="81"/>
            <rFont val="Tahoma"/>
            <family val="2"/>
            <charset val="186"/>
          </rPr>
          <t>Olavi Grünvald:</t>
        </r>
        <r>
          <rPr>
            <sz val="9"/>
            <color indexed="81"/>
            <rFont val="Tahoma"/>
            <family val="2"/>
            <charset val="186"/>
          </rPr>
          <t xml:space="preserve">
select the range 58x58 starting with the formula cell. Press F2, and then press CTRL+SHIFT+ENTER. </t>
        </r>
      </text>
    </comment>
    <comment ref="B406" authorId="0" shapeId="0">
      <text>
        <r>
          <rPr>
            <sz val="9"/>
            <color indexed="81"/>
            <rFont val="Tahoma"/>
            <family val="2"/>
            <charset val="186"/>
          </rPr>
          <t>Nõudlus põllumajandussektori   toodete järele kasvab ühe euro võrra siis müügitulud majanduses kasvavad järgnevate koefitsientide võrra!</t>
        </r>
      </text>
    </comment>
  </commentList>
</comments>
</file>

<file path=xl/sharedStrings.xml><?xml version="1.0" encoding="utf-8"?>
<sst xmlns="http://schemas.openxmlformats.org/spreadsheetml/2006/main" count="5468" uniqueCount="929">
  <si>
    <t>Kodumajapidamiste lõpptarbimiskulutused</t>
  </si>
  <si>
    <t>KTKTI lõpptarbimiskulutused</t>
  </si>
  <si>
    <t>Valitsemissektori lõpptarbimiskulutused</t>
  </si>
  <si>
    <t>Varude muutus</t>
  </si>
  <si>
    <t>Kapitali kogumahutus</t>
  </si>
  <si>
    <t>Kaupade ja teenuste eksport FOB</t>
  </si>
  <si>
    <t>2009</t>
  </si>
  <si>
    <t>.</t>
  </si>
  <si>
    <t>Kummi- ja plasttooted</t>
  </si>
  <si>
    <t>Muud mittemetalsetest mineraalidest tooted</t>
  </si>
  <si>
    <t>Metallid</t>
  </si>
  <si>
    <t>Muud transpordivahendid</t>
  </si>
  <si>
    <t>Kinnisvarateenused</t>
  </si>
  <si>
    <t>Kokku</t>
  </si>
  <si>
    <t xml:space="preserve">Mõõtühik: miljonit eurot </t>
  </si>
  <si>
    <t>Lõpptarbimiskulutused</t>
  </si>
  <si>
    <t>Lõppkasutamine kokku</t>
  </si>
  <si>
    <t>Vahetarbimine/Lõppkasutamine kokku</t>
  </si>
  <si>
    <t>Hüvitised töötajatele</t>
  </si>
  <si>
    <t>..palk</t>
  </si>
  <si>
    <t>Muud neto-tootmismaksud</t>
  </si>
  <si>
    <t>Põhivara kulum</t>
  </si>
  <si>
    <t>Tegevuse ülejääk ja segatulu, neto</t>
  </si>
  <si>
    <t>Lisandväärtus kokku</t>
  </si>
  <si>
    <t>Toodang alushindades kokku</t>
  </si>
  <si>
    <t>Import</t>
  </si>
  <si>
    <t>2005</t>
  </si>
  <si>
    <t>2006</t>
  </si>
  <si>
    <t>2007</t>
  </si>
  <si>
    <t>2008</t>
  </si>
  <si>
    <t>2010</t>
  </si>
  <si>
    <t>2011</t>
  </si>
  <si>
    <t>2004</t>
  </si>
  <si>
    <t>Tegevusalad kokku</t>
  </si>
  <si>
    <t>RAT004: SÜMMEETRILINE SISEND-VÄLJUNDTABEL ALUSHINDADES TOODETE JÄRGI</t>
  </si>
  <si>
    <t>--- Aasta, Toode/Lisandväärtuse element ning Toode/Lõppkasutamine</t>
  </si>
  <si>
    <t>Põllumajandussaadused</t>
  </si>
  <si>
    <t>Metsamajandustooted</t>
  </si>
  <si>
    <t>Ehitustööd</t>
  </si>
  <si>
    <t>Kogukasutamine alushindades</t>
  </si>
  <si>
    <t>Neto-tootemaksud</t>
  </si>
  <si>
    <t>Kaupade ja teenuste import</t>
  </si>
  <si>
    <t>Kogupakkumine alushindades</t>
  </si>
  <si>
    <t>2012</t>
  </si>
  <si>
    <t>Lisandväärtus</t>
  </si>
  <si>
    <t>Investeeringud</t>
  </si>
  <si>
    <t>Allikas: Statistikaamet;</t>
  </si>
  <si>
    <t>EM008: ETTEVÕTETE LISANDVÄÄRTUS JA TOOTLIKKUSNÄITAJAD</t>
  </si>
  <si>
    <t>Valdkond</t>
  </si>
  <si>
    <t>PJ</t>
  </si>
  <si>
    <t>%</t>
  </si>
  <si>
    <t>Lõpptarbimise kulutused</t>
  </si>
  <si>
    <t>Energiasäästu mõju ostujõu muutusele</t>
  </si>
  <si>
    <t>Ostujõu muutus</t>
  </si>
  <si>
    <t>Kasutatavad ressursid</t>
  </si>
  <si>
    <t>Indutseeritud mõju</t>
  </si>
  <si>
    <t>Hüvitised töötajatele (sh maksud)</t>
  </si>
  <si>
    <t>II sammas</t>
  </si>
  <si>
    <t>Brutopalk+SM</t>
  </si>
  <si>
    <t xml:space="preserve">   Bruto-palk</t>
  </si>
  <si>
    <t>Kaudne</t>
  </si>
  <si>
    <t>Toodang alushindades</t>
  </si>
  <si>
    <t>European Union (28 countries)</t>
  </si>
  <si>
    <t>Estonia</t>
  </si>
  <si>
    <t>Euro per inhabitant</t>
  </si>
  <si>
    <t>Gross domestic product at market prices</t>
  </si>
  <si>
    <t>P.3 Lõpptarbimis-kulutused</t>
  </si>
  <si>
    <t>Kapitali kogu-mahutus põhivarasse (investeering)</t>
  </si>
  <si>
    <t>Purchasing Power Standard  per inhabitant</t>
  </si>
  <si>
    <t>Multiples</t>
  </si>
  <si>
    <t>Value</t>
  </si>
  <si>
    <t>Symbol</t>
  </si>
  <si>
    <t>Name</t>
  </si>
  <si>
    <t>GJ</t>
  </si>
  <si>
    <t>gigajoule</t>
  </si>
  <si>
    <t>TJ</t>
  </si>
  <si>
    <t>terajoule</t>
  </si>
  <si>
    <t>petajoule</t>
  </si>
  <si>
    <t>1 PJ = 3600 GWh</t>
  </si>
  <si>
    <t>Alusprognoosid</t>
  </si>
  <si>
    <t>tegelik</t>
  </si>
  <si>
    <t>SKP jooksevhindades (mln €)</t>
  </si>
  <si>
    <t>SKP püsivhindades (mln €)</t>
  </si>
  <si>
    <t>SKP reaalkasv</t>
  </si>
  <si>
    <t>SKP nominaalkasv</t>
  </si>
  <si>
    <t>Tarbijahinnaindeks</t>
  </si>
  <si>
    <t>Hõive (tuh inimest)</t>
  </si>
  <si>
    <t>hõivekasv</t>
  </si>
  <si>
    <t>Tööpuudus</t>
  </si>
  <si>
    <t>Tööviljakuse kasv</t>
  </si>
  <si>
    <t>Keskmine kuupalk (€)</t>
  </si>
  <si>
    <t>palgakasv</t>
  </si>
  <si>
    <t>Sotsiaalmaks (mln EUR)</t>
  </si>
  <si>
    <t>Struktuurifondid.ee</t>
  </si>
  <si>
    <t>Suhteline hinnatase (vrdl EU28)</t>
  </si>
  <si>
    <t>Allikas: Eurostat;</t>
  </si>
  <si>
    <t>Rahvaarv</t>
  </si>
  <si>
    <t>Variant 1</t>
  </si>
  <si>
    <t>Variant 2</t>
  </si>
  <si>
    <t>Ostujõu pariteedi koefitsient</t>
  </si>
  <si>
    <t>Inflatsioon EL</t>
  </si>
  <si>
    <t>KODUMAJAPIDAMISTE TARBIMINE</t>
  </si>
  <si>
    <t>VALITSEMISSEKTORI LÕPPTARBIMISKULUTUSED</t>
  </si>
  <si>
    <t>Valitsemissektori lõpp tarbimine (pöörd.; sh k/m)</t>
  </si>
  <si>
    <t>KAPITALIMAHUTUSED PÕHIVARASSE</t>
  </si>
  <si>
    <t>Kapitalimahutused põhivarasse</t>
  </si>
  <si>
    <t>Kasutuskoefitsiendid (pöörd.; sh k/m)</t>
  </si>
  <si>
    <t>European Union (27 countries)</t>
  </si>
  <si>
    <t>Gross investment rate of households</t>
  </si>
  <si>
    <t>Gross households savings rate</t>
  </si>
  <si>
    <t>Neto tootemaksud</t>
  </si>
  <si>
    <t>eeldame ilma k/m-ta;</t>
  </si>
  <si>
    <t>KOEFITSIENDID (Kogupakkumise põhjal)</t>
  </si>
  <si>
    <t>Masinate ja seadmete remont ja paigaldus</t>
  </si>
  <si>
    <t>Kanalisatsioon; jäätme- ja saastekäitlus</t>
  </si>
  <si>
    <t>Põllumajandustooted</t>
  </si>
  <si>
    <t>Metsandustooted</t>
  </si>
  <si>
    <t>Kalandustooted</t>
  </si>
  <si>
    <t>Kivisüsi ja pruunsüsi; toornafta ja maagaas; metallimaagid; muud kaevandussaadused</t>
  </si>
  <si>
    <t>Toiduained; joogid; tubakatooted</t>
  </si>
  <si>
    <t>Tekstiilitooted; rõivad; nahk ja nahatooted</t>
  </si>
  <si>
    <t>Puit ning puit- ja korktooted, v.a mööbel; õlgedest ja punumismaterjalidest tooted</t>
  </si>
  <si>
    <t>Paber ja pabertooted</t>
  </si>
  <si>
    <t>Trüki- ja salvestusteenused</t>
  </si>
  <si>
    <t>Koks ja puhastatud naftatooted</t>
  </si>
  <si>
    <t>Kemikaalid ja keemiatooted</t>
  </si>
  <si>
    <t>Põhifarmaatsiatooted ja ravimpreparaadid</t>
  </si>
  <si>
    <t>Metalltooted, v.a. masinad ja seadmed</t>
  </si>
  <si>
    <t>Arvutid, elektroonika- ja optikaseadmed</t>
  </si>
  <si>
    <t>Elektriseadmed</t>
  </si>
  <si>
    <t>Mujal klassifitseerimata masinad ja seadmed</t>
  </si>
  <si>
    <t>Mootorsõidukid, haagised ja poolhaagised</t>
  </si>
  <si>
    <t>Mööbel; muud tööstustooted</t>
  </si>
  <si>
    <t>Masinate ja seadmete remondi- ja paigaldusteenused</t>
  </si>
  <si>
    <t>Looduslik vesi; veepuhastus- ja varustusteenused</t>
  </si>
  <si>
    <t>Ehitised ja ehitustööd</t>
  </si>
  <si>
    <t>Mootorsõidukite ja mootorrataste hulgi- ja jaemüügi- ning remonditeenused</t>
  </si>
  <si>
    <t>Hulgimüügiteenused</t>
  </si>
  <si>
    <t>Jaemüügiteenused</t>
  </si>
  <si>
    <t>Maismaaveondusteenused</t>
  </si>
  <si>
    <t>Veetransporditeenused</t>
  </si>
  <si>
    <t>Õhutransporditeenused</t>
  </si>
  <si>
    <t>Ladustamisteenused ja veonduse abistavad teenused</t>
  </si>
  <si>
    <t>Posti- ja kulleriteenused</t>
  </si>
  <si>
    <t>Majutusteenused; toitlustusteenused</t>
  </si>
  <si>
    <t>Kirjastusteenused</t>
  </si>
  <si>
    <t>Filmi, video, telesaate tootmisteenus; helisalvestised, heliteoste avaldamine; ringhäälinguteenused</t>
  </si>
  <si>
    <t>Telekommunikatsiooniteenused</t>
  </si>
  <si>
    <t>Arvutiprogrammide programmeerimis-, nõustamis- ja nendega seotud teenused; teabeteenused</t>
  </si>
  <si>
    <t>Finantsteenused</t>
  </si>
  <si>
    <t>Kindlustus-, edasikindlustus- ja pensionifonditeenused</t>
  </si>
  <si>
    <t>Finants- ja kindlustusteenuste abiteenused</t>
  </si>
  <si>
    <t>Õigusabi- ja arvepidamisteenused; peakontoriteenused; juhtimisalased nõustamisteenused</t>
  </si>
  <si>
    <t>Arhitekti- ja inseneriteenused; teimimise- ja analüüsiteenused</t>
  </si>
  <si>
    <t>Teadus- ja arendusteenused</t>
  </si>
  <si>
    <t>Reklaami- ja turu-uuringute korraldamise teenused</t>
  </si>
  <si>
    <t>Muud kutse-, teadus- ja tehnikaalased teenused; veterinaariateenused</t>
  </si>
  <si>
    <t>Rendi- ja kasutusrenditeenused</t>
  </si>
  <si>
    <t>Tööhõiveteenused</t>
  </si>
  <si>
    <t>Reisibüroode, reisikorraldajate jm broneerimisteenused</t>
  </si>
  <si>
    <t>Turva- ja juurdlusteenus; hoonete ja maastike hooldusteenus; büroohaldus- ja ettevõtluse abiteenused</t>
  </si>
  <si>
    <t>Riigihalduse ja -kaitse teenused; kohustusliku sotsiaalkindlustuse teenused</t>
  </si>
  <si>
    <t>Haridusteenused</t>
  </si>
  <si>
    <t>Tervishoiuteenused</t>
  </si>
  <si>
    <t>Hoolekandeasutuste teenused; sotsiaalhoolekandeteenused ilma majutuseta</t>
  </si>
  <si>
    <t>Loome- ja meelelahutusteenus; raamatukogu, muuseumi jm asutuse teenus; hasartmängu korraldamisteenus</t>
  </si>
  <si>
    <t>Sporditeenused ja lõbustus- ning vabaajateenused</t>
  </si>
  <si>
    <t>Organisatsioonide teenused</t>
  </si>
  <si>
    <t>Arvutite ja tarbe- ning majakaupade parandusteenused</t>
  </si>
  <si>
    <t>Muud isikuteenused</t>
  </si>
  <si>
    <t>Kodumajapidamiste teenused tööandjatena; oma tarbeks toodetud kaubad ja osutatud teenused</t>
  </si>
  <si>
    <t>Kapitali kogumahutus põhivarasse</t>
  </si>
  <si>
    <t>Maatriks I</t>
  </si>
  <si>
    <t>Maatriks (I - A)</t>
  </si>
  <si>
    <t>Kogukasutuse koefitsient (Tüüp I kordaja)</t>
  </si>
  <si>
    <t>Siirded kodumajapidamistele</t>
  </si>
  <si>
    <t>Ettevõtte tulumaks</t>
  </si>
  <si>
    <t>Dividend</t>
  </si>
  <si>
    <t>Dividend/Ärikasum</t>
  </si>
  <si>
    <t>Puhas-kasum</t>
  </si>
  <si>
    <t>Ärikasum</t>
  </si>
  <si>
    <t>P.2 Vahetarbimine</t>
  </si>
  <si>
    <t>D.1 Hüvitised töötajatele</t>
  </si>
  <si>
    <t>D.29 Muud tootmismaksud</t>
  </si>
  <si>
    <t>D.3 Subsiidiumid</t>
  </si>
  <si>
    <t>D.4 Omanditulu</t>
  </si>
  <si>
    <t>..D.41 Intressid</t>
  </si>
  <si>
    <t>D.5 Jooksvad tulumaksud, omandimaksud jne</t>
  </si>
  <si>
    <t>D.62 Sotsiaaltoetused, v.a mitterahalised sotsiaalsiirded</t>
  </si>
  <si>
    <t>D.631 Mitterahalised sotsiaalsiirded</t>
  </si>
  <si>
    <t>D.7 Muud jooksvad siirded</t>
  </si>
  <si>
    <t>..D.71 Mitte-elukindlustuse netopreemiad</t>
  </si>
  <si>
    <t>..D.73 Valitsemissektori-sisesed jooksvad siirded</t>
  </si>
  <si>
    <t>..D 74 Rahvusvaheline koostöö</t>
  </si>
  <si>
    <t>..D.75 Mitmesugused jooksvad siirded</t>
  </si>
  <si>
    <t>D.9 Kapitalisiirded</t>
  </si>
  <si>
    <t>P.5 Kapitali kogumahutus</t>
  </si>
  <si>
    <t>..P.51 Kapitali kogumahutus põhivarasse</t>
  </si>
  <si>
    <t>K.2 Mittetoodetud mittefinantsvara soetamine miinus realiseerimine</t>
  </si>
  <si>
    <t>B.9 Neto-laenuandmine (+)/ Neto-laenuvõtmine (-)</t>
  </si>
  <si>
    <t>Valitsemissektori kulude jaotus</t>
  </si>
  <si>
    <t>KOKKU</t>
  </si>
  <si>
    <t>VAHETARBIMINE (SEKTORID)</t>
  </si>
  <si>
    <t>LÕPPTARBIMINE (Indutseeritud mõjud)</t>
  </si>
  <si>
    <t>Tegevuse ülejääk</t>
  </si>
  <si>
    <t>Kodu-majapidamised</t>
  </si>
  <si>
    <t>Valitsemis-sektor</t>
  </si>
  <si>
    <t>Otsene ja kaudne mõju</t>
  </si>
  <si>
    <t>mln eurot</t>
  </si>
  <si>
    <t>Metsamajandus</t>
  </si>
  <si>
    <t>Sektor</t>
  </si>
  <si>
    <t xml:space="preserve"> (I - A) pöördmaatriks =&gt; Kogukasutuse koefitsiendid</t>
  </si>
  <si>
    <t>Netopalk/Hüvitised töötajatele</t>
  </si>
  <si>
    <t>Maksud/Hüvitised töötajatele</t>
  </si>
  <si>
    <t>Lõpptarbimine/Hüvitised töötajatele</t>
  </si>
  <si>
    <t>Investeeringud/Hüvitised töötajatele</t>
  </si>
  <si>
    <t>Tulumaks/ Dividend</t>
  </si>
  <si>
    <t>Investeering/Tegevuse ülejääk</t>
  </si>
  <si>
    <t>Tulumaks/Tegevuse ülejääk</t>
  </si>
  <si>
    <t>Kodumajapidamiste lõpptarbimine</t>
  </si>
  <si>
    <t>Dividenditulu/Tegevuse ülejääk</t>
  </si>
  <si>
    <t>Lõpptarbimine / Tegevuse ülejääk</t>
  </si>
  <si>
    <t>Eesti lõpptarbimine</t>
  </si>
  <si>
    <t>sh valitsuse invest.</t>
  </si>
  <si>
    <t>Valitsussektori lõpptarbimine (VSLT)</t>
  </si>
  <si>
    <t>VSLT/Hüvitised töötajatele</t>
  </si>
  <si>
    <t>VSLT/Tegevuse ülejääk</t>
  </si>
  <si>
    <t>Kodu-majapidamiste lõpptarbimine</t>
  </si>
  <si>
    <t>Valitsemissektori lõpptarbimine</t>
  </si>
  <si>
    <t>Valitsemis-sektori lõpptarbimine</t>
  </si>
  <si>
    <t>Kapitali kogu-mahutus põhivarasse</t>
  </si>
  <si>
    <t>Põllumajandus</t>
  </si>
  <si>
    <t>Kasutuskoefitsiendid X Kogukasutuse koefitsient</t>
  </si>
  <si>
    <t>VÄLISMÕJUDE ARVUTUSTABELID</t>
  </si>
  <si>
    <t>(Kasutuskoefitsiendid) x (Kogukasutuse koefitsient)</t>
  </si>
  <si>
    <t>Sektori</t>
  </si>
  <si>
    <t>Lõpptarbimine</t>
  </si>
  <si>
    <t>Toodang</t>
  </si>
  <si>
    <t>Indutseeritud toodang</t>
  </si>
  <si>
    <t>Valitsemissektori tulud</t>
  </si>
  <si>
    <t>Hõivatute % (koguelanikkonnast)</t>
  </si>
  <si>
    <t>Rahvaarv (15-74)</t>
  </si>
  <si>
    <t>Kodumajapidamiste lõpptarbimine %</t>
  </si>
  <si>
    <t>Valitsemissektori lõpptarbimine %</t>
  </si>
  <si>
    <t>Kapitali kogumahutus põhivarasse %</t>
  </si>
  <si>
    <t>Väliskaubanduse saldo %</t>
  </si>
  <si>
    <t>Hooned</t>
  </si>
  <si>
    <t>Transport</t>
  </si>
  <si>
    <t>Elekter</t>
  </si>
  <si>
    <t>Soojus</t>
  </si>
  <si>
    <t>Kütus</t>
  </si>
  <si>
    <t>Stsenaariumid</t>
  </si>
  <si>
    <t>Liberal</t>
  </si>
  <si>
    <t>Liberal+</t>
  </si>
  <si>
    <t>Uttegaas</t>
  </si>
  <si>
    <t>Kaugküte</t>
  </si>
  <si>
    <t>Reaalne</t>
  </si>
  <si>
    <t>Energiaühistud</t>
  </si>
  <si>
    <t>Muud koefitsiendid</t>
  </si>
  <si>
    <t>miljonit eurot</t>
  </si>
  <si>
    <t>Tööviljakus nominaalne (SKP per hõivatu)</t>
  </si>
  <si>
    <t>Majandusprognoosid</t>
  </si>
  <si>
    <r>
      <t xml:space="preserve">RR055: VALITSEMISSEKTORI TULUD JA </t>
    </r>
    <r>
      <rPr>
        <b/>
        <sz val="10"/>
        <rFont val="Calibri"/>
        <family val="2"/>
        <charset val="186"/>
        <scheme val="minor"/>
      </rPr>
      <t>KULUD</t>
    </r>
    <r>
      <rPr>
        <b/>
        <sz val="10"/>
        <color theme="1"/>
        <rFont val="Calibri"/>
        <family val="2"/>
        <charset val="186"/>
        <scheme val="minor"/>
      </rPr>
      <t xml:space="preserve"> --- Tulud ja kulud, Aasta,</t>
    </r>
  </si>
  <si>
    <t>Defineeri stsenaariumid</t>
  </si>
  <si>
    <t>Lisandväärtus =&gt; Lõpptarbimiseks</t>
  </si>
  <si>
    <t>Toodangu muutus kokku</t>
  </si>
  <si>
    <t>Mudelisse</t>
  </si>
  <si>
    <t>Indeksid</t>
  </si>
  <si>
    <t>SKP deflaator</t>
  </si>
  <si>
    <t>Inflatsiooni indeks, SKP defl. (2011 = 1,0)</t>
  </si>
  <si>
    <t>Hõivatute % (15-74)</t>
  </si>
  <si>
    <t>SKP (PPP alusel)/inimene</t>
  </si>
  <si>
    <t>Täiendavalt arvutatud</t>
  </si>
  <si>
    <t>SKP/Hõivatu</t>
  </si>
  <si>
    <t>P.5 Investeering %</t>
  </si>
  <si>
    <t>D.62 Siirded kodumajapidamistele %</t>
  </si>
  <si>
    <t xml:space="preserve">   Tulumaksu vaba</t>
  </si>
  <si>
    <t>Töötus-kindlustus</t>
  </si>
  <si>
    <t>Tulumaks %</t>
  </si>
  <si>
    <t>Kodumajapidamiste investeeringud</t>
  </si>
  <si>
    <t>Kodumajapidamiste säästud</t>
  </si>
  <si>
    <t>Keskmine</t>
  </si>
  <si>
    <t>SKP ostujõu alusel (võrreldes EL28)</t>
  </si>
  <si>
    <t>Abiarvutused</t>
  </si>
  <si>
    <t>Kapitali kogumahutus põhivarasse ja väärisesemed</t>
  </si>
  <si>
    <t>Elektrienergia</t>
  </si>
  <si>
    <t>351 Elektrienergia</t>
  </si>
  <si>
    <t>352 Gaas</t>
  </si>
  <si>
    <t>353 Soojavarustus</t>
  </si>
  <si>
    <t>Neto-tootemaksud/Lisandväärtus</t>
  </si>
  <si>
    <t>Hõivatute eskalaator (vrdl 2011)</t>
  </si>
  <si>
    <t>Tööviljakus (SKP/töökoht); eurot</t>
  </si>
  <si>
    <t>Mittesekkuv: biometaan + bioetanool</t>
  </si>
  <si>
    <t>Ühik</t>
  </si>
  <si>
    <t>Primaarenergia tarbimine (tootmises)</t>
  </si>
  <si>
    <t>Biokütuste tootmise ja jaotamise kulud</t>
  </si>
  <si>
    <t>MEUR</t>
  </si>
  <si>
    <t>Transpordikulud</t>
  </si>
  <si>
    <t>Tootja kasum</t>
  </si>
  <si>
    <t>Kaasnev müük</t>
  </si>
  <si>
    <t>Käive biokütuste tootmisest/müügist  (sh eksport)</t>
  </si>
  <si>
    <t>Seadmed</t>
  </si>
  <si>
    <t>Tanklad</t>
  </si>
  <si>
    <t>Sõidukite ümberehitus</t>
  </si>
  <si>
    <t>Riiklikud toetused</t>
  </si>
  <si>
    <t>Maakasutus (lisanduv)</t>
  </si>
  <si>
    <t>ha</t>
  </si>
  <si>
    <t>Bioressursid</t>
  </si>
  <si>
    <t>CO2 emissioon (tootmine)</t>
  </si>
  <si>
    <t>tonni</t>
  </si>
  <si>
    <t>Vahe: Vähesekkuv - Mittesekkuv</t>
  </si>
  <si>
    <t>Vähesekkuv: biometaan + bioetanool</t>
  </si>
  <si>
    <t>Vahe: Maksimaalne - Mittesekkuv</t>
  </si>
  <si>
    <t>Maksimaalne: biometaan + bioetanool</t>
  </si>
  <si>
    <t>Jaotus sektorite vahel</t>
  </si>
  <si>
    <t>Soojavarustus</t>
  </si>
  <si>
    <t>Mitte-sekkuv</t>
  </si>
  <si>
    <t>Teadmiste-põhine</t>
  </si>
  <si>
    <t>Index</t>
  </si>
  <si>
    <t>Vali stsenaarium</t>
  </si>
  <si>
    <t>Inimest</t>
  </si>
  <si>
    <t>Muud näitajad</t>
  </si>
  <si>
    <t>Primaarenergia tarbmine</t>
  </si>
  <si>
    <t>Fossiilsed</t>
  </si>
  <si>
    <t>Taastuv</t>
  </si>
  <si>
    <t>sh bioressurss</t>
  </si>
  <si>
    <t>Maakasutus</t>
  </si>
  <si>
    <t>kütusete tehnoloogiad</t>
  </si>
  <si>
    <t>„Energiamajanduse arengukava aastani 2030“ stsenaariumide majandusmõju analüüs</t>
  </si>
  <si>
    <t>Koostajad:</t>
  </si>
  <si>
    <t>Finantsakadeemia OÜ</t>
  </si>
  <si>
    <t>Väärtusinsener OÜ</t>
  </si>
  <si>
    <t>Allikas: Struktuurifondid.ee (Kuni 2017. aastani RM suvine majandusprognoos 2013 (valminud 02.09.2013), mida on RM hinnangute kohaselt pikendatud aastani 2030
)</t>
  </si>
  <si>
    <t>Dividend välismaale</t>
  </si>
  <si>
    <t>tuh. Eurot</t>
  </si>
  <si>
    <t>Allikas: Eurostat</t>
  </si>
  <si>
    <t>eelda</t>
  </si>
  <si>
    <t>KOEFITSIENDID</t>
  </si>
  <si>
    <t>Tiitel</t>
  </si>
  <si>
    <t>Leht</t>
  </si>
  <si>
    <t>MITTESEKKUV</t>
  </si>
  <si>
    <t xml:space="preserve"> Hoonete elektri- ja soojustarbimine</t>
  </si>
  <si>
    <t>Soojusenergia tarbimine</t>
  </si>
  <si>
    <t>TWh/a</t>
  </si>
  <si>
    <t>Elektrienergia tarbimine</t>
  </si>
  <si>
    <t xml:space="preserve"> Hoonete elektri- ja soojustarbimine/hoolduskulud</t>
  </si>
  <si>
    <t>Soojustarbimise sääst (hoonete omanikele)</t>
  </si>
  <si>
    <t>M€/a</t>
  </si>
  <si>
    <t>Elektritarbimise sääst (hoonete omanikele)</t>
  </si>
  <si>
    <t>Hoonete hoolduskulude kokkuhoid</t>
  </si>
  <si>
    <t>Investeeringud/toetused</t>
  </si>
  <si>
    <t>Rekonstrueerimine (investeering)</t>
  </si>
  <si>
    <t>Energiatõhus uusehitus (investeering)</t>
  </si>
  <si>
    <t>Makstud toetused (riigipoolsed toetused kõik kokku)</t>
  </si>
  <si>
    <t>Maksutulu laekumine rekonstrueerimise ehitushangetest</t>
  </si>
  <si>
    <t>MINIMAALSELT SEKKUV</t>
  </si>
  <si>
    <t>TEADMISTEPÕHINE</t>
  </si>
  <si>
    <t>Hooned_Stsenaariumid</t>
  </si>
  <si>
    <t>VAHE: MINIMAALSELT - MITTESEKKUV</t>
  </si>
  <si>
    <t>VAHE: TEADMISTEPÕHINE - MITTESEKKUV</t>
  </si>
  <si>
    <t>Hulgimüügi-teenused</t>
  </si>
  <si>
    <t>Jaemüügi-teenused</t>
  </si>
  <si>
    <t>Maismaa-veondus</t>
  </si>
  <si>
    <t xml:space="preserve"> Hoonete ja maastike hooldusteenus; büroohaldus- ja ettevõtluse abiteenused</t>
  </si>
  <si>
    <t>Toetused</t>
  </si>
  <si>
    <t>KOKKU (kontr.)</t>
  </si>
  <si>
    <t>Mõju sektoritele</t>
  </si>
  <si>
    <t>Minimaalselt sekkuv: mõju sektoritele</t>
  </si>
  <si>
    <t>Teadmistepõhine: mõju sektoritele</t>
  </si>
  <si>
    <t>STSENAARIUMI TULEMUSED</t>
  </si>
  <si>
    <t>Stsenaariumite tulemuste arvutaja: Jarek Kurnitski</t>
  </si>
  <si>
    <t>Ostujõu arvutusse, eeldused (laenumakse arvutus)</t>
  </si>
  <si>
    <t>Laenu tähtaeg (aastat)</t>
  </si>
  <si>
    <t>Laenu teenindus</t>
  </si>
  <si>
    <t>Kumuleeritud investeering</t>
  </si>
  <si>
    <t>Intress (reaal)</t>
  </si>
  <si>
    <t>Ostujõu arvutusse</t>
  </si>
  <si>
    <t>Ostujõu võidu jagunemine</t>
  </si>
  <si>
    <t>Kadumajapidamised</t>
  </si>
  <si>
    <t>Ettevõtted</t>
  </si>
  <si>
    <t>Minimaal. Sekkuv</t>
  </si>
  <si>
    <t>Kütused</t>
  </si>
  <si>
    <t>Maksim.</t>
  </si>
  <si>
    <t>Vähe-sekkuv</t>
  </si>
  <si>
    <t>Valitud stsenaarium</t>
  </si>
  <si>
    <t>VAHED: VÕRRELDES MITTESEKKUVA STSENAARIUMIGA</t>
  </si>
  <si>
    <t>TULEMUSED</t>
  </si>
  <si>
    <t>CO2 emissioon</t>
  </si>
  <si>
    <t>th tonni</t>
  </si>
  <si>
    <t>Valitud stsen. ("TULEMUSED")</t>
  </si>
  <si>
    <t>Mootorsõidukite hulgi- ja jaemüüK ning remont</t>
  </si>
  <si>
    <t xml:space="preserve"> Hoonete ja maastike hooldus; büroohaldus- jm</t>
  </si>
  <si>
    <t>Elektri-energia</t>
  </si>
  <si>
    <t>Sooja-varustus</t>
  </si>
  <si>
    <t>Põllu-majandus</t>
  </si>
  <si>
    <t xml:space="preserve">Sektoris </t>
  </si>
  <si>
    <t>Ostujõu muutus (kodumajapid.)</t>
  </si>
  <si>
    <t>jaota sooja ja elektri vahel</t>
  </si>
  <si>
    <t>Sektor (sh kaudne)</t>
  </si>
  <si>
    <t>Kaudne (va sektor ise)</t>
  </si>
  <si>
    <t>lisatud ostujõu muutus</t>
  </si>
  <si>
    <t>Võrgud</t>
  </si>
  <si>
    <t>Elektrivõrgud</t>
  </si>
  <si>
    <t>TWh</t>
  </si>
  <si>
    <t>Puugaas</t>
  </si>
  <si>
    <t>Biogaas</t>
  </si>
  <si>
    <t>Kivisüsi</t>
  </si>
  <si>
    <t>Jäätmekütus</t>
  </si>
  <si>
    <t>Maagaas</t>
  </si>
  <si>
    <t>Põlevkivi</t>
  </si>
  <si>
    <t>Puiduhake</t>
  </si>
  <si>
    <t>Tootmisseadmed</t>
  </si>
  <si>
    <t>Kilotonni</t>
  </si>
  <si>
    <t>Vahe: Liberal+ - Liberal</t>
  </si>
  <si>
    <t>Liberal +</t>
  </si>
  <si>
    <t>Vahe: RE - Liberal</t>
  </si>
  <si>
    <t>RE</t>
  </si>
  <si>
    <t>Kivisüsi...</t>
  </si>
  <si>
    <t>Liberal+: mõju sektoritele</t>
  </si>
  <si>
    <t>Sektori indeks</t>
  </si>
  <si>
    <t>Kütuste kulu</t>
  </si>
  <si>
    <t>RE: mõju sektoritele</t>
  </si>
  <si>
    <t>Metsandusdtooted</t>
  </si>
  <si>
    <t>Soojuse stsenaariumid_Koondtulemused</t>
  </si>
  <si>
    <t>Kaugkütte tootmise ja jaotamise otsekulud</t>
  </si>
  <si>
    <t>Kütuste kulu, kokku</t>
  </si>
  <si>
    <t>Halupuit</t>
  </si>
  <si>
    <t>Põlevkiviõli</t>
  </si>
  <si>
    <t>Turvas</t>
  </si>
  <si>
    <t>Biomass</t>
  </si>
  <si>
    <t>Kütteõli</t>
  </si>
  <si>
    <t>Katelde vahetus</t>
  </si>
  <si>
    <t>Torustike vahetus</t>
  </si>
  <si>
    <t>Üleminek taastuvale kütusele</t>
  </si>
  <si>
    <t>Lokaalküttele üleminek</t>
  </si>
  <si>
    <t xml:space="preserve">Vahe: Reaalne - Kaugküte </t>
  </si>
  <si>
    <t>Vahe: Energiaühistu - Kaugküte</t>
  </si>
  <si>
    <t>Energiaühistu</t>
  </si>
  <si>
    <t>Reaalne: mõju sektoritele</t>
  </si>
  <si>
    <t>Energiaühistu: mõju sektoritele</t>
  </si>
  <si>
    <t>Mittesekkuv</t>
  </si>
  <si>
    <t>Võrgukadu Põhivõrk</t>
  </si>
  <si>
    <t xml:space="preserve">Võrgukadu Jaotusvõrk </t>
  </si>
  <si>
    <t>Kaod</t>
  </si>
  <si>
    <t>Võrgukadu</t>
  </si>
  <si>
    <t>Katkestuskadu</t>
  </si>
  <si>
    <t>Liinid</t>
  </si>
  <si>
    <t>Alajaamad</t>
  </si>
  <si>
    <t>Uued liitumised</t>
  </si>
  <si>
    <t>Jaotusvõrkude investeeringud</t>
  </si>
  <si>
    <t>Vahe: Reaalne - Mittesekkuv</t>
  </si>
  <si>
    <t>Vahe: Panustav - Mittesekkuv</t>
  </si>
  <si>
    <t>Panustav</t>
  </si>
  <si>
    <t>Maismaaveondus</t>
  </si>
  <si>
    <t xml:space="preserve"> hoonete ja maastike hooldusteenus; büroohaldus- ja ettevõtluse abiteenused</t>
  </si>
  <si>
    <t>Panustav: mõju sektoritele</t>
  </si>
  <si>
    <r>
      <t>1 kilowatt hour = 3.6×10</t>
    </r>
    <r>
      <rPr>
        <b/>
        <vertAlign val="superscript"/>
        <sz val="10"/>
        <color rgb="FF000000"/>
        <rFont val="Calibri"/>
        <family val="2"/>
        <charset val="186"/>
        <scheme val="minor"/>
      </rPr>
      <t>6</t>
    </r>
    <r>
      <rPr>
        <b/>
        <sz val="10"/>
        <color rgb="FF000000"/>
        <rFont val="Calibri"/>
        <family val="2"/>
        <charset val="186"/>
        <scheme val="minor"/>
      </rPr>
      <t> J or 3.6 MJ</t>
    </r>
  </si>
  <si>
    <t>Väliskaubandus (saldo)</t>
  </si>
  <si>
    <t>Teadmistepõhine</t>
  </si>
  <si>
    <t>Mõju sektoritele jm näitajad</t>
  </si>
  <si>
    <t>Inflatsiooniindeks (2011=1,0)</t>
  </si>
  <si>
    <t>(2=reaal; 1=nominaal)</t>
  </si>
  <si>
    <t>Diskonteerimisfaktor</t>
  </si>
  <si>
    <t>Kivisüsi, …</t>
  </si>
  <si>
    <t>Kivisüsi; toornafta ja maagaas; metallimaagid; jm</t>
  </si>
  <si>
    <t>SektorI #</t>
  </si>
  <si>
    <t>Toodang sektoris</t>
  </si>
  <si>
    <t>Toodang: kaudne</t>
  </si>
  <si>
    <t>Ostujõu muutus (kodumajapidamised)</t>
  </si>
  <si>
    <t>VÄLISKAUBANDUS</t>
  </si>
  <si>
    <t>Kasutus</t>
  </si>
  <si>
    <t>Import: Indutseeritud mõju  (-)</t>
  </si>
  <si>
    <t>Import: Otsene ja kaudne mõju (-)</t>
  </si>
  <si>
    <t>Väliskaubanduse saldo: otsearvutused (+)</t>
  </si>
  <si>
    <r>
      <rPr>
        <b/>
        <sz val="10"/>
        <color theme="1"/>
        <rFont val="Calibri"/>
        <family val="2"/>
        <charset val="186"/>
        <scheme val="minor"/>
      </rPr>
      <t>EE SKP</t>
    </r>
    <r>
      <rPr>
        <sz val="10"/>
        <color theme="1"/>
        <rFont val="Calibri"/>
        <family val="2"/>
        <charset val="186"/>
        <scheme val="minor"/>
      </rPr>
      <t xml:space="preserve">: </t>
    </r>
    <r>
      <rPr>
        <sz val="10"/>
        <rFont val="Calibri"/>
        <family val="2"/>
        <charset val="186"/>
        <scheme val="minor"/>
      </rPr>
      <t>PPS  per inhabitant (EU28)</t>
    </r>
  </si>
  <si>
    <r>
      <rPr>
        <b/>
        <sz val="10"/>
        <color theme="1"/>
        <rFont val="Calibri"/>
        <family val="2"/>
        <charset val="186"/>
        <scheme val="minor"/>
      </rPr>
      <t xml:space="preserve">EE SKP: </t>
    </r>
    <r>
      <rPr>
        <sz val="10"/>
        <color theme="1"/>
        <rFont val="Calibri"/>
        <family val="2"/>
        <charset val="186"/>
        <scheme val="minor"/>
      </rPr>
      <t>current Euro per inhabitant</t>
    </r>
  </si>
  <si>
    <t>ARVUTUS</t>
  </si>
  <si>
    <t>VALDKONNAD</t>
  </si>
  <si>
    <t>ABITABELID</t>
  </si>
  <si>
    <t>Sisu selgitus</t>
  </si>
  <si>
    <t>Masinate ja seadmete remondi- …</t>
  </si>
  <si>
    <t>Mootorsõidukite hulgi- ja jaemüügi- …</t>
  </si>
  <si>
    <t xml:space="preserve"> Hoonete hooldusteenus; büroohaldus- …</t>
  </si>
  <si>
    <t>sh valitsuse invest. läbi maksude ja kodumajapidamiste säästud (S=I)</t>
  </si>
  <si>
    <t>Lisandväärtusest  lõpptarbimisse  (koefitsiendid)</t>
  </si>
  <si>
    <t>Allikas: Statistikaamet</t>
  </si>
  <si>
    <t>Masinate ja seadmete remont …</t>
  </si>
  <si>
    <t>Mootorsõidukite hulgi- ja jaemüük ...</t>
  </si>
  <si>
    <t>Indeks</t>
  </si>
  <si>
    <t>CO2 emissioon /SKP</t>
  </si>
  <si>
    <t>th.tonni</t>
  </si>
  <si>
    <t>Maakasutus / SKP</t>
  </si>
  <si>
    <t>ha/MEUR</t>
  </si>
  <si>
    <t>TJ/MEUR</t>
  </si>
  <si>
    <t>Fossiilsed kütused/SKP</t>
  </si>
  <si>
    <t>Taastuvad küstused/SKP</t>
  </si>
  <si>
    <t>Väliskaubanduse saldo</t>
  </si>
  <si>
    <t>Väliskaubanduse saldo/SKP</t>
  </si>
  <si>
    <t>Toodangu muutuse kordaja</t>
  </si>
  <si>
    <t>Toodangu muutus mõjutatud sektoris kokku</t>
  </si>
  <si>
    <t>Investeeringud (kasvavad kokku)</t>
  </si>
  <si>
    <t>Laenu teenindamine (intress+põhiosa)</t>
  </si>
  <si>
    <t>Põllumajandus-tooted</t>
  </si>
  <si>
    <t>Primaarenergiaga varustatus (st kogutarbimine), GJ/elanik</t>
  </si>
  <si>
    <r>
      <t>10</t>
    </r>
    <r>
      <rPr>
        <vertAlign val="superscript"/>
        <sz val="10"/>
        <color rgb="FF000000"/>
        <rFont val="Calibri"/>
        <family val="2"/>
        <charset val="186"/>
        <scheme val="minor"/>
      </rPr>
      <t>9</t>
    </r>
    <r>
      <rPr>
        <sz val="10"/>
        <color rgb="FF000000"/>
        <rFont val="Calibri"/>
        <family val="2"/>
        <charset val="186"/>
        <scheme val="minor"/>
      </rPr>
      <t> J</t>
    </r>
  </si>
  <si>
    <r>
      <t>10</t>
    </r>
    <r>
      <rPr>
        <b/>
        <vertAlign val="superscript"/>
        <sz val="10"/>
        <color rgb="FF000000"/>
        <rFont val="Calibri"/>
        <family val="2"/>
        <charset val="186"/>
        <scheme val="minor"/>
      </rPr>
      <t>12</t>
    </r>
    <r>
      <rPr>
        <b/>
        <sz val="10"/>
        <color rgb="FF000000"/>
        <rFont val="Calibri"/>
        <family val="2"/>
        <charset val="186"/>
        <scheme val="minor"/>
      </rPr>
      <t> J</t>
    </r>
  </si>
  <si>
    <r>
      <t>10</t>
    </r>
    <r>
      <rPr>
        <b/>
        <vertAlign val="superscript"/>
        <sz val="10"/>
        <color rgb="FF000000"/>
        <rFont val="Calibri"/>
        <family val="2"/>
        <charset val="186"/>
        <scheme val="minor"/>
      </rPr>
      <t>15</t>
    </r>
    <r>
      <rPr>
        <b/>
        <sz val="10"/>
        <color rgb="FF000000"/>
        <rFont val="Calibri"/>
        <family val="2"/>
        <charset val="186"/>
        <scheme val="minor"/>
      </rPr>
      <t> J</t>
    </r>
  </si>
  <si>
    <t>Soojustarbimise muutus</t>
  </si>
  <si>
    <t>Elektritarbimise muutus</t>
  </si>
  <si>
    <t>Hoonete hoolduskulud</t>
  </si>
  <si>
    <t>MÕJU JAOTAMINE SEKTORITE VAHEL</t>
  </si>
  <si>
    <t>Hoonete ja maastike hooldusteenus; büroohaldus- ja ettevõtluse abiteenused</t>
  </si>
  <si>
    <t>SKP_Baasprognoos</t>
  </si>
  <si>
    <t>Otsene toodang kokku (st müügitulu muutus)</t>
  </si>
  <si>
    <t>otsene</t>
  </si>
  <si>
    <t>otsene+kaudne</t>
  </si>
  <si>
    <t>kaudne</t>
  </si>
  <si>
    <t>EUR/hõivatu</t>
  </si>
  <si>
    <t>VÄLISKAUBANDUSE SALDO</t>
  </si>
  <si>
    <t>Tööjõukulu</t>
  </si>
  <si>
    <t>Maksud /(Brutopalk + Sotsiaalmaks)</t>
  </si>
  <si>
    <t>Netopalk/ (Brutopalk+Sotsiaalmaks)</t>
  </si>
  <si>
    <t>Hüvitised töötajatele; mln eurot</t>
  </si>
  <si>
    <t>Töökohti, inimest</t>
  </si>
  <si>
    <t>Tööhõive arvutus</t>
  </si>
  <si>
    <t>SKP/inimene PPP alusel; eurot</t>
  </si>
  <si>
    <t>Pöördmaatriks</t>
  </si>
  <si>
    <t>Lõpptarbimise mõjud (Pöördmaatriks)</t>
  </si>
  <si>
    <t>hüvitised töötajatele alusel</t>
  </si>
  <si>
    <t>Näitaja</t>
  </si>
  <si>
    <t>* Nüüdisväärtus</t>
  </si>
  <si>
    <t>Saldo (%SKP)</t>
  </si>
  <si>
    <t>7. Kaupade ja teenuste eksport (mlrd EUR)</t>
  </si>
  <si>
    <t>8. Kaupade ja teenuste import (mlrd EUR)</t>
  </si>
  <si>
    <t>Saldo (mlrd EUR)</t>
  </si>
  <si>
    <t>Allikas: RahMin, 2013 suvine prognoos, Tabel 1;</t>
  </si>
  <si>
    <t>„Energiamajanduse arengukava 2030“ stsenaariumide majandusmõju analüüs</t>
  </si>
  <si>
    <t>Transpordi energiatarbimine</t>
  </si>
  <si>
    <t>Tööviljakus_Baasprognoos</t>
  </si>
  <si>
    <t>t/MEUR</t>
  </si>
  <si>
    <t>Transpordi energiatarbimine/SKP</t>
  </si>
  <si>
    <t>kütuseta tehnoloogiad</t>
  </si>
  <si>
    <t>sh bioressurss/SKP</t>
  </si>
  <si>
    <t>kütuseta tehnoloogiad/SKP</t>
  </si>
  <si>
    <t>Hõive muutus_ENMAK mõjul</t>
  </si>
  <si>
    <t>kasv</t>
  </si>
  <si>
    <t>ENMAK/Baasprognoos</t>
  </si>
  <si>
    <t>SKP muutus_ENMAK mõjul</t>
  </si>
  <si>
    <t>SKP MUUTUS TURUHINDADES</t>
  </si>
  <si>
    <t>** Ostujõu pariteedi alusel</t>
  </si>
  <si>
    <t>Tööhõive_Baasprognoos</t>
  </si>
  <si>
    <t>SKP inimene (PPP**)_Baasprognoos</t>
  </si>
  <si>
    <t>SKP inimene_ENMAK mõjul</t>
  </si>
  <si>
    <t>ABINÄITAJAD   /"PROGNOOS" lehelt/</t>
  </si>
  <si>
    <t xml:space="preserve">Transport BAU </t>
  </si>
  <si>
    <t>Bensiin</t>
  </si>
  <si>
    <t>Diisel</t>
  </si>
  <si>
    <t>Etanool</t>
  </si>
  <si>
    <t>Biodiisel</t>
  </si>
  <si>
    <t>Biometaan</t>
  </si>
  <si>
    <t>tonn</t>
  </si>
  <si>
    <t>Surumaagaas, CNG</t>
  </si>
  <si>
    <t>Käibemaks kütustelt</t>
  </si>
  <si>
    <t>Juurdehindlus (hulgi- ja jaem., transport jm)</t>
  </si>
  <si>
    <t>Auto-, tee-, ummiku- jms maksud/tasud</t>
  </si>
  <si>
    <t>Aktsiis ja transpordimaksud kokku</t>
  </si>
  <si>
    <t>M€</t>
  </si>
  <si>
    <t>Maanteed ja tänavad</t>
  </si>
  <si>
    <t>Riik KOV teedele</t>
  </si>
  <si>
    <t>Riik maanteedele</t>
  </si>
  <si>
    <t>KOV teedele</t>
  </si>
  <si>
    <t>Raudteed</t>
  </si>
  <si>
    <t>Rail Baltic</t>
  </si>
  <si>
    <t>Muud investeeringud</t>
  </si>
  <si>
    <t>Autod</t>
  </si>
  <si>
    <t>Uute sõidukite import omaturu tarbeks (eraisikud)</t>
  </si>
  <si>
    <t>Uute sõidukite import omaturu tarbeks (ettevõtted)</t>
  </si>
  <si>
    <t>Kasutatud sõidukite import omaturu tarbeks (eraisikud)</t>
  </si>
  <si>
    <t>Kasutatud sõidukite import omaturu tarbeks (ettevõtted)</t>
  </si>
  <si>
    <t>Hooldus ja remont</t>
  </si>
  <si>
    <t>KOV</t>
  </si>
  <si>
    <t>Hooldus</t>
  </si>
  <si>
    <t>Rekonstrueerimine</t>
  </si>
  <si>
    <t>Uued (kuni 3 aastat)</t>
  </si>
  <si>
    <t>Vanad (üle 3 aasta)</t>
  </si>
  <si>
    <t>Elektriautod</t>
  </si>
  <si>
    <t>Dotatsioon</t>
  </si>
  <si>
    <t>Raudtee</t>
  </si>
  <si>
    <t>Ühistransport riik</t>
  </si>
  <si>
    <t>Ühistransport KOV</t>
  </si>
  <si>
    <t>Aktsiis kütustelt</t>
  </si>
  <si>
    <t>Kütuse komponent</t>
  </si>
  <si>
    <t>Transport VS_TAK</t>
  </si>
  <si>
    <t>Rail Baltic hooldus</t>
  </si>
  <si>
    <t>Stsenaariumi tegevuste inv ja kulud kokku</t>
  </si>
  <si>
    <t>Lisanduv maksutulu</t>
  </si>
  <si>
    <t>Investeering on siin tabelis uue infra ehitus või põhjalik rekonstrueerimine</t>
  </si>
  <si>
    <t>Proportsionaalne sõiduautode läbisõidu kasvuga, investeeringud tingib läbilaskvuse tõstmise vajadus</t>
  </si>
  <si>
    <t>Ühekordne investeering 1040, jaotatud 40 aasta peale</t>
  </si>
  <si>
    <t>Proportsionaalne veoautode tonnkilomeetrite kasvuga, normteljed määravad katendi eluea</t>
  </si>
  <si>
    <t>Proportsionaalne sõiduautode läbisõidu kasvuga, suurema läbisõiduga kaasneb suurem remondi ja hoolduse vajadus</t>
  </si>
  <si>
    <t>Proportsionaalne kaubavedude kasvuga, rohkem veotonne tingib suurema hooldusvajaduse</t>
  </si>
  <si>
    <t>Proportsionaalne raudtee kaubavedude muutusega</t>
  </si>
  <si>
    <t>Kokku BAU + 10%</t>
  </si>
  <si>
    <t>Proportsionaalne reisijateveo kasvuga, jättes kasvust välja Rail Balticu mahu, mis ei ole doteeritav</t>
  </si>
  <si>
    <t>BAU+10%</t>
  </si>
  <si>
    <t>Transport EE</t>
  </si>
  <si>
    <t>Vahe: EE - BAU</t>
  </si>
  <si>
    <t>Jaota mõju sektorite vahel</t>
  </si>
  <si>
    <t>Marek Rannala kommentaarid:</t>
  </si>
  <si>
    <t>Raudteed kokku</t>
  </si>
  <si>
    <t>Autod kokku</t>
  </si>
  <si>
    <t>Dotatsioon kokku</t>
  </si>
  <si>
    <t>Maanteed ja tänavad kokku</t>
  </si>
  <si>
    <t>Kokku tootjahind</t>
  </si>
  <si>
    <t>Jagatud kütuste tabelis!</t>
  </si>
  <si>
    <t>Mootorsõidukite ja ... hulgi- ja jaemüügi- ning remonditeenused</t>
  </si>
  <si>
    <t>Ostujõu muutus (valitsussektor)</t>
  </si>
  <si>
    <t>NB! Vahed võrreldes BAU stsenaariumiga</t>
  </si>
  <si>
    <t>Kütuste stsenaariumid</t>
  </si>
  <si>
    <t>MINIMAALSELT SEKKUV (VK_TAK)</t>
  </si>
  <si>
    <t>Valitud stsen. ("TULEMUSED" lehelt)</t>
  </si>
  <si>
    <t>TEADMISTEPÕHINE (EE)</t>
  </si>
  <si>
    <t>Elektrivõrkude stsenaariumid_Koondtulemused</t>
  </si>
  <si>
    <t xml:space="preserve">Sektor   </t>
  </si>
  <si>
    <t>CO2 hind</t>
  </si>
  <si>
    <t>€/t</t>
  </si>
  <si>
    <t xml:space="preserve">Sektor </t>
  </si>
  <si>
    <t>kilotonni</t>
  </si>
  <si>
    <t>va biomass</t>
  </si>
  <si>
    <t>REAALNE</t>
  </si>
  <si>
    <t>PANUSTAV</t>
  </si>
  <si>
    <t>NB! Import +märgiga</t>
  </si>
  <si>
    <t>ENERGIAÜHISTUD</t>
  </si>
  <si>
    <t>Elektri eksport</t>
  </si>
  <si>
    <t>LIBERAL +</t>
  </si>
  <si>
    <t>Sts.20</t>
  </si>
  <si>
    <t>Sts.21</t>
  </si>
  <si>
    <t>Sts.22</t>
  </si>
  <si>
    <t>Sts.23</t>
  </si>
  <si>
    <t>Sts.24</t>
  </si>
  <si>
    <t>Sts.25</t>
  </si>
  <si>
    <t>Sts.26</t>
  </si>
  <si>
    <t>Sts.27</t>
  </si>
  <si>
    <t>Sts.28</t>
  </si>
  <si>
    <t>Sts.29</t>
  </si>
  <si>
    <t>Sts.30</t>
  </si>
  <si>
    <t>Sts.1 BAU</t>
  </si>
  <si>
    <t>Taastuvad</t>
  </si>
  <si>
    <t>sh. Bioressurss</t>
  </si>
  <si>
    <t>Primaarenergia tarbimine</t>
  </si>
  <si>
    <t>Valitasemissektori tulud</t>
  </si>
  <si>
    <t>Indutseeritud lõpptarbimine</t>
  </si>
  <si>
    <t>Teiste sektorite toodang</t>
  </si>
  <si>
    <t>Sektorite koefitsiendid</t>
  </si>
  <si>
    <t>TOODANGU KOGUMUUTUS (otsene+kaudne) MÕJUTATUD SEKTORIS</t>
  </si>
  <si>
    <t>STSENAARIUMITE MÕJU TOODANGULE</t>
  </si>
  <si>
    <t>Transport, minimaalselt sekkuv (VK_TAK)</t>
  </si>
  <si>
    <t>Transport, teadmistepõhine EE</t>
  </si>
  <si>
    <t>Tööhõive muutus</t>
  </si>
  <si>
    <t>% BAAS</t>
  </si>
  <si>
    <t>Neto tootemaksud + ostujõu muutus (riik)</t>
  </si>
  <si>
    <t>Väliskaubanduse saldo ("+" st Exp &gt;  Imp)</t>
  </si>
  <si>
    <t>transpordi meetmed=impordi vähenemine</t>
  </si>
  <si>
    <t>Küte ja elekter</t>
  </si>
  <si>
    <t>Muud tegevuskulud</t>
  </si>
  <si>
    <t>Amortisatsioon</t>
  </si>
  <si>
    <t>Primaarenergiaga varustatus kokku, TJ</t>
  </si>
  <si>
    <t>Väliskaubandussaldo muutus</t>
  </si>
  <si>
    <t xml:space="preserve">Väliskaubandussaldo muutus </t>
  </si>
  <si>
    <t>Käive biokütuste müügist</t>
  </si>
  <si>
    <t>Väliskaubandussaldo</t>
  </si>
  <si>
    <t>Amortsiatsioon</t>
  </si>
  <si>
    <t>rahvaarv</t>
  </si>
  <si>
    <t>SKP ostujõu pariteedi (PPP) alusel, mln eurot</t>
  </si>
  <si>
    <t>EE hinnatase võrreldes EL28 tasemega</t>
  </si>
  <si>
    <t>INDUTSEERITUD MÕJU 1* + OSTUJÕU MUUTUS</t>
  </si>
  <si>
    <t>* st indutseeritud läbi tootmise kasvu</t>
  </si>
  <si>
    <t>** st indutseeritud läbi riigi tulude kasvu</t>
  </si>
  <si>
    <t>INDUTSEERITUD MÕJU 2**: TOETUSED, MAKSUD</t>
  </si>
  <si>
    <t>Makstud toetused</t>
  </si>
  <si>
    <t xml:space="preserve">Energiatõhus uusehitus </t>
  </si>
  <si>
    <r>
      <t xml:space="preserve">Soojustarbimise </t>
    </r>
    <r>
      <rPr>
        <b/>
        <sz val="10"/>
        <color theme="1"/>
        <rFont val="Calibri"/>
        <family val="2"/>
        <charset val="186"/>
        <scheme val="minor"/>
      </rPr>
      <t>sääst</t>
    </r>
    <r>
      <rPr>
        <sz val="10"/>
        <color theme="1"/>
        <rFont val="Calibri"/>
        <family val="2"/>
        <charset val="186"/>
        <scheme val="minor"/>
      </rPr>
      <t xml:space="preserve"> (hoonete omanikele)</t>
    </r>
  </si>
  <si>
    <r>
      <t xml:space="preserve">Elektritarbimise </t>
    </r>
    <r>
      <rPr>
        <b/>
        <sz val="10"/>
        <color theme="1"/>
        <rFont val="Calibri"/>
        <family val="2"/>
        <charset val="186"/>
        <scheme val="minor"/>
      </rPr>
      <t>sääst</t>
    </r>
    <r>
      <rPr>
        <sz val="10"/>
        <color theme="1"/>
        <rFont val="Calibri"/>
        <family val="2"/>
        <charset val="186"/>
        <scheme val="minor"/>
      </rPr>
      <t xml:space="preserve"> (hoonete omanikele)</t>
    </r>
  </si>
  <si>
    <t>Energiatõhus uusehitus</t>
  </si>
  <si>
    <t>eeldusel, et intress on ka lisandväärtuse komponent</t>
  </si>
  <si>
    <t>Mõju</t>
  </si>
  <si>
    <t>Sts.2 Hooned/ Soojus 2</t>
  </si>
  <si>
    <t>Sts.3 Hooned/ Soojus 3</t>
  </si>
  <si>
    <t>mõju arvestatakse soojatootmise stsenaariumites</t>
  </si>
  <si>
    <t>tootmismahtudele mõju ei avalda (eksport kas suurem või väiksem)</t>
  </si>
  <si>
    <t>=&gt; elektri eksport</t>
  </si>
  <si>
    <t>st elektritarbimise vähenemine Eestis suurendab elektri eksporti</t>
  </si>
  <si>
    <t>INDEKS:</t>
  </si>
  <si>
    <t>Riigi tulud-kulud</t>
  </si>
  <si>
    <t>Tööjõu maksud</t>
  </si>
  <si>
    <t>Maksud</t>
  </si>
  <si>
    <t>Maksud/Tööjõukulu</t>
  </si>
  <si>
    <t>SKP ARVUTUS (REAALNÄITAJAD)</t>
  </si>
  <si>
    <t>Valitsussektori neto-tulud</t>
  </si>
  <si>
    <t>Indeksi väärtus</t>
  </si>
  <si>
    <t>Stsenaariumite otsene mõju (vahe mittesekkuva stsenaariumiga)</t>
  </si>
  <si>
    <t>Energiasääst on arvutatud 2010 suhtes; vähendatud k/m võrra!</t>
  </si>
  <si>
    <t>=&gt; "-" st sooja tootmine väheneb (sooja stsenaariumites)</t>
  </si>
  <si>
    <t>=&gt; "-" st elektri eksport</t>
  </si>
  <si>
    <t>Hoonete hooldus …</t>
  </si>
  <si>
    <t>EUR/in.</t>
  </si>
  <si>
    <t>kasv ENMAK mõjul</t>
  </si>
  <si>
    <t>Amort</t>
  </si>
  <si>
    <t>Elektri tootmise kulud</t>
  </si>
  <si>
    <t>Muud tootmiskulud</t>
  </si>
  <si>
    <t>Võimsustasu</t>
  </si>
  <si>
    <t>Elektri eksport-import</t>
  </si>
  <si>
    <t>CO2 heide</t>
  </si>
  <si>
    <t>CO2 kvoot</t>
  </si>
  <si>
    <t>CO2 kvoodi üle-/puudujääk</t>
  </si>
  <si>
    <t>CO2 kvoodimüük = (+) neto tootemaks</t>
  </si>
  <si>
    <t>CO2 kvoodi ost = (-) tegevuse ülejääk</t>
  </si>
  <si>
    <t>Toorme ostukulu - bioetanool</t>
  </si>
  <si>
    <t>ei suurenda tootmist, eksport väheneb</t>
  </si>
  <si>
    <t>sh teravilja ekspordi vähenemine</t>
  </si>
  <si>
    <t>Primaarenergia tarbimine/SKP</t>
  </si>
  <si>
    <t>SKP inimese kohta</t>
  </si>
  <si>
    <t>Transport 2 Vahe: VS_TAK - BAU</t>
  </si>
  <si>
    <t>Mõju sektoritele ja majandusele</t>
  </si>
  <si>
    <t>otse mõjutabelisse</t>
  </si>
  <si>
    <t>läbi I-O tabeli</t>
  </si>
  <si>
    <t>I-O 2010</t>
  </si>
  <si>
    <t>KÜTUS</t>
  </si>
  <si>
    <t>HOONED</t>
  </si>
  <si>
    <t>ELEKTER</t>
  </si>
  <si>
    <t>ELEKTRIVÕRGUD</t>
  </si>
  <si>
    <t>SOOJUS</t>
  </si>
  <si>
    <t>TRANSPORT</t>
  </si>
  <si>
    <t>SKP püsivhindades (mln €) (2011)</t>
  </si>
  <si>
    <t>sts2</t>
  </si>
  <si>
    <t>sts3</t>
  </si>
  <si>
    <t>sts4</t>
  </si>
  <si>
    <t>sts5</t>
  </si>
  <si>
    <t>sts6</t>
  </si>
  <si>
    <t>"Tiitel"</t>
  </si>
  <si>
    <t>PROGNOOS</t>
  </si>
  <si>
    <t>Olulisemad makromajanduse prognoosinäitajad</t>
  </si>
  <si>
    <t>Elektritootmine</t>
  </si>
  <si>
    <t>Erinevate sisendnäitajate arvutused statistiliste andmete baasil</t>
  </si>
  <si>
    <t>JUHEND</t>
  </si>
  <si>
    <r>
      <t xml:space="preserve">KÕIK </t>
    </r>
    <r>
      <rPr>
        <b/>
        <sz val="10"/>
        <color rgb="FFFF0000"/>
        <rFont val="Calibri"/>
        <family val="2"/>
        <charset val="186"/>
        <scheme val="minor"/>
      </rPr>
      <t>PUNASED</t>
    </r>
    <r>
      <rPr>
        <sz val="10"/>
        <color theme="1"/>
        <rFont val="Calibri"/>
        <family val="2"/>
        <charset val="186"/>
        <scheme val="minor"/>
      </rPr>
      <t xml:space="preserve"> NUMBRID ON </t>
    </r>
    <r>
      <rPr>
        <u/>
        <sz val="10"/>
        <color theme="1"/>
        <rFont val="Calibri"/>
        <family val="2"/>
        <charset val="186"/>
        <scheme val="minor"/>
      </rPr>
      <t>EELDUSED,</t>
    </r>
    <r>
      <rPr>
        <sz val="10"/>
        <color theme="1"/>
        <rFont val="Calibri"/>
        <family val="2"/>
        <charset val="186"/>
        <scheme val="minor"/>
      </rPr>
      <t xml:space="preserve"> MIS VAJA SISESTADA VÕI SIDUDA SOBIVATE LAHTRITEGA.</t>
    </r>
  </si>
  <si>
    <r>
      <rPr>
        <b/>
        <sz val="10"/>
        <color theme="3"/>
        <rFont val="Calibri"/>
        <family val="2"/>
        <charset val="186"/>
        <scheme val="minor"/>
      </rPr>
      <t>SINISED</t>
    </r>
    <r>
      <rPr>
        <sz val="10"/>
        <color theme="1"/>
        <rFont val="Calibri"/>
        <family val="2"/>
        <charset val="186"/>
        <scheme val="minor"/>
      </rPr>
      <t xml:space="preserve"> NUMBRID ON AJALOOLISED ANDMED VÕI VÄLISTE ALLIKATE PROGNOOSID. MUUTA SIIS KUI ON TOIMUNUD MUUTUSED VASTAVATES LÄHTEANDMETES.</t>
    </r>
  </si>
  <si>
    <r>
      <rPr>
        <b/>
        <sz val="10"/>
        <rFont val="Calibri"/>
        <family val="2"/>
        <charset val="186"/>
        <scheme val="minor"/>
      </rPr>
      <t>MUSTAD</t>
    </r>
    <r>
      <rPr>
        <sz val="10"/>
        <color theme="1"/>
        <rFont val="Calibri"/>
        <family val="2"/>
        <charset val="186"/>
        <scheme val="minor"/>
      </rPr>
      <t xml:space="preserve"> NUMBRID ON VALEMITE POOLT VÄLJA ARVUTATUD. SINNA EI TOHI SISESTADA.</t>
    </r>
  </si>
  <si>
    <t>Mudeli kasutamise selgitused</t>
  </si>
  <si>
    <t>Reaalpalk (vrdl 2011)</t>
  </si>
  <si>
    <t>Transpordi energiatarbimise muutus</t>
  </si>
  <si>
    <t>Transpordi energiatarbimine - BAU</t>
  </si>
  <si>
    <t>Transpordi energiatarbimine - muutus</t>
  </si>
  <si>
    <t>4)</t>
  </si>
  <si>
    <t>% BAU</t>
  </si>
  <si>
    <t>TÖÖTURG</t>
  </si>
  <si>
    <t>muutus</t>
  </si>
  <si>
    <t>Lõpptarbimise =&gt; Majandusmõju</t>
  </si>
  <si>
    <t>Hüvitised töötajatele / Lisandväärtus</t>
  </si>
  <si>
    <t>VÕTMEINDIKAATORID</t>
  </si>
  <si>
    <t>Kaal indeksis</t>
  </si>
  <si>
    <t>MAJANDUSE SEISUND</t>
  </si>
  <si>
    <t>RESSURSIKASUTUS</t>
  </si>
  <si>
    <t>KOONDINDEKS - KONKURENTSIVÕIME</t>
  </si>
  <si>
    <t>Indeks - Majanduse seisund</t>
  </si>
  <si>
    <t>Kaalud      {1, …, 5}</t>
  </si>
  <si>
    <t>JOONIS_STSENAARIUMITE VÕRDLUS</t>
  </si>
  <si>
    <t>Vali joonis</t>
  </si>
  <si>
    <t>sts7</t>
  </si>
  <si>
    <t>sts8</t>
  </si>
  <si>
    <t>sts9</t>
  </si>
  <si>
    <t>sts10</t>
  </si>
  <si>
    <t>sts11</t>
  </si>
  <si>
    <t>HELESINISEGA MARKERITUD ANMEID (VALDKONDADE LEHTEDEL) KASUTATAKSE MAJANDUSMÕJU (SKP, TÖÖÕIVE) ARVUTUSTES</t>
  </si>
  <si>
    <t>VALITUD STSENAARIUMI KOOND</t>
  </si>
  <si>
    <t>TULEMUSTE KOONDTABEL</t>
  </si>
  <si>
    <t>Kaalud      {1, …, 3}</t>
  </si>
  <si>
    <t>CO2 emissioon/SKP</t>
  </si>
  <si>
    <t>VALITSUSSEKTOR JA VÄLISKAUBANDUS</t>
  </si>
  <si>
    <t>SISEMAJANDUSE KOGUPRODUKT (SKP)</t>
  </si>
  <si>
    <t>RESSURSIKASUTUS JA KESKKOND</t>
  </si>
  <si>
    <t>Lisandväärtus (otsene+kaudne)</t>
  </si>
  <si>
    <t>Tööviljakus_ENMAK mõjul</t>
  </si>
  <si>
    <t>Tööviljakuse muutus</t>
  </si>
  <si>
    <r>
      <rPr>
        <b/>
        <i/>
        <sz val="10"/>
        <rFont val="Calibri"/>
        <family val="2"/>
        <charset val="186"/>
        <scheme val="minor"/>
      </rPr>
      <t>Vasakpoolne:</t>
    </r>
    <r>
      <rPr>
        <i/>
        <sz val="10"/>
        <rFont val="Calibri"/>
        <family val="2"/>
        <charset val="186"/>
        <scheme val="minor"/>
      </rPr>
      <t xml:space="preserve"> vali stsenaarium</t>
    </r>
  </si>
  <si>
    <r>
      <rPr>
        <b/>
        <i/>
        <sz val="10"/>
        <rFont val="Calibri"/>
        <family val="2"/>
        <charset val="186"/>
        <scheme val="minor"/>
      </rPr>
      <t>Parempoolne</t>
    </r>
    <r>
      <rPr>
        <i/>
        <sz val="10"/>
        <rFont val="Calibri"/>
        <family val="2"/>
        <charset val="186"/>
        <scheme val="minor"/>
      </rPr>
      <t xml:space="preserve"> vali joonise sisu</t>
    </r>
  </si>
  <si>
    <t>CO2 koguemissioon (k.a. biomass jne)</t>
  </si>
  <si>
    <t>RE++</t>
  </si>
  <si>
    <t>Vahe: RE++ - Liberal</t>
  </si>
  <si>
    <t>Oil Shale BAU</t>
  </si>
  <si>
    <t>Vahe: Oil Shale BAU - Liberal</t>
  </si>
  <si>
    <t>Oil Shale BAU: mõju sektoritele</t>
  </si>
  <si>
    <t>RE++: mõju sektoritele</t>
  </si>
  <si>
    <t>Indeks - Ressursikasutus ja keskkond</t>
  </si>
  <si>
    <t>ENMAK töökoha palk / EE keskmine palk</t>
  </si>
  <si>
    <t>Primaarenergiaga varustatus (=tarbimine) kokku, PJ</t>
  </si>
  <si>
    <t>Energiakasutus</t>
  </si>
  <si>
    <t>Primaarenergia tarbimine, TJ</t>
  </si>
  <si>
    <t>CO2 emissioon_BAU</t>
  </si>
  <si>
    <t>CO2 emissioon_ENMAK mõju</t>
  </si>
  <si>
    <t>Primaarenegia tarbimine_BAU</t>
  </si>
  <si>
    <t>Fossiilsed kütused_BAU</t>
  </si>
  <si>
    <t>muutused võrreldes baasprognoosiga ENMAK mõjul</t>
  </si>
  <si>
    <t>MAJANDUSHARU VALIK</t>
  </si>
  <si>
    <t>STSENAARIUMI VALIK</t>
  </si>
  <si>
    <t>Taastuvad kütused</t>
  </si>
  <si>
    <t>Sts.4 Transport 2</t>
  </si>
  <si>
    <t>Sts.5 Transport 3</t>
  </si>
  <si>
    <t>Sts.6 Kütused 2</t>
  </si>
  <si>
    <t>Sts.7 Kütused 3</t>
  </si>
  <si>
    <t>Sts.9 Elekter 3</t>
  </si>
  <si>
    <t>Sts.8 Elekter 2</t>
  </si>
  <si>
    <t>Sts.19</t>
  </si>
  <si>
    <t>Sts.18</t>
  </si>
  <si>
    <t>Sts.10 Elekter 4</t>
  </si>
  <si>
    <t>Sts.11 Elekter 5</t>
  </si>
  <si>
    <t>Sts.12 Võrgud2</t>
  </si>
  <si>
    <t>Sts.13 Võrgud 3</t>
  </si>
  <si>
    <t>Sts.17 Hooned 3</t>
  </si>
  <si>
    <t>Primaaren. tarbmine_ENMAK mõju/SKP</t>
  </si>
  <si>
    <t>15M</t>
  </si>
  <si>
    <t xml:space="preserve">Kaevandused </t>
  </si>
  <si>
    <t>Prügila</t>
  </si>
  <si>
    <t>Veepuhastuse seadmed</t>
  </si>
  <si>
    <t>Reovee puhastusseadmed</t>
  </si>
  <si>
    <t>Väävlipuhastusseadmed</t>
  </si>
  <si>
    <t>Õlitootmise seadmed</t>
  </si>
  <si>
    <t>Elektritootmise seadmed</t>
  </si>
  <si>
    <t>Õli- ja elektritootmise kulud</t>
  </si>
  <si>
    <t>Püsikulud</t>
  </si>
  <si>
    <t xml:space="preserve">Ressursimaksud </t>
  </si>
  <si>
    <t>Keskkonnatasud</t>
  </si>
  <si>
    <t xml:space="preserve">CO2 koguemissioon </t>
  </si>
  <si>
    <t>20M</t>
  </si>
  <si>
    <t>25M</t>
  </si>
  <si>
    <t>25M: mõju sektoritele</t>
  </si>
  <si>
    <t>15M tonni</t>
  </si>
  <si>
    <t>20M tonni</t>
  </si>
  <si>
    <t>25M tonni</t>
  </si>
  <si>
    <t>20M tonni põlevkivi</t>
  </si>
  <si>
    <t>25M tonni põlevkivi</t>
  </si>
  <si>
    <t>Põlevkiviõli tootmine</t>
  </si>
  <si>
    <t>Fossiilsed kütused</t>
  </si>
  <si>
    <t>Indeksite tabelid</t>
  </si>
  <si>
    <t>Ressursikasutus ja keskkond</t>
  </si>
  <si>
    <t>KOONDINDEKS</t>
  </si>
  <si>
    <t>Indeks / Näitaja</t>
  </si>
  <si>
    <t xml:space="preserve">Kaalud     </t>
  </si>
  <si>
    <t>Väärtus indeksis</t>
  </si>
  <si>
    <t>Tööviljakus</t>
  </si>
  <si>
    <t>Tööhõive</t>
  </si>
  <si>
    <t>SKP kohta</t>
  </si>
  <si>
    <t>%BAAS</t>
  </si>
  <si>
    <t>CO2 koguemissioon/SKP</t>
  </si>
  <si>
    <t>Majanduse seisund</t>
  </si>
  <si>
    <t>Sts.14 Põlevkivi 2</t>
  </si>
  <si>
    <t>Sts.15 Põlevkivi 3</t>
  </si>
  <si>
    <t>Amortisatsioon ja tegevuse ülejääk</t>
  </si>
  <si>
    <t>Eksport-import</t>
  </si>
  <si>
    <t>Eksporditav õli ja elekter</t>
  </si>
  <si>
    <t>%Baas</t>
  </si>
  <si>
    <t>Kivisüsi … (sh Põlevkivi)</t>
  </si>
  <si>
    <t>Võrgukadu (kadu väheneb=eksport kasv)</t>
  </si>
  <si>
    <t>Katkestuskadu  (kadu väheneb=eksport kasv)</t>
  </si>
  <si>
    <t>Võrgukadu  (kadu väheneb=eksport kasv)</t>
  </si>
  <si>
    <t>Katkestuskadu (kadu väheneb=eksport kasv)</t>
  </si>
  <si>
    <t>Ostujõu arvutusse - Reaalne</t>
  </si>
  <si>
    <t>Ostujõu arvutusse - Panustav</t>
  </si>
  <si>
    <t>NB! Märgi muutus + Lisatud laenu teeninduse mõju</t>
  </si>
  <si>
    <t>Kivisüsi (Põlevkivi) ...</t>
  </si>
  <si>
    <t>Energiatarbimine, keskkond - ENMAK Valdkonnad</t>
  </si>
  <si>
    <t xml:space="preserve">Kivisüsi (Põlevkivi)… </t>
  </si>
  <si>
    <t>SKP muutus</t>
  </si>
  <si>
    <t>oli SKP inimese kohta</t>
  </si>
  <si>
    <t>Ressursikasutus</t>
  </si>
  <si>
    <t>Majandusmõjude arvutustabelid</t>
  </si>
  <si>
    <t>CO2 emissioon, tonni</t>
  </si>
  <si>
    <t xml:space="preserve">Sts.16 </t>
  </si>
  <si>
    <t>Sts. 16</t>
  </si>
  <si>
    <t>Eesti suhteline hinnatase</t>
  </si>
  <si>
    <t>JOONISED JA JOONISTE ABITABELID</t>
  </si>
  <si>
    <t>Vahe: 15M - 20M</t>
  </si>
  <si>
    <t>Vahe: 25M - 20M</t>
  </si>
  <si>
    <t>15M: mõju sektoritele</t>
  </si>
  <si>
    <t>2015-2030</t>
  </si>
  <si>
    <t>2015-2050</t>
  </si>
  <si>
    <t>BAU</t>
  </si>
  <si>
    <t>Hooned/ Soojus 2</t>
  </si>
  <si>
    <t>Hooned/ Soojus 3</t>
  </si>
  <si>
    <t>Transport 2</t>
  </si>
  <si>
    <t>Transport 3</t>
  </si>
  <si>
    <t>Kütused 2</t>
  </si>
  <si>
    <t>Kütused 3</t>
  </si>
  <si>
    <t>Elekter 2</t>
  </si>
  <si>
    <t>Elekter 3</t>
  </si>
  <si>
    <t>Elekter 4</t>
  </si>
  <si>
    <t>Elekter 5</t>
  </si>
  <si>
    <t>Võrgud2</t>
  </si>
  <si>
    <t>Võrgud 3</t>
  </si>
  <si>
    <t>Põlevkivi 2</t>
  </si>
  <si>
    <t>Põlevkivi 3</t>
  </si>
  <si>
    <t>JOONIS:  MAJANDUSE SEISUND</t>
  </si>
  <si>
    <t>JOONIS: KONKURENTSIVÕIME</t>
  </si>
  <si>
    <t>JOONIS: RESSURSIKASUTUS</t>
  </si>
  <si>
    <t>Valdkondade tulemuste koondtabelid // Valitud stsenaariumi koondtabel</t>
  </si>
  <si>
    <t>Esitatakse analüüsi tulemused // Defineeritakse stsenaariumid // Juhtpaneel valikute tegemiseks</t>
  </si>
  <si>
    <t xml:space="preserve">Sisend-väljund maatriks (2010) // Leontijevi koefitsiendid </t>
  </si>
  <si>
    <t>Sisestatakse valdkondade stsenaariumite tulemused //               Arvutatakse vahe baasstsenaariumiga //                                         Stsenaariumite mõjud jagatakse majandussektorite vahel</t>
  </si>
  <si>
    <t>CO2 koguemissioon</t>
  </si>
  <si>
    <t>Valdkonna stsenaariumite koond</t>
  </si>
  <si>
    <t>Transpordi energiatarbimisega seotud kulud ja maksud</t>
  </si>
  <si>
    <t>Toorme ostukulu - biometaan</t>
  </si>
  <si>
    <t>Minimaalselt sekkuv</t>
  </si>
  <si>
    <t>Primaarenergia tarbimise jaotus</t>
  </si>
  <si>
    <t>Statistikaamet</t>
  </si>
  <si>
    <t>Fossiilsete kütuste tarbimine, TJ</t>
  </si>
  <si>
    <t>CO2 emissioon, th tonni</t>
  </si>
  <si>
    <t>Valitsemissektori kulutuste jaotus</t>
  </si>
  <si>
    <t>P.3 Lõpptarbimiskulutused %</t>
  </si>
  <si>
    <t>Netosissetuleku arvestus (eurot, keskmise palga põhjal)</t>
  </si>
  <si>
    <t>Netopalk</t>
  </si>
  <si>
    <t>Majapidamiste investeerimise ja säästmise määr</t>
  </si>
  <si>
    <t>Indeksi komponendi väärtus</t>
  </si>
  <si>
    <t>Aprill 2014</t>
  </si>
  <si>
    <t>Sotsiaalmaksud/Brutopalk</t>
  </si>
  <si>
    <t>Tarbimise käibemaks</t>
  </si>
  <si>
    <t>Investeeringu käibemaks</t>
  </si>
  <si>
    <t>RE++ stsenaariumis toimub puidu 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</si>
</sst>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kr&quot;_-;\-* #,##0.00\ &quot;kr&quot;_-;_-* &quot;-&quot;??\ &quot;kr&quot;_-;_-@_-"/>
    <numFmt numFmtId="43" formatCode="_-* #,##0.00\ _k_r_-;\-* #,##0.00\ _k_r_-;_-* &quot;-&quot;??\ _k_r_-;_-@_-"/>
    <numFmt numFmtId="164" formatCode="_-* #,##0.00\ _€_-;\-* #,##0.00\ _€_-;_-* &quot;-&quot;??\ _€_-;_-@_-"/>
    <numFmt numFmtId="165" formatCode="0.0"/>
    <numFmt numFmtId="166" formatCode="#,##0.0"/>
    <numFmt numFmtId="167" formatCode="0.0%"/>
    <numFmt numFmtId="168" formatCode="0.000"/>
    <numFmt numFmtId="169" formatCode="0.0000"/>
    <numFmt numFmtId="170" formatCode="#,##0.000"/>
    <numFmt numFmtId="171" formatCode="#,##0.0000"/>
    <numFmt numFmtId="172" formatCode="_ * #,##0.00_ ;_ * \-#,##0.00_ ;_ * &quot;-&quot;??_ ;_ @_ "/>
    <numFmt numFmtId="173" formatCode="_(* #,##0.00_);_(* \(#,##0.00\);_(* &quot;-&quot;??_);_(@_)"/>
    <numFmt numFmtId="174" formatCode="0\)"/>
  </numFmts>
  <fonts count="157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10"/>
      <color rgb="FFC00000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sz val="10"/>
      <color indexed="8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mbria"/>
      <family val="1"/>
      <charset val="186"/>
      <scheme val="major"/>
    </font>
    <font>
      <sz val="10"/>
      <color rgb="FFFF0000"/>
      <name val="Calibri"/>
      <family val="2"/>
      <charset val="186"/>
      <scheme val="minor"/>
    </font>
    <font>
      <b/>
      <sz val="10"/>
      <color rgb="FFFF0000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Arial"/>
      <family val="2"/>
      <charset val="186"/>
    </font>
    <font>
      <sz val="10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b/>
      <sz val="11"/>
      <color rgb="FFC00000"/>
      <name val="Calibri"/>
      <family val="2"/>
      <charset val="186"/>
      <scheme val="minor"/>
    </font>
    <font>
      <i/>
      <sz val="10"/>
      <color theme="1"/>
      <name val="Calibri"/>
      <family val="2"/>
      <charset val="186"/>
      <scheme val="minor"/>
    </font>
    <font>
      <b/>
      <i/>
      <sz val="10"/>
      <color theme="1"/>
      <name val="Calibri"/>
      <family val="2"/>
      <charset val="186"/>
      <scheme val="minor"/>
    </font>
    <font>
      <u/>
      <sz val="10"/>
      <color indexed="12"/>
      <name val="Arial"/>
      <family val="2"/>
      <charset val="186"/>
    </font>
    <font>
      <b/>
      <sz val="12"/>
      <color rgb="FFC00000"/>
      <name val="Calibri"/>
      <family val="2"/>
      <charset val="186"/>
      <scheme val="minor"/>
    </font>
    <font>
      <b/>
      <sz val="10"/>
      <color theme="3" tint="-0.249977111117893"/>
      <name val="Calibri"/>
      <family val="2"/>
      <charset val="186"/>
      <scheme val="minor"/>
    </font>
    <font>
      <b/>
      <i/>
      <sz val="10"/>
      <color theme="0"/>
      <name val="Calibri"/>
      <family val="2"/>
      <charset val="186"/>
      <scheme val="minor"/>
    </font>
    <font>
      <sz val="10"/>
      <color theme="2" tint="-0.499984740745262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u/>
      <sz val="11"/>
      <color theme="10"/>
      <name val="Calibri"/>
      <family val="2"/>
      <charset val="186"/>
    </font>
    <font>
      <u/>
      <sz val="10"/>
      <color theme="10"/>
      <name val="Arial"/>
      <family val="2"/>
      <charset val="186"/>
    </font>
    <font>
      <u/>
      <sz val="10"/>
      <color theme="10"/>
      <name val="Arial Narrow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sz val="10"/>
      <color theme="1"/>
      <name val="Arial Narrow"/>
      <family val="2"/>
      <charset val="186"/>
    </font>
    <font>
      <sz val="10"/>
      <color indexed="8"/>
      <name val="MS Sans Serif"/>
      <family val="2"/>
      <charset val="186"/>
    </font>
    <font>
      <b/>
      <sz val="11"/>
      <color indexed="63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sz val="11"/>
      <color indexed="10"/>
      <name val="Calibri"/>
      <family val="2"/>
      <charset val="186"/>
    </font>
    <font>
      <sz val="10"/>
      <color theme="2" tint="-0.749992370372631"/>
      <name val="Calibri"/>
      <family val="2"/>
      <charset val="186"/>
      <scheme val="minor"/>
    </font>
    <font>
      <b/>
      <i/>
      <sz val="11"/>
      <color theme="0"/>
      <name val="Calibri"/>
      <family val="2"/>
      <charset val="186"/>
      <scheme val="minor"/>
    </font>
    <font>
      <sz val="10"/>
      <color theme="0" tint="-0.499984740745262"/>
      <name val="Calibri"/>
      <family val="2"/>
      <charset val="186"/>
      <scheme val="minor"/>
    </font>
    <font>
      <sz val="10"/>
      <color theme="0" tint="-0.14999847407452621"/>
      <name val="Calibri"/>
      <family val="2"/>
      <charset val="186"/>
      <scheme val="minor"/>
    </font>
    <font>
      <b/>
      <sz val="10"/>
      <color rgb="FF000000"/>
      <name val="Calibri"/>
      <family val="2"/>
      <charset val="186"/>
      <scheme val="minor"/>
    </font>
    <font>
      <sz val="10"/>
      <color rgb="FF000000"/>
      <name val="Calibri"/>
      <family val="2"/>
      <charset val="186"/>
      <scheme val="minor"/>
    </font>
    <font>
      <b/>
      <sz val="10"/>
      <color theme="2" tint="-0.749992370372631"/>
      <name val="Calibri"/>
      <family val="2"/>
      <charset val="186"/>
      <scheme val="minor"/>
    </font>
    <font>
      <i/>
      <sz val="10"/>
      <name val="Calibri"/>
      <family val="2"/>
      <charset val="186"/>
      <scheme val="minor"/>
    </font>
    <font>
      <b/>
      <sz val="10"/>
      <color theme="0"/>
      <name val="Calibri"/>
      <family val="2"/>
      <charset val="186"/>
      <scheme val="minor"/>
    </font>
    <font>
      <b/>
      <sz val="16"/>
      <color rgb="FFC00000"/>
      <name val="Times New Roman"/>
      <family val="1"/>
      <charset val="186"/>
    </font>
    <font>
      <i/>
      <sz val="9"/>
      <color theme="1"/>
      <name val="Calibri"/>
      <family val="2"/>
      <charset val="186"/>
      <scheme val="minor"/>
    </font>
    <font>
      <i/>
      <sz val="10"/>
      <color rgb="FFFF0000"/>
      <name val="Calibri"/>
      <family val="2"/>
      <charset val="186"/>
      <scheme val="minor"/>
    </font>
    <font>
      <sz val="10"/>
      <color theme="3" tint="-0.499984740745262"/>
      <name val="Calibri"/>
      <family val="2"/>
      <charset val="186"/>
      <scheme val="minor"/>
    </font>
    <font>
      <sz val="10"/>
      <color theme="0"/>
      <name val="Calibri"/>
      <family val="2"/>
      <charset val="186"/>
      <scheme val="minor"/>
    </font>
    <font>
      <b/>
      <sz val="14"/>
      <color rgb="FFC00000"/>
      <name val="Times New Roman"/>
      <family val="1"/>
      <charset val="186"/>
    </font>
    <font>
      <b/>
      <i/>
      <sz val="10"/>
      <name val="Calibri"/>
      <family val="2"/>
      <charset val="186"/>
      <scheme val="minor"/>
    </font>
    <font>
      <i/>
      <sz val="9"/>
      <color theme="2" tint="-0.749992370372631"/>
      <name val="Calibri"/>
      <family val="2"/>
      <charset val="186"/>
      <scheme val="minor"/>
    </font>
    <font>
      <i/>
      <u/>
      <sz val="10"/>
      <color theme="10"/>
      <name val="Calibri"/>
      <family val="2"/>
      <charset val="186"/>
      <scheme val="minor"/>
    </font>
    <font>
      <b/>
      <sz val="11"/>
      <color theme="0"/>
      <name val="Cambria"/>
      <family val="1"/>
      <charset val="186"/>
      <scheme val="major"/>
    </font>
    <font>
      <b/>
      <sz val="10"/>
      <color theme="2" tint="-0.249977111117893"/>
      <name val="Calibri"/>
      <family val="2"/>
      <charset val="186"/>
      <scheme val="minor"/>
    </font>
    <font>
      <sz val="11"/>
      <color theme="2" tint="-0.249977111117893"/>
      <name val="Calibri"/>
      <family val="2"/>
      <charset val="186"/>
      <scheme val="minor"/>
    </font>
    <font>
      <b/>
      <sz val="10"/>
      <color theme="2" tint="-0.89999084444715716"/>
      <name val="Calibri"/>
      <family val="2"/>
      <charset val="186"/>
      <scheme val="minor"/>
    </font>
    <font>
      <b/>
      <sz val="10"/>
      <color indexed="8"/>
      <name val="Calibri"/>
      <family val="2"/>
      <charset val="186"/>
      <scheme val="minor"/>
    </font>
    <font>
      <sz val="10"/>
      <color indexed="8"/>
      <name val="Calibri"/>
      <family val="2"/>
      <charset val="186"/>
      <scheme val="minor"/>
    </font>
    <font>
      <b/>
      <vertAlign val="superscript"/>
      <sz val="10"/>
      <color rgb="FF000000"/>
      <name val="Calibri"/>
      <family val="2"/>
      <charset val="186"/>
      <scheme val="minor"/>
    </font>
    <font>
      <i/>
      <sz val="10"/>
      <color theme="2" tint="-0.749992370372631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sz val="11"/>
      <color theme="2" tint="-0.499984740745262"/>
      <name val="Calibri"/>
      <family val="2"/>
      <charset val="186"/>
      <scheme val="minor"/>
    </font>
    <font>
      <sz val="8"/>
      <color rgb="FF000000"/>
      <name val="Tahoma"/>
      <family val="2"/>
      <charset val="186"/>
    </font>
    <font>
      <sz val="10"/>
      <color theme="5"/>
      <name val="Calibri"/>
      <family val="2"/>
      <charset val="186"/>
      <scheme val="minor"/>
    </font>
    <font>
      <i/>
      <sz val="9"/>
      <name val="Calibri"/>
      <family val="2"/>
      <charset val="186"/>
      <scheme val="minor"/>
    </font>
    <font>
      <b/>
      <sz val="12"/>
      <color rgb="FFC00000"/>
      <name val="Times New Roman"/>
      <family val="1"/>
      <charset val="186"/>
    </font>
    <font>
      <b/>
      <sz val="11"/>
      <color rgb="FFC00000"/>
      <name val="Times New Roman"/>
      <family val="1"/>
      <charset val="186"/>
    </font>
    <font>
      <b/>
      <sz val="10"/>
      <color rgb="FFC00000"/>
      <name val="Times New Roman"/>
      <family val="1"/>
      <charset val="186"/>
    </font>
    <font>
      <sz val="10"/>
      <color rgb="FFC00000"/>
      <name val="Calibri"/>
      <family val="2"/>
      <charset val="186"/>
      <scheme val="minor"/>
    </font>
    <font>
      <b/>
      <sz val="10"/>
      <color theme="1"/>
      <name val="Arial"/>
      <family val="2"/>
      <charset val="186"/>
    </font>
    <font>
      <b/>
      <sz val="9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vertAlign val="superscript"/>
      <sz val="10"/>
      <color rgb="FF000000"/>
      <name val="Calibri"/>
      <family val="2"/>
      <charset val="186"/>
      <scheme val="minor"/>
    </font>
    <font>
      <b/>
      <sz val="14"/>
      <color rgb="FFC00000"/>
      <name val="Cambria"/>
      <family val="1"/>
      <charset val="186"/>
      <scheme val="major"/>
    </font>
    <font>
      <sz val="9"/>
      <color theme="0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i/>
      <sz val="8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86"/>
    </font>
    <font>
      <b/>
      <sz val="11"/>
      <color rgb="FFC00000"/>
      <name val="Calibri"/>
      <family val="2"/>
      <charset val="186"/>
    </font>
    <font>
      <sz val="9"/>
      <color rgb="FF000000"/>
      <name val="Calibri"/>
      <family val="2"/>
      <charset val="186"/>
    </font>
    <font>
      <sz val="11"/>
      <color rgb="FF808080"/>
      <name val="Calibri"/>
      <family val="2"/>
      <charset val="186"/>
    </font>
    <font>
      <b/>
      <sz val="9"/>
      <name val="Calibri"/>
      <family val="2"/>
      <charset val="186"/>
    </font>
    <font>
      <b/>
      <sz val="10"/>
      <name val="Calibri"/>
      <family val="2"/>
      <charset val="186"/>
    </font>
    <font>
      <sz val="9"/>
      <color rgb="FFFF0000"/>
      <name val="Calibri"/>
      <family val="2"/>
      <charset val="186"/>
    </font>
    <font>
      <sz val="9"/>
      <name val="Calibri"/>
      <family val="2"/>
      <charset val="186"/>
    </font>
    <font>
      <sz val="11"/>
      <name val="Calibri"/>
      <family val="2"/>
      <charset val="186"/>
    </font>
    <font>
      <sz val="10"/>
      <name val="Calibri"/>
      <family val="2"/>
      <charset val="186"/>
    </font>
    <font>
      <b/>
      <i/>
      <sz val="10"/>
      <name val="Calibri"/>
      <family val="2"/>
      <charset val="186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0"/>
      <name val="MS Sans Serif"/>
      <family val="2"/>
      <charset val="186"/>
    </font>
    <font>
      <b/>
      <sz val="10"/>
      <color rgb="FFFFFFFF"/>
      <name val="Calibri"/>
      <family val="2"/>
      <charset val="186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theme="5"/>
      <name val="Calibri"/>
      <family val="2"/>
      <charset val="186"/>
    </font>
    <font>
      <sz val="12"/>
      <color rgb="FF000000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color theme="2" tint="-9.9978637043366805E-2"/>
      <name val="Calibri"/>
      <family val="2"/>
      <charset val="186"/>
    </font>
    <font>
      <b/>
      <sz val="10"/>
      <color rgb="FFC00000"/>
      <name val="Calibri"/>
      <family val="2"/>
      <charset val="186"/>
    </font>
    <font>
      <sz val="10"/>
      <color rgb="FF000000"/>
      <name val="Calibri"/>
      <family val="2"/>
      <charset val="186"/>
    </font>
    <font>
      <b/>
      <sz val="10"/>
      <color rgb="FF494529"/>
      <name val="Calibri"/>
      <family val="2"/>
      <charset val="186"/>
    </font>
    <font>
      <b/>
      <sz val="9"/>
      <name val="Calibri"/>
      <family val="2"/>
      <charset val="186"/>
      <scheme val="minor"/>
    </font>
    <font>
      <sz val="10"/>
      <color theme="2" tint="-9.9978637043366805E-2"/>
      <name val="Calibri"/>
      <family val="2"/>
      <charset val="186"/>
      <scheme val="minor"/>
    </font>
    <font>
      <sz val="10"/>
      <color theme="3"/>
      <name val="Calibri"/>
      <family val="2"/>
      <charset val="186"/>
    </font>
    <font>
      <sz val="9"/>
      <color rgb="FFFF0000"/>
      <name val="Calibri"/>
      <family val="2"/>
      <charset val="186"/>
      <scheme val="minor"/>
    </font>
    <font>
      <sz val="10"/>
      <color theme="3" tint="-0.249977111117893"/>
      <name val="Calibri"/>
      <family val="2"/>
      <charset val="186"/>
      <scheme val="minor"/>
    </font>
    <font>
      <sz val="10"/>
      <color theme="3"/>
      <name val="Calibri"/>
      <family val="2"/>
      <charset val="186"/>
      <scheme val="minor"/>
    </font>
    <font>
      <sz val="10"/>
      <name val="Arial"/>
      <family val="2"/>
      <charset val="161"/>
    </font>
    <font>
      <sz val="11"/>
      <color theme="1"/>
      <name val="Calibri"/>
      <family val="2"/>
      <scheme val="minor"/>
    </font>
    <font>
      <b/>
      <sz val="10"/>
      <color theme="3"/>
      <name val="Calibri"/>
      <family val="2"/>
      <charset val="186"/>
    </font>
    <font>
      <b/>
      <i/>
      <sz val="10"/>
      <color theme="3"/>
      <name val="Calibri"/>
      <family val="2"/>
      <charset val="186"/>
    </font>
    <font>
      <u/>
      <sz val="10"/>
      <color theme="10"/>
      <name val="Calibri"/>
      <family val="2"/>
      <charset val="186"/>
      <scheme val="minor"/>
    </font>
    <font>
      <sz val="10"/>
      <color rgb="FF002060"/>
      <name val="Calibri"/>
      <family val="2"/>
      <charset val="186"/>
      <scheme val="minor"/>
    </font>
    <font>
      <b/>
      <sz val="10"/>
      <color indexed="8"/>
      <name val="Calibri"/>
      <family val="2"/>
      <charset val="186"/>
    </font>
    <font>
      <u/>
      <sz val="10"/>
      <color theme="1"/>
      <name val="Calibri"/>
      <family val="2"/>
      <charset val="186"/>
      <scheme val="minor"/>
    </font>
    <font>
      <b/>
      <sz val="10"/>
      <color theme="3"/>
      <name val="Calibri"/>
      <family val="2"/>
      <charset val="186"/>
      <scheme val="minor"/>
    </font>
    <font>
      <b/>
      <sz val="12"/>
      <color indexed="8"/>
      <name val="Calibri"/>
      <family val="2"/>
      <charset val="186"/>
    </font>
    <font>
      <sz val="11"/>
      <color rgb="FFC00000"/>
      <name val="Cambria"/>
      <family val="1"/>
      <charset val="186"/>
      <scheme val="major"/>
    </font>
    <font>
      <i/>
      <sz val="9"/>
      <color theme="0"/>
      <name val="Calibri"/>
      <family val="2"/>
      <charset val="186"/>
      <scheme val="minor"/>
    </font>
    <font>
      <b/>
      <sz val="9"/>
      <color theme="3"/>
      <name val="Calibri"/>
      <family val="2"/>
      <charset val="186"/>
      <scheme val="minor"/>
    </font>
    <font>
      <sz val="10"/>
      <color theme="2" tint="-0.249977111117893"/>
      <name val="Calibri"/>
      <family val="2"/>
      <charset val="186"/>
      <scheme val="minor"/>
    </font>
    <font>
      <b/>
      <sz val="11"/>
      <color rgb="FFC00000"/>
      <name val="Cambria"/>
      <family val="1"/>
      <charset val="186"/>
      <scheme val="major"/>
    </font>
    <font>
      <i/>
      <sz val="11"/>
      <color rgb="FFC00000"/>
      <name val="Cambria"/>
      <family val="1"/>
      <charset val="186"/>
      <scheme val="major"/>
    </font>
    <font>
      <b/>
      <i/>
      <sz val="10"/>
      <color rgb="FFC00000"/>
      <name val="Calibri"/>
      <family val="2"/>
      <charset val="186"/>
      <scheme val="minor"/>
    </font>
    <font>
      <i/>
      <sz val="10"/>
      <color theme="0"/>
      <name val="Times New Roman"/>
      <family val="1"/>
      <charset val="186"/>
    </font>
    <font>
      <b/>
      <sz val="16"/>
      <color rgb="FFC00000"/>
      <name val="Cambria"/>
      <family val="1"/>
      <charset val="186"/>
      <scheme val="major"/>
    </font>
    <font>
      <b/>
      <sz val="9"/>
      <color rgb="FFC00000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9"/>
      <color theme="2" tint="-0.749992370372631"/>
      <name val="Calibri"/>
      <family val="2"/>
      <charset val="186"/>
      <scheme val="minor"/>
    </font>
    <font>
      <u/>
      <sz val="11"/>
      <color theme="10"/>
      <name val="Cambria"/>
      <family val="1"/>
      <charset val="186"/>
      <scheme val="major"/>
    </font>
    <font>
      <b/>
      <sz val="10"/>
      <color rgb="FFC00000"/>
      <name val="Cambria"/>
      <family val="1"/>
      <charset val="186"/>
      <scheme val="major"/>
    </font>
    <font>
      <sz val="10"/>
      <color rgb="FFC00000"/>
      <name val="Cambria"/>
      <family val="1"/>
      <charset val="186"/>
      <scheme val="major"/>
    </font>
    <font>
      <sz val="10"/>
      <name val="Cambria"/>
      <family val="1"/>
      <charset val="186"/>
      <scheme val="major"/>
    </font>
    <font>
      <b/>
      <sz val="10"/>
      <color theme="0"/>
      <name val="Cambria"/>
      <family val="1"/>
      <charset val="186"/>
      <scheme val="major"/>
    </font>
    <font>
      <b/>
      <sz val="10"/>
      <color theme="2" tint="-0.499984740745262"/>
      <name val="Calibri"/>
      <family val="2"/>
      <charset val="186"/>
      <scheme val="minor"/>
    </font>
    <font>
      <sz val="11"/>
      <color theme="4" tint="-0.499984740745262"/>
      <name val="Cambria"/>
      <family val="1"/>
      <charset val="186"/>
      <scheme val="major"/>
    </font>
    <font>
      <i/>
      <sz val="10"/>
      <name val="Calibri"/>
      <family val="2"/>
      <charset val="186"/>
    </font>
    <font>
      <i/>
      <sz val="10"/>
      <color rgb="FF000000"/>
      <name val="Calibri"/>
      <family val="2"/>
      <charset val="186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DAEEF3"/>
        <bgColor rgb="FF000000"/>
      </patternFill>
    </fill>
  </fills>
  <borders count="100">
    <border>
      <left/>
      <right/>
      <top/>
      <bottom/>
      <diagonal/>
    </border>
    <border>
      <left/>
      <right/>
      <top style="thin">
        <color rgb="FFC00000"/>
      </top>
      <bottom style="medium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249977111117893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499984740745262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medium">
        <color theme="2" tint="-0.499984740745262"/>
      </bottom>
      <diagonal/>
    </border>
    <border>
      <left/>
      <right/>
      <top/>
      <bottom style="medium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/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thin">
        <color theme="2" tint="-0.499984740745262"/>
      </right>
      <top style="medium">
        <color theme="2" tint="-0.499984740745262"/>
      </top>
      <bottom/>
      <diagonal/>
    </border>
    <border>
      <left/>
      <right/>
      <top style="medium">
        <color theme="2" tint="-0.249977111117893"/>
      </top>
      <bottom/>
      <diagonal/>
    </border>
    <border>
      <left/>
      <right style="thin">
        <color theme="2" tint="-0.249977111117893"/>
      </right>
      <top style="medium">
        <color theme="2" tint="-0.249977111117893"/>
      </top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medium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4BD97"/>
      </right>
      <top style="thin">
        <color rgb="FFC4BD97"/>
      </top>
      <bottom style="thin">
        <color rgb="FFC4BD97"/>
      </bottom>
      <diagonal/>
    </border>
    <border>
      <left style="thin">
        <color rgb="FFC4BD97"/>
      </left>
      <right style="thin">
        <color rgb="FFC4BD97"/>
      </right>
      <top style="thin">
        <color rgb="FFC4BD97"/>
      </top>
      <bottom style="thin">
        <color rgb="FFC4BD97"/>
      </bottom>
      <diagonal/>
    </border>
    <border>
      <left style="thin">
        <color rgb="FFC4BD97"/>
      </left>
      <right/>
      <top/>
      <bottom/>
      <diagonal/>
    </border>
    <border>
      <left style="thin">
        <color rgb="FFC4BD97"/>
      </left>
      <right style="thin">
        <color theme="2" tint="-0.249977111117893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/>
      <right style="thin">
        <color theme="2" tint="-0.499984740745262"/>
      </right>
      <top/>
      <bottom/>
      <diagonal/>
    </border>
    <border>
      <left/>
      <right style="thin">
        <color indexed="64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 style="thin">
        <color theme="2" tint="-0.249977111117893"/>
      </right>
      <top/>
      <bottom/>
      <diagonal/>
    </border>
    <border>
      <left/>
      <right/>
      <top style="thin">
        <color theme="2" tint="-0.249977111117893"/>
      </top>
      <bottom/>
      <diagonal/>
    </border>
    <border>
      <left style="thin">
        <color rgb="FF948A54"/>
      </left>
      <right style="thin">
        <color rgb="FFC4BD97"/>
      </right>
      <top style="thin">
        <color rgb="FFC4BD97"/>
      </top>
      <bottom/>
      <diagonal/>
    </border>
    <border>
      <left style="thin">
        <color rgb="FFC4BD97"/>
      </left>
      <right style="thin">
        <color rgb="FFC4BD97"/>
      </right>
      <top style="thin">
        <color rgb="FFC4BD97"/>
      </top>
      <bottom/>
      <diagonal/>
    </border>
    <border>
      <left style="thin">
        <color rgb="FF948A54"/>
      </left>
      <right style="thin">
        <color rgb="FFC4BD97"/>
      </right>
      <top style="thin">
        <color rgb="FFC4BD97"/>
      </top>
      <bottom style="thin">
        <color rgb="FFC4BD97"/>
      </bottom>
      <diagonal/>
    </border>
    <border>
      <left/>
      <right/>
      <top style="thick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ck">
        <color theme="2" tint="-0.24994659260841701"/>
      </top>
      <bottom/>
      <diagonal/>
    </border>
    <border>
      <left/>
      <right/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2" tint="-0.249977111117893"/>
      </top>
      <bottom/>
      <diagonal/>
    </border>
    <border>
      <left/>
      <right style="thin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77111117893"/>
      </right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ck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499984740745262"/>
      </left>
      <right/>
      <top/>
      <bottom style="thin">
        <color theme="2" tint="-0.249977111117893"/>
      </bottom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0" fontId="6" fillId="0" borderId="0" applyFill="0" applyProtection="0">
      <alignment vertical="top"/>
    </xf>
    <xf numFmtId="0" fontId="7" fillId="0" borderId="0"/>
    <xf numFmtId="0" fontId="11" fillId="0" borderId="0" applyNumberFormat="0" applyFill="0" applyBorder="0" applyAlignment="0" applyProtection="0"/>
    <xf numFmtId="0" fontId="15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9" fontId="27" fillId="0" borderId="0" applyFont="0" applyFill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9" borderId="0" applyNumberFormat="0" applyBorder="0" applyAlignment="0" applyProtection="0"/>
    <xf numFmtId="0" fontId="31" fillId="13" borderId="0" applyNumberFormat="0" applyBorder="0" applyAlignment="0" applyProtection="0"/>
    <xf numFmtId="0" fontId="32" fillId="30" borderId="13" applyNumberFormat="0" applyAlignment="0" applyProtection="0"/>
    <xf numFmtId="0" fontId="33" fillId="31" borderId="14" applyNumberFormat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8" fillId="0" borderId="17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17" borderId="13" applyNumberFormat="0" applyAlignment="0" applyProtection="0"/>
    <xf numFmtId="0" fontId="43" fillId="0" borderId="18" applyNumberFormat="0" applyFill="0" applyAlignment="0" applyProtection="0"/>
    <xf numFmtId="0" fontId="44" fillId="32" borderId="0" applyNumberFormat="0" applyBorder="0" applyAlignment="0" applyProtection="0"/>
    <xf numFmtId="0" fontId="7" fillId="0" borderId="0"/>
    <xf numFmtId="0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29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" fillId="0" borderId="0"/>
    <xf numFmtId="0" fontId="45" fillId="0" borderId="0"/>
    <xf numFmtId="0" fontId="46" fillId="0" borderId="0"/>
    <xf numFmtId="0" fontId="28" fillId="0" borderId="0"/>
    <xf numFmtId="0" fontId="7" fillId="0" borderId="0"/>
    <xf numFmtId="0" fontId="7" fillId="0" borderId="0"/>
    <xf numFmtId="0" fontId="28" fillId="33" borderId="19" applyNumberFormat="0" applyFont="0" applyAlignment="0" applyProtection="0"/>
    <xf numFmtId="0" fontId="47" fillId="30" borderId="20" applyNumberFormat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1" applyNumberFormat="0" applyFill="0" applyAlignment="0" applyProtection="0"/>
    <xf numFmtId="0" fontId="50" fillId="0" borderId="0" applyNumberFormat="0" applyFill="0" applyBorder="0" applyAlignment="0" applyProtection="0"/>
    <xf numFmtId="0" fontId="95" fillId="0" borderId="0"/>
    <xf numFmtId="9" fontId="95" fillId="0" borderId="0" applyFont="0" applyFill="0" applyBorder="0" applyAlignment="0" applyProtection="0"/>
    <xf numFmtId="0" fontId="1" fillId="0" borderId="0"/>
    <xf numFmtId="0" fontId="28" fillId="0" borderId="0"/>
    <xf numFmtId="0" fontId="1" fillId="0" borderId="0"/>
    <xf numFmtId="172" fontId="28" fillId="39" borderId="0" applyNumberFormat="0" applyFon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94" fillId="40" borderId="0" applyNumberFormat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28" fillId="43" borderId="0" applyNumberFormat="0" applyFont="0" applyBorder="0" applyAlignment="0" applyProtection="0">
      <alignment horizontal="center"/>
    </xf>
    <xf numFmtId="0" fontId="1" fillId="0" borderId="0" applyNumberFormat="0" applyFont="0" applyFill="0" applyBorder="0" applyProtection="0">
      <alignment vertical="center"/>
    </xf>
    <xf numFmtId="0" fontId="28" fillId="0" borderId="0"/>
    <xf numFmtId="0" fontId="108" fillId="0" borderId="0"/>
    <xf numFmtId="0" fontId="108" fillId="0" borderId="0"/>
    <xf numFmtId="0" fontId="28" fillId="0" borderId="0"/>
    <xf numFmtId="0" fontId="109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173" fontId="28" fillId="6" borderId="0" applyNumberFormat="0" applyFont="0" applyBorder="0" applyAlignment="0" applyProtection="0"/>
    <xf numFmtId="173" fontId="28" fillId="44" borderId="0" applyNumberFormat="0" applyFont="0" applyBorder="0" applyAlignment="0" applyProtection="0"/>
    <xf numFmtId="173" fontId="28" fillId="6" borderId="0" applyNumberFormat="0" applyFont="0" applyBorder="0" applyAlignment="0" applyProtection="0"/>
    <xf numFmtId="172" fontId="126" fillId="39" borderId="0" applyNumberFormat="0" applyFont="0" applyBorder="0" applyAlignment="0" applyProtection="0"/>
    <xf numFmtId="172" fontId="127" fillId="0" borderId="0" applyFont="0" applyFill="0" applyBorder="0" applyAlignment="0" applyProtection="0"/>
    <xf numFmtId="172" fontId="127" fillId="0" borderId="0" applyFont="0" applyFill="0" applyBorder="0" applyAlignment="0" applyProtection="0"/>
    <xf numFmtId="0" fontId="28" fillId="48" borderId="0" applyNumberFormat="0" applyFont="0" applyBorder="0" applyAlignment="0" applyProtection="0"/>
    <xf numFmtId="0" fontId="28" fillId="2" borderId="0" applyNumberFormat="0" applyFont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7" fillId="0" borderId="0"/>
    <xf numFmtId="0" fontId="127" fillId="0" borderId="0"/>
    <xf numFmtId="0" fontId="127" fillId="0" borderId="0"/>
    <xf numFmtId="0" fontId="7" fillId="0" borderId="0"/>
    <xf numFmtId="0" fontId="95" fillId="0" borderId="0"/>
    <xf numFmtId="9" fontId="95" fillId="0" borderId="0" applyFont="0" applyFill="0" applyBorder="0" applyAlignment="0" applyProtection="0"/>
    <xf numFmtId="0" fontId="109" fillId="0" borderId="0"/>
    <xf numFmtId="9" fontId="10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168">
    <xf numFmtId="0" fontId="0" fillId="0" borderId="0" xfId="0"/>
    <xf numFmtId="0" fontId="0" fillId="2" borderId="0" xfId="0" applyFill="1"/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/>
    <xf numFmtId="0" fontId="3" fillId="2" borderId="0" xfId="0" applyFont="1" applyFill="1" applyAlignment="1" applyProtection="1">
      <alignment horizontal="left"/>
      <protection locked="0"/>
    </xf>
    <xf numFmtId="3" fontId="5" fillId="2" borderId="0" xfId="0" applyNumberFormat="1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right" wrapText="1"/>
      <protection locked="0"/>
    </xf>
    <xf numFmtId="0" fontId="3" fillId="2" borderId="0" xfId="0" applyFont="1" applyFill="1"/>
    <xf numFmtId="3" fontId="3" fillId="2" borderId="0" xfId="0" applyNumberFormat="1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2" fillId="2" borderId="0" xfId="0" applyFont="1" applyFill="1"/>
    <xf numFmtId="0" fontId="0" fillId="4" borderId="0" xfId="0" applyFill="1"/>
    <xf numFmtId="0" fontId="5" fillId="2" borderId="0" xfId="0" applyFont="1" applyFill="1" applyAlignment="1" applyProtection="1">
      <alignment horizontal="left" indent="1"/>
      <protection locked="0"/>
    </xf>
    <xf numFmtId="0" fontId="8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3" fillId="7" borderId="2" xfId="0" applyFont="1" applyFill="1" applyBorder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/>
      <protection locked="0"/>
    </xf>
    <xf numFmtId="3" fontId="3" fillId="2" borderId="0" xfId="0" applyNumberFormat="1" applyFont="1" applyFill="1"/>
    <xf numFmtId="2" fontId="5" fillId="2" borderId="0" xfId="0" applyNumberFormat="1" applyFont="1" applyFill="1"/>
    <xf numFmtId="2" fontId="3" fillId="2" borderId="0" xfId="0" applyNumberFormat="1" applyFont="1" applyFill="1"/>
    <xf numFmtId="2" fontId="3" fillId="2" borderId="0" xfId="0" applyNumberFormat="1" applyFont="1" applyFill="1" applyAlignment="1" applyProtection="1">
      <protection locked="0"/>
    </xf>
    <xf numFmtId="2" fontId="5" fillId="2" borderId="0" xfId="0" applyNumberFormat="1" applyFont="1" applyFill="1" applyAlignment="1" applyProtection="1">
      <protection locked="0"/>
    </xf>
    <xf numFmtId="2" fontId="3" fillId="7" borderId="0" xfId="0" applyNumberFormat="1" applyFont="1" applyFill="1" applyAlignment="1" applyProtection="1">
      <protection locked="0"/>
    </xf>
    <xf numFmtId="2" fontId="3" fillId="7" borderId="2" xfId="0" applyNumberFormat="1" applyFont="1" applyFill="1" applyBorder="1" applyAlignment="1" applyProtection="1">
      <protection locked="0"/>
    </xf>
    <xf numFmtId="2" fontId="3" fillId="2" borderId="3" xfId="0" applyNumberFormat="1" applyFont="1" applyFill="1" applyBorder="1" applyAlignment="1" applyProtection="1">
      <protection locked="0"/>
    </xf>
    <xf numFmtId="2" fontId="3" fillId="3" borderId="1" xfId="0" applyNumberFormat="1" applyFont="1" applyFill="1" applyBorder="1" applyAlignment="1" applyProtection="1">
      <protection locked="0"/>
    </xf>
    <xf numFmtId="168" fontId="5" fillId="2" borderId="0" xfId="0" applyNumberFormat="1" applyFont="1" applyFill="1"/>
    <xf numFmtId="0" fontId="4" fillId="2" borderId="0" xfId="0" applyFont="1" applyFill="1" applyAlignment="1" applyProtection="1">
      <alignment horizontal="center" wrapText="1"/>
      <protection locked="0"/>
    </xf>
    <xf numFmtId="168" fontId="3" fillId="5" borderId="0" xfId="0" applyNumberFormat="1" applyFont="1" applyFill="1"/>
    <xf numFmtId="168" fontId="3" fillId="2" borderId="0" xfId="0" applyNumberFormat="1" applyFont="1" applyFill="1"/>
    <xf numFmtId="2" fontId="4" fillId="2" borderId="0" xfId="0" applyNumberFormat="1" applyFont="1" applyFill="1" applyAlignment="1" applyProtection="1">
      <alignment horizontal="left"/>
      <protection locked="0"/>
    </xf>
    <xf numFmtId="0" fontId="3" fillId="4" borderId="0" xfId="0" applyFont="1" applyFill="1"/>
    <xf numFmtId="0" fontId="16" fillId="2" borderId="0" xfId="5" applyNumberFormat="1" applyFont="1" applyFill="1" applyBorder="1" applyAlignment="1"/>
    <xf numFmtId="0" fontId="16" fillId="2" borderId="0" xfId="5" applyFont="1" applyFill="1"/>
    <xf numFmtId="0" fontId="17" fillId="2" borderId="0" xfId="5" applyNumberFormat="1" applyFont="1" applyFill="1" applyBorder="1" applyAlignment="1"/>
    <xf numFmtId="0" fontId="18" fillId="2" borderId="0" xfId="0" applyFont="1" applyFill="1"/>
    <xf numFmtId="0" fontId="3" fillId="2" borderId="0" xfId="0" applyFont="1" applyFill="1" applyAlignment="1" applyProtection="1">
      <alignment horizontal="right"/>
      <protection locked="0"/>
    </xf>
    <xf numFmtId="3" fontId="5" fillId="2" borderId="0" xfId="0" applyNumberFormat="1" applyFont="1" applyFill="1"/>
    <xf numFmtId="167" fontId="5" fillId="2" borderId="0" xfId="1" applyNumberFormat="1" applyFont="1" applyFill="1"/>
    <xf numFmtId="3" fontId="16" fillId="2" borderId="0" xfId="5" applyNumberFormat="1" applyFont="1" applyFill="1" applyBorder="1" applyAlignment="1"/>
    <xf numFmtId="0" fontId="19" fillId="2" borderId="0" xfId="0" applyFont="1" applyFill="1"/>
    <xf numFmtId="0" fontId="4" fillId="2" borderId="0" xfId="5" applyNumberFormat="1" applyFont="1" applyFill="1" applyBorder="1" applyAlignment="1"/>
    <xf numFmtId="2" fontId="3" fillId="7" borderId="0" xfId="0" applyNumberFormat="1" applyFont="1" applyFill="1" applyAlignment="1" applyProtection="1">
      <alignment horizontal="right"/>
      <protection locked="0"/>
    </xf>
    <xf numFmtId="167" fontId="5" fillId="0" borderId="4" xfId="0" applyNumberFormat="1" applyFont="1" applyBorder="1"/>
    <xf numFmtId="166" fontId="5" fillId="0" borderId="4" xfId="0" applyNumberFormat="1" applyFont="1" applyBorder="1"/>
    <xf numFmtId="167" fontId="16" fillId="0" borderId="4" xfId="0" applyNumberFormat="1" applyFont="1" applyFill="1" applyBorder="1"/>
    <xf numFmtId="0" fontId="5" fillId="0" borderId="4" xfId="0" applyFont="1" applyBorder="1"/>
    <xf numFmtId="3" fontId="5" fillId="0" borderId="4" xfId="0" applyNumberFormat="1" applyFont="1" applyBorder="1"/>
    <xf numFmtId="3" fontId="5" fillId="11" borderId="4" xfId="0" applyNumberFormat="1" applyFont="1" applyFill="1" applyBorder="1"/>
    <xf numFmtId="0" fontId="16" fillId="0" borderId="4" xfId="0" applyFont="1" applyFill="1" applyBorder="1"/>
    <xf numFmtId="166" fontId="16" fillId="0" borderId="4" xfId="0" applyNumberFormat="1" applyFont="1" applyFill="1" applyBorder="1"/>
    <xf numFmtId="0" fontId="5" fillId="2" borderId="6" xfId="0" applyFont="1" applyFill="1" applyBorder="1"/>
    <xf numFmtId="0" fontId="5" fillId="2" borderId="7" xfId="0" applyFont="1" applyFill="1" applyBorder="1"/>
    <xf numFmtId="0" fontId="3" fillId="2" borderId="5" xfId="0" applyFont="1" applyFill="1" applyBorder="1"/>
    <xf numFmtId="0" fontId="5" fillId="0" borderId="4" xfId="0" applyFont="1" applyBorder="1" applyAlignment="1">
      <alignment horizontal="left" indent="1"/>
    </xf>
    <xf numFmtId="3" fontId="5" fillId="2" borderId="4" xfId="0" applyNumberFormat="1" applyFont="1" applyFill="1" applyBorder="1"/>
    <xf numFmtId="0" fontId="3" fillId="2" borderId="4" xfId="0" applyFont="1" applyFill="1" applyBorder="1"/>
    <xf numFmtId="0" fontId="5" fillId="2" borderId="4" xfId="0" applyFont="1" applyFill="1" applyBorder="1"/>
    <xf numFmtId="168" fontId="5" fillId="2" borderId="4" xfId="0" applyNumberFormat="1" applyFont="1" applyFill="1" applyBorder="1"/>
    <xf numFmtId="0" fontId="3" fillId="11" borderId="4" xfId="0" applyFont="1" applyFill="1" applyBorder="1"/>
    <xf numFmtId="3" fontId="5" fillId="0" borderId="4" xfId="0" applyNumberFormat="1" applyFont="1" applyBorder="1" applyAlignment="1" applyProtection="1">
      <alignment horizontal="right"/>
      <protection locked="0"/>
    </xf>
    <xf numFmtId="10" fontId="5" fillId="2" borderId="0" xfId="1" applyNumberFormat="1" applyFont="1" applyFill="1"/>
    <xf numFmtId="167" fontId="5" fillId="0" borderId="4" xfId="1" applyNumberFormat="1" applyFont="1" applyBorder="1" applyAlignment="1" applyProtection="1">
      <alignment horizontal="right"/>
      <protection locked="0"/>
    </xf>
    <xf numFmtId="3" fontId="5" fillId="2" borderId="6" xfId="0" applyNumberFormat="1" applyFont="1" applyFill="1" applyBorder="1"/>
    <xf numFmtId="0" fontId="3" fillId="2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0" fillId="5" borderId="0" xfId="0" applyFill="1"/>
    <xf numFmtId="0" fontId="5" fillId="5" borderId="0" xfId="0" applyFont="1" applyFill="1"/>
    <xf numFmtId="0" fontId="9" fillId="5" borderId="0" xfId="0" applyFont="1" applyFill="1"/>
    <xf numFmtId="0" fontId="14" fillId="5" borderId="0" xfId="0" applyFont="1" applyFill="1"/>
    <xf numFmtId="165" fontId="5" fillId="5" borderId="0" xfId="0" applyNumberFormat="1" applyFont="1" applyFill="1"/>
    <xf numFmtId="0" fontId="4" fillId="2" borderId="0" xfId="0" applyFont="1" applyFill="1"/>
    <xf numFmtId="167" fontId="0" fillId="5" borderId="0" xfId="1" applyNumberFormat="1" applyFont="1" applyFill="1"/>
    <xf numFmtId="165" fontId="0" fillId="5" borderId="0" xfId="0" applyNumberFormat="1" applyFill="1"/>
    <xf numFmtId="168" fontId="4" fillId="2" borderId="0" xfId="0" applyNumberFormat="1" applyFont="1" applyFill="1" applyAlignment="1" applyProtection="1">
      <alignment horizontal="center" wrapText="1"/>
      <protection locked="0"/>
    </xf>
    <xf numFmtId="0" fontId="22" fillId="2" borderId="0" xfId="0" applyFont="1" applyFill="1" applyAlignment="1" applyProtection="1">
      <alignment horizontal="left"/>
      <protection locked="0"/>
    </xf>
    <xf numFmtId="168" fontId="3" fillId="2" borderId="3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18" fillId="5" borderId="0" xfId="0" applyFont="1" applyFill="1"/>
    <xf numFmtId="0" fontId="19" fillId="2" borderId="0" xfId="0" applyFont="1" applyFill="1" applyAlignment="1" applyProtection="1">
      <alignment horizontal="left"/>
      <protection locked="0"/>
    </xf>
    <xf numFmtId="0" fontId="3" fillId="3" borderId="0" xfId="0" applyFont="1" applyFill="1" applyAlignment="1">
      <alignment wrapText="1"/>
    </xf>
    <xf numFmtId="169" fontId="3" fillId="2" borderId="0" xfId="0" applyNumberFormat="1" applyFont="1" applyFill="1"/>
    <xf numFmtId="0" fontId="3" fillId="2" borderId="0" xfId="0" applyFont="1" applyFill="1" applyBorder="1" applyAlignment="1" applyProtection="1">
      <alignment horizontal="left"/>
      <protection locked="0"/>
    </xf>
    <xf numFmtId="168" fontId="3" fillId="2" borderId="0" xfId="0" applyNumberFormat="1" applyFont="1" applyFill="1" applyBorder="1" applyAlignment="1" applyProtection="1">
      <protection locked="0"/>
    </xf>
    <xf numFmtId="0" fontId="23" fillId="5" borderId="0" xfId="0" applyFont="1" applyFill="1" applyAlignment="1" applyProtection="1">
      <alignment horizontal="left"/>
      <protection locked="0"/>
    </xf>
    <xf numFmtId="2" fontId="23" fillId="5" borderId="0" xfId="0" applyNumberFormat="1" applyFont="1" applyFill="1" applyAlignment="1" applyProtection="1">
      <alignment horizontal="left"/>
      <protection locked="0"/>
    </xf>
    <xf numFmtId="168" fontId="5" fillId="5" borderId="0" xfId="0" applyNumberFormat="1" applyFont="1" applyFill="1"/>
    <xf numFmtId="0" fontId="0" fillId="5" borderId="0" xfId="0" applyFont="1" applyFill="1"/>
    <xf numFmtId="0" fontId="4" fillId="5" borderId="0" xfId="0" applyFont="1" applyFill="1" applyAlignment="1" applyProtection="1">
      <alignment horizontal="left" wrapText="1"/>
      <protection locked="0"/>
    </xf>
    <xf numFmtId="0" fontId="3" fillId="5" borderId="0" xfId="0" applyFont="1" applyFill="1"/>
    <xf numFmtId="9" fontId="4" fillId="5" borderId="0" xfId="0" applyNumberFormat="1" applyFont="1" applyFill="1" applyAlignment="1" applyProtection="1">
      <alignment horizontal="right" wrapText="1"/>
      <protection locked="0"/>
    </xf>
    <xf numFmtId="0" fontId="25" fillId="5" borderId="0" xfId="0" applyFont="1" applyFill="1" applyAlignment="1" applyProtection="1">
      <alignment horizontal="left" wrapText="1"/>
      <protection locked="0"/>
    </xf>
    <xf numFmtId="165" fontId="5" fillId="2" borderId="8" xfId="0" applyNumberFormat="1" applyFont="1" applyFill="1" applyBorder="1"/>
    <xf numFmtId="168" fontId="5" fillId="3" borderId="0" xfId="0" applyNumberFormat="1" applyFont="1" applyFill="1"/>
    <xf numFmtId="0" fontId="5" fillId="4" borderId="0" xfId="0" applyFont="1" applyFill="1"/>
    <xf numFmtId="167" fontId="3" fillId="4" borderId="0" xfId="1" applyNumberFormat="1" applyFont="1" applyFill="1"/>
    <xf numFmtId="0" fontId="17" fillId="2" borderId="8" xfId="0" applyFont="1" applyFill="1" applyBorder="1"/>
    <xf numFmtId="165" fontId="5" fillId="2" borderId="9" xfId="0" applyNumberFormat="1" applyFont="1" applyFill="1" applyBorder="1"/>
    <xf numFmtId="0" fontId="0" fillId="5" borderId="0" xfId="0" applyFill="1" applyBorder="1"/>
    <xf numFmtId="0" fontId="4" fillId="5" borderId="0" xfId="0" applyFont="1" applyFill="1"/>
    <xf numFmtId="0" fontId="26" fillId="5" borderId="0" xfId="0" applyFont="1" applyFill="1"/>
    <xf numFmtId="3" fontId="5" fillId="2" borderId="9" xfId="0" applyNumberFormat="1" applyFont="1" applyFill="1" applyBorder="1"/>
    <xf numFmtId="3" fontId="5" fillId="8" borderId="4" xfId="0" applyNumberFormat="1" applyFont="1" applyFill="1" applyBorder="1"/>
    <xf numFmtId="0" fontId="16" fillId="5" borderId="0" xfId="7" applyFont="1" applyFill="1"/>
    <xf numFmtId="0" fontId="16" fillId="5" borderId="0" xfId="8" applyFont="1" applyFill="1"/>
    <xf numFmtId="9" fontId="10" fillId="5" borderId="0" xfId="7" applyNumberFormat="1" applyFont="1" applyFill="1"/>
    <xf numFmtId="165" fontId="16" fillId="5" borderId="0" xfId="7" applyNumberFormat="1" applyFont="1" applyFill="1"/>
    <xf numFmtId="1" fontId="16" fillId="5" borderId="0" xfId="8" applyNumberFormat="1" applyFont="1" applyFill="1"/>
    <xf numFmtId="0" fontId="17" fillId="5" borderId="0" xfId="8" applyFont="1" applyFill="1" applyAlignment="1">
      <alignment horizontal="left"/>
    </xf>
    <xf numFmtId="0" fontId="16" fillId="5" borderId="0" xfId="8" applyFont="1" applyFill="1" applyAlignment="1">
      <alignment horizontal="left" indent="1"/>
    </xf>
    <xf numFmtId="0" fontId="16" fillId="5" borderId="0" xfId="7" applyFont="1" applyFill="1" applyBorder="1" applyAlignment="1">
      <alignment horizontal="left" indent="1"/>
    </xf>
    <xf numFmtId="10" fontId="16" fillId="5" borderId="0" xfId="9" applyNumberFormat="1" applyFont="1" applyFill="1"/>
    <xf numFmtId="0" fontId="51" fillId="5" borderId="0" xfId="7" applyFont="1" applyFill="1"/>
    <xf numFmtId="0" fontId="25" fillId="5" borderId="0" xfId="8" applyFont="1" applyFill="1"/>
    <xf numFmtId="10" fontId="17" fillId="5" borderId="0" xfId="8" applyNumberFormat="1" applyFont="1" applyFill="1" applyBorder="1" applyAlignment="1">
      <alignment horizontal="left"/>
    </xf>
    <xf numFmtId="10" fontId="17" fillId="5" borderId="0" xfId="8" applyNumberFormat="1" applyFont="1" applyFill="1" applyBorder="1"/>
    <xf numFmtId="0" fontId="16" fillId="5" borderId="0" xfId="8" applyFont="1" applyFill="1" applyBorder="1"/>
    <xf numFmtId="0" fontId="24" fillId="5" borderId="0" xfId="8" applyFont="1" applyFill="1"/>
    <xf numFmtId="0" fontId="25" fillId="5" borderId="0" xfId="0" applyFont="1" applyFill="1"/>
    <xf numFmtId="165" fontId="16" fillId="2" borderId="8" xfId="0" applyNumberFormat="1" applyFont="1" applyFill="1" applyBorder="1"/>
    <xf numFmtId="0" fontId="53" fillId="2" borderId="0" xfId="0" applyFont="1" applyFill="1"/>
    <xf numFmtId="3" fontId="5" fillId="3" borderId="4" xfId="0" applyNumberFormat="1" applyFont="1" applyFill="1" applyBorder="1"/>
    <xf numFmtId="0" fontId="4" fillId="3" borderId="4" xfId="0" applyFont="1" applyFill="1" applyBorder="1"/>
    <xf numFmtId="4" fontId="5" fillId="3" borderId="4" xfId="0" applyNumberFormat="1" applyFont="1" applyFill="1" applyBorder="1"/>
    <xf numFmtId="0" fontId="54" fillId="2" borderId="0" xfId="0" applyFont="1" applyFill="1"/>
    <xf numFmtId="3" fontId="3" fillId="3" borderId="4" xfId="0" applyNumberFormat="1" applyFont="1" applyFill="1" applyBorder="1"/>
    <xf numFmtId="165" fontId="5" fillId="5" borderId="0" xfId="0" applyNumberFormat="1" applyFont="1" applyFill="1" applyBorder="1"/>
    <xf numFmtId="0" fontId="17" fillId="2" borderId="22" xfId="0" applyFont="1" applyFill="1" applyBorder="1"/>
    <xf numFmtId="0" fontId="5" fillId="2" borderId="27" xfId="0" applyFont="1" applyFill="1" applyBorder="1"/>
    <xf numFmtId="0" fontId="0" fillId="2" borderId="27" xfId="0" applyFill="1" applyBorder="1"/>
    <xf numFmtId="0" fontId="0" fillId="2" borderId="26" xfId="0" applyFill="1" applyBorder="1"/>
    <xf numFmtId="168" fontId="5" fillId="2" borderId="28" xfId="0" applyNumberFormat="1" applyFont="1" applyFill="1" applyBorder="1"/>
    <xf numFmtId="4" fontId="5" fillId="0" borderId="4" xfId="0" applyNumberFormat="1" applyFont="1" applyBorder="1"/>
    <xf numFmtId="170" fontId="5" fillId="0" borderId="4" xfId="0" applyNumberFormat="1" applyFont="1" applyBorder="1"/>
    <xf numFmtId="0" fontId="5" fillId="2" borderId="0" xfId="0" applyFont="1" applyFill="1" applyBorder="1"/>
    <xf numFmtId="166" fontId="5" fillId="2" borderId="12" xfId="0" applyNumberFormat="1" applyFont="1" applyFill="1" applyBorder="1"/>
    <xf numFmtId="166" fontId="5" fillId="2" borderId="5" xfId="0" applyNumberFormat="1" applyFont="1" applyFill="1" applyBorder="1"/>
    <xf numFmtId="167" fontId="3" fillId="3" borderId="4" xfId="1" applyNumberFormat="1" applyFont="1" applyFill="1" applyBorder="1"/>
    <xf numFmtId="167" fontId="5" fillId="3" borderId="4" xfId="1" applyNumberFormat="1" applyFont="1" applyFill="1" applyBorder="1"/>
    <xf numFmtId="9" fontId="5" fillId="3" borderId="4" xfId="1" applyFont="1" applyFill="1" applyBorder="1"/>
    <xf numFmtId="0" fontId="18" fillId="5" borderId="0" xfId="0" applyFont="1" applyFill="1" applyBorder="1"/>
    <xf numFmtId="3" fontId="16" fillId="2" borderId="8" xfId="0" applyNumberFormat="1" applyFont="1" applyFill="1" applyBorder="1"/>
    <xf numFmtId="165" fontId="3" fillId="2" borderId="8" xfId="0" applyNumberFormat="1" applyFont="1" applyFill="1" applyBorder="1"/>
    <xf numFmtId="170" fontId="5" fillId="3" borderId="4" xfId="0" applyNumberFormat="1" applyFont="1" applyFill="1" applyBorder="1"/>
    <xf numFmtId="167" fontId="3" fillId="5" borderId="0" xfId="0" applyNumberFormat="1" applyFont="1" applyFill="1"/>
    <xf numFmtId="0" fontId="5" fillId="2" borderId="5" xfId="0" applyFont="1" applyFill="1" applyBorder="1"/>
    <xf numFmtId="0" fontId="3" fillId="2" borderId="5" xfId="0" applyFont="1" applyFill="1" applyBorder="1" applyAlignment="1" applyProtection="1">
      <alignment horizontal="right"/>
      <protection locked="0"/>
    </xf>
    <xf numFmtId="0" fontId="5" fillId="2" borderId="8" xfId="0" applyFont="1" applyFill="1" applyBorder="1" applyAlignment="1" applyProtection="1">
      <alignment horizontal="right" textRotation="90" wrapText="1"/>
      <protection locked="0"/>
    </xf>
    <xf numFmtId="0" fontId="5" fillId="2" borderId="11" xfId="0" applyFont="1" applyFill="1" applyBorder="1" applyAlignment="1" applyProtection="1">
      <alignment horizontal="left"/>
      <protection locked="0"/>
    </xf>
    <xf numFmtId="0" fontId="5" fillId="35" borderId="11" xfId="0" applyFont="1" applyFill="1" applyBorder="1" applyAlignment="1" applyProtection="1">
      <alignment horizontal="left"/>
      <protection locked="0"/>
    </xf>
    <xf numFmtId="0" fontId="5" fillId="35" borderId="11" xfId="0" applyFont="1" applyFill="1" applyBorder="1" applyAlignment="1" applyProtection="1">
      <alignment horizontal="left" indent="1"/>
      <protection locked="0"/>
    </xf>
    <xf numFmtId="9" fontId="25" fillId="35" borderId="11" xfId="0" applyNumberFormat="1" applyFont="1" applyFill="1" applyBorder="1" applyAlignment="1" applyProtection="1">
      <alignment horizontal="left"/>
      <protection locked="0"/>
    </xf>
    <xf numFmtId="0" fontId="5" fillId="35" borderId="11" xfId="0" applyFont="1" applyFill="1" applyBorder="1" applyAlignment="1" applyProtection="1">
      <alignment horizontal="right" textRotation="90"/>
      <protection locked="0"/>
    </xf>
    <xf numFmtId="9" fontId="25" fillId="11" borderId="0" xfId="0" applyNumberFormat="1" applyFont="1" applyFill="1"/>
    <xf numFmtId="3" fontId="5" fillId="2" borderId="0" xfId="0" applyNumberFormat="1" applyFont="1" applyFill="1" applyBorder="1" applyAlignment="1" applyProtection="1">
      <alignment horizontal="left"/>
      <protection locked="0"/>
    </xf>
    <xf numFmtId="3" fontId="5" fillId="2" borderId="0" xfId="0" applyNumberFormat="1" applyFont="1" applyFill="1" applyBorder="1" applyAlignment="1" applyProtection="1">
      <alignment horizontal="right"/>
      <protection locked="0"/>
    </xf>
    <xf numFmtId="3" fontId="3" fillId="2" borderId="0" xfId="0" applyNumberFormat="1" applyFont="1" applyFill="1" applyBorder="1" applyAlignment="1" applyProtection="1">
      <alignment horizontal="right"/>
      <protection locked="0"/>
    </xf>
    <xf numFmtId="3" fontId="3" fillId="2" borderId="0" xfId="0" applyNumberFormat="1" applyFont="1" applyFill="1" applyBorder="1"/>
    <xf numFmtId="0" fontId="3" fillId="3" borderId="0" xfId="0" applyFont="1" applyFill="1" applyBorder="1" applyAlignment="1" applyProtection="1">
      <alignment horizontal="left"/>
      <protection locked="0"/>
    </xf>
    <xf numFmtId="2" fontId="3" fillId="3" borderId="0" xfId="0" applyNumberFormat="1" applyFont="1" applyFill="1" applyBorder="1" applyAlignment="1" applyProtection="1">
      <protection locked="0"/>
    </xf>
    <xf numFmtId="4" fontId="3" fillId="3" borderId="0" xfId="0" applyNumberFormat="1" applyFont="1" applyFill="1" applyAlignment="1" applyProtection="1">
      <alignment horizontal="right"/>
      <protection locked="0"/>
    </xf>
    <xf numFmtId="4" fontId="3" fillId="2" borderId="0" xfId="0" applyNumberFormat="1" applyFont="1" applyFill="1" applyAlignment="1" applyProtection="1">
      <alignment horizontal="right"/>
      <protection locked="0"/>
    </xf>
    <xf numFmtId="4" fontId="5" fillId="2" borderId="0" xfId="0" applyNumberFormat="1" applyFont="1" applyFill="1" applyAlignment="1" applyProtection="1">
      <alignment horizontal="right"/>
      <protection locked="0"/>
    </xf>
    <xf numFmtId="4" fontId="3" fillId="11" borderId="0" xfId="0" applyNumberFormat="1" applyFont="1" applyFill="1" applyAlignment="1" applyProtection="1">
      <alignment horizontal="right"/>
      <protection locked="0"/>
    </xf>
    <xf numFmtId="4" fontId="3" fillId="4" borderId="0" xfId="0" applyNumberFormat="1" applyFont="1" applyFill="1" applyAlignment="1" applyProtection="1">
      <alignment horizontal="right"/>
      <protection locked="0"/>
    </xf>
    <xf numFmtId="168" fontId="5" fillId="2" borderId="23" xfId="0" applyNumberFormat="1" applyFont="1" applyFill="1" applyBorder="1"/>
    <xf numFmtId="0" fontId="3" fillId="2" borderId="25" xfId="0" applyFont="1" applyFill="1" applyBorder="1"/>
    <xf numFmtId="0" fontId="2" fillId="5" borderId="0" xfId="0" applyFont="1" applyFill="1"/>
    <xf numFmtId="0" fontId="4" fillId="2" borderId="8" xfId="0" applyFont="1" applyFill="1" applyBorder="1"/>
    <xf numFmtId="168" fontId="16" fillId="2" borderId="22" xfId="0" applyNumberFormat="1" applyFont="1" applyFill="1" applyBorder="1"/>
    <xf numFmtId="0" fontId="5" fillId="11" borderId="4" xfId="0" applyFont="1" applyFill="1" applyBorder="1"/>
    <xf numFmtId="0" fontId="5" fillId="11" borderId="4" xfId="0" applyFont="1" applyFill="1" applyBorder="1" applyAlignment="1">
      <alignment horizontal="left" indent="1"/>
    </xf>
    <xf numFmtId="0" fontId="4" fillId="11" borderId="4" xfId="0" applyFont="1" applyFill="1" applyBorder="1"/>
    <xf numFmtId="3" fontId="3" fillId="11" borderId="4" xfId="0" applyNumberFormat="1" applyFont="1" applyFill="1" applyBorder="1"/>
    <xf numFmtId="167" fontId="5" fillId="11" borderId="4" xfId="1" applyNumberFormat="1" applyFont="1" applyFill="1" applyBorder="1"/>
    <xf numFmtId="167" fontId="3" fillId="11" borderId="4" xfId="1" applyNumberFormat="1" applyFont="1" applyFill="1" applyBorder="1"/>
    <xf numFmtId="1" fontId="3" fillId="11" borderId="9" xfId="0" applyNumberFormat="1" applyFont="1" applyFill="1" applyBorder="1"/>
    <xf numFmtId="0" fontId="55" fillId="4" borderId="0" xfId="0" applyFont="1" applyFill="1" applyAlignment="1">
      <alignment wrapText="1"/>
    </xf>
    <xf numFmtId="0" fontId="56" fillId="4" borderId="0" xfId="0" applyFont="1" applyFill="1" applyAlignment="1">
      <alignment wrapText="1"/>
    </xf>
    <xf numFmtId="0" fontId="56" fillId="2" borderId="0" xfId="0" applyFont="1" applyFill="1" applyAlignment="1">
      <alignment wrapText="1"/>
    </xf>
    <xf numFmtId="0" fontId="57" fillId="2" borderId="30" xfId="0" applyFont="1" applyFill="1" applyBorder="1"/>
    <xf numFmtId="0" fontId="57" fillId="2" borderId="10" xfId="0" applyFont="1" applyFill="1" applyBorder="1"/>
    <xf numFmtId="165" fontId="5" fillId="2" borderId="31" xfId="0" applyNumberFormat="1" applyFont="1" applyFill="1" applyBorder="1" applyAlignment="1">
      <alignment horizontal="left"/>
    </xf>
    <xf numFmtId="1" fontId="5" fillId="2" borderId="9" xfId="0" applyNumberFormat="1" applyFont="1" applyFill="1" applyBorder="1"/>
    <xf numFmtId="165" fontId="5" fillId="2" borderId="31" xfId="0" applyNumberFormat="1" applyFont="1" applyFill="1" applyBorder="1"/>
    <xf numFmtId="165" fontId="5" fillId="2" borderId="31" xfId="0" applyNumberFormat="1" applyFont="1" applyFill="1" applyBorder="1" applyAlignment="1">
      <alignment horizontal="left" indent="1"/>
    </xf>
    <xf numFmtId="0" fontId="56" fillId="2" borderId="0" xfId="0" applyFont="1" applyFill="1" applyAlignment="1"/>
    <xf numFmtId="9" fontId="5" fillId="2" borderId="31" xfId="1" applyFont="1" applyFill="1" applyBorder="1"/>
    <xf numFmtId="9" fontId="3" fillId="2" borderId="31" xfId="1" applyFont="1" applyFill="1" applyBorder="1"/>
    <xf numFmtId="0" fontId="51" fillId="2" borderId="10" xfId="0" applyFont="1" applyFill="1" applyBorder="1"/>
    <xf numFmtId="0" fontId="22" fillId="2" borderId="0" xfId="0" applyFont="1" applyFill="1" applyAlignment="1"/>
    <xf numFmtId="0" fontId="16" fillId="5" borderId="0" xfId="8" applyFont="1" applyFill="1" applyAlignment="1">
      <alignment wrapText="1"/>
    </xf>
    <xf numFmtId="1" fontId="16" fillId="5" borderId="0" xfId="9" applyNumberFormat="1" applyFont="1" applyFill="1" applyAlignment="1">
      <alignment wrapText="1"/>
    </xf>
    <xf numFmtId="1" fontId="16" fillId="5" borderId="0" xfId="8" applyNumberFormat="1" applyFont="1" applyFill="1" applyAlignment="1">
      <alignment wrapText="1"/>
    </xf>
    <xf numFmtId="0" fontId="16" fillId="5" borderId="0" xfId="7" applyFont="1" applyFill="1" applyAlignment="1">
      <alignment wrapText="1"/>
    </xf>
    <xf numFmtId="10" fontId="58" fillId="5" borderId="0" xfId="8" applyNumberFormat="1" applyFont="1" applyFill="1" applyBorder="1" applyAlignment="1">
      <alignment horizontal="left"/>
    </xf>
    <xf numFmtId="0" fontId="58" fillId="5" borderId="0" xfId="8" applyFont="1" applyFill="1"/>
    <xf numFmtId="0" fontId="9" fillId="5" borderId="0" xfId="8" applyFont="1" applyFill="1"/>
    <xf numFmtId="0" fontId="4" fillId="2" borderId="0" xfId="8" applyFont="1" applyFill="1" applyBorder="1" applyAlignment="1">
      <alignment wrapText="1"/>
    </xf>
    <xf numFmtId="0" fontId="16" fillId="5" borderId="0" xfId="7" applyFont="1" applyFill="1" applyBorder="1" applyAlignment="1">
      <alignment wrapText="1"/>
    </xf>
    <xf numFmtId="0" fontId="16" fillId="5" borderId="0" xfId="8" applyFont="1" applyFill="1" applyBorder="1" applyAlignment="1">
      <alignment wrapText="1"/>
    </xf>
    <xf numFmtId="0" fontId="18" fillId="5" borderId="0" xfId="7" applyFont="1" applyFill="1" applyBorder="1" applyAlignment="1">
      <alignment wrapText="1"/>
    </xf>
    <xf numFmtId="0" fontId="4" fillId="5" borderId="0" xfId="8" applyFont="1" applyFill="1" applyBorder="1"/>
    <xf numFmtId="0" fontId="4" fillId="5" borderId="0" xfId="8" applyFont="1" applyFill="1"/>
    <xf numFmtId="0" fontId="4" fillId="2" borderId="0" xfId="8" applyFont="1" applyFill="1" applyBorder="1"/>
    <xf numFmtId="0" fontId="61" fillId="2" borderId="0" xfId="0" applyFont="1" applyFill="1" applyAlignment="1"/>
    <xf numFmtId="3" fontId="0" fillId="2" borderId="0" xfId="0" applyNumberFormat="1" applyFont="1" applyFill="1" applyAlignment="1" applyProtection="1">
      <alignment horizontal="right"/>
      <protection locked="0"/>
    </xf>
    <xf numFmtId="1" fontId="2" fillId="2" borderId="0" xfId="0" applyNumberFormat="1" applyFont="1" applyFill="1" applyAlignment="1">
      <alignment horizontal="right"/>
    </xf>
    <xf numFmtId="0" fontId="3" fillId="2" borderId="0" xfId="0" applyFont="1" applyFill="1" applyAlignment="1" applyProtection="1">
      <alignment horizontal="right" wrapText="1"/>
      <protection locked="0"/>
    </xf>
    <xf numFmtId="0" fontId="5" fillId="2" borderId="0" xfId="0" applyFont="1" applyFill="1" applyAlignment="1" applyProtection="1">
      <alignment horizontal="left" wrapText="1" indent="1"/>
      <protection locked="0"/>
    </xf>
    <xf numFmtId="0" fontId="5" fillId="3" borderId="0" xfId="0" applyFont="1" applyFill="1" applyAlignment="1" applyProtection="1">
      <alignment horizontal="left" wrapText="1" indent="1"/>
      <protection locked="0"/>
    </xf>
    <xf numFmtId="0" fontId="62" fillId="2" borderId="0" xfId="0" applyFont="1" applyFill="1"/>
    <xf numFmtId="0" fontId="62" fillId="2" borderId="0" xfId="0" applyFont="1" applyFill="1" applyAlignment="1">
      <alignment horizontal="right"/>
    </xf>
    <xf numFmtId="167" fontId="5" fillId="2" borderId="0" xfId="1" applyNumberFormat="1" applyFont="1" applyFill="1" applyAlignment="1">
      <alignment horizontal="left" indent="1"/>
    </xf>
    <xf numFmtId="0" fontId="0" fillId="2" borderId="0" xfId="0" applyFont="1" applyFill="1"/>
    <xf numFmtId="0" fontId="63" fillId="2" borderId="0" xfId="0" applyFont="1" applyFill="1" applyBorder="1"/>
    <xf numFmtId="9" fontId="63" fillId="2" borderId="0" xfId="0" applyNumberFormat="1" applyFont="1" applyFill="1" applyBorder="1"/>
    <xf numFmtId="165" fontId="5" fillId="2" borderId="0" xfId="0" applyNumberFormat="1" applyFont="1" applyFill="1" applyBorder="1"/>
    <xf numFmtId="168" fontId="3" fillId="2" borderId="0" xfId="0" applyNumberFormat="1" applyFont="1" applyFill="1" applyBorder="1"/>
    <xf numFmtId="3" fontId="5" fillId="2" borderId="0" xfId="0" applyNumberFormat="1" applyFont="1" applyFill="1" applyBorder="1"/>
    <xf numFmtId="3" fontId="63" fillId="2" borderId="0" xfId="0" applyNumberFormat="1" applyFont="1" applyFill="1" applyBorder="1"/>
    <xf numFmtId="167" fontId="63" fillId="2" borderId="0" xfId="1" applyNumberFormat="1" applyFont="1" applyFill="1" applyBorder="1"/>
    <xf numFmtId="167" fontId="59" fillId="34" borderId="25" xfId="1" applyNumberFormat="1" applyFont="1" applyFill="1" applyBorder="1" applyAlignment="1" applyProtection="1">
      <protection locked="0"/>
    </xf>
    <xf numFmtId="0" fontId="3" fillId="2" borderId="0" xfId="0" applyFont="1" applyFill="1" applyBorder="1" applyAlignment="1">
      <alignment horizontal="right" wrapText="1"/>
    </xf>
    <xf numFmtId="167" fontId="3" fillId="2" borderId="0" xfId="1" applyNumberFormat="1" applyFont="1" applyFill="1" applyBorder="1"/>
    <xf numFmtId="0" fontId="64" fillId="34" borderId="0" xfId="0" applyFont="1" applyFill="1" applyAlignment="1" applyProtection="1">
      <alignment horizontal="left"/>
      <protection locked="0"/>
    </xf>
    <xf numFmtId="0" fontId="59" fillId="34" borderId="0" xfId="0" applyNumberFormat="1" applyFont="1" applyFill="1" applyAlignment="1" applyProtection="1">
      <protection locked="0"/>
    </xf>
    <xf numFmtId="0" fontId="59" fillId="34" borderId="0" xfId="0" applyNumberFormat="1" applyFont="1" applyFill="1" applyAlignment="1" applyProtection="1">
      <alignment horizontal="right"/>
      <protection locked="0"/>
    </xf>
    <xf numFmtId="4" fontId="5" fillId="2" borderId="25" xfId="0" applyNumberFormat="1" applyFont="1" applyFill="1" applyBorder="1" applyAlignment="1" applyProtection="1">
      <alignment horizontal="right"/>
      <protection locked="0"/>
    </xf>
    <xf numFmtId="168" fontId="0" fillId="2" borderId="0" xfId="0" applyNumberFormat="1" applyFont="1" applyFill="1"/>
    <xf numFmtId="2" fontId="0" fillId="2" borderId="0" xfId="0" applyNumberFormat="1" applyFont="1" applyFill="1"/>
    <xf numFmtId="167" fontId="5" fillId="2" borderId="0" xfId="0" applyNumberFormat="1" applyFont="1" applyFill="1"/>
    <xf numFmtId="0" fontId="3" fillId="2" borderId="0" xfId="0" applyFont="1" applyFill="1" applyBorder="1" applyAlignment="1">
      <alignment wrapText="1"/>
    </xf>
    <xf numFmtId="0" fontId="3" fillId="3" borderId="0" xfId="0" applyFont="1" applyFill="1" applyBorder="1" applyAlignment="1">
      <alignment horizontal="left" wrapText="1"/>
    </xf>
    <xf numFmtId="0" fontId="11" fillId="5" borderId="0" xfId="4" applyFill="1"/>
    <xf numFmtId="0" fontId="65" fillId="5" borderId="0" xfId="0" applyFont="1" applyFill="1" applyAlignment="1">
      <alignment vertic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165" fontId="5" fillId="2" borderId="8" xfId="0" applyNumberFormat="1" applyFont="1" applyFill="1" applyBorder="1" applyAlignment="1">
      <alignment horizontal="left" indent="1"/>
    </xf>
    <xf numFmtId="165" fontId="5" fillId="2" borderId="8" xfId="0" applyNumberFormat="1" applyFont="1" applyFill="1" applyBorder="1" applyAlignment="1">
      <alignment horizontal="left"/>
    </xf>
    <xf numFmtId="165" fontId="16" fillId="2" borderId="8" xfId="0" applyNumberFormat="1" applyFont="1" applyFill="1" applyBorder="1" applyAlignment="1">
      <alignment horizontal="left" indent="1"/>
    </xf>
    <xf numFmtId="165" fontId="16" fillId="2" borderId="8" xfId="0" applyNumberFormat="1" applyFont="1" applyFill="1" applyBorder="1" applyAlignment="1">
      <alignment horizontal="left"/>
    </xf>
    <xf numFmtId="0" fontId="16" fillId="2" borderId="0" xfId="0" applyFont="1" applyFill="1"/>
    <xf numFmtId="0" fontId="55" fillId="4" borderId="0" xfId="0" applyFont="1" applyFill="1" applyAlignment="1"/>
    <xf numFmtId="165" fontId="10" fillId="3" borderId="32" xfId="0" applyNumberFormat="1" applyFont="1" applyFill="1" applyBorder="1" applyAlignment="1">
      <alignment textRotation="90" wrapText="1"/>
    </xf>
    <xf numFmtId="1" fontId="20" fillId="3" borderId="32" xfId="0" applyNumberFormat="1" applyFont="1" applyFill="1" applyBorder="1" applyAlignment="1"/>
    <xf numFmtId="9" fontId="3" fillId="2" borderId="32" xfId="1" applyFont="1" applyFill="1" applyBorder="1"/>
    <xf numFmtId="1" fontId="19" fillId="2" borderId="32" xfId="0" applyNumberFormat="1" applyFont="1" applyFill="1" applyBorder="1" applyAlignment="1"/>
    <xf numFmtId="1" fontId="19" fillId="36" borderId="32" xfId="0" applyNumberFormat="1" applyFont="1" applyFill="1" applyBorder="1" applyAlignment="1"/>
    <xf numFmtId="0" fontId="57" fillId="3" borderId="10" xfId="0" applyFont="1" applyFill="1" applyBorder="1"/>
    <xf numFmtId="0" fontId="57" fillId="3" borderId="8" xfId="0" applyFont="1" applyFill="1" applyBorder="1"/>
    <xf numFmtId="0" fontId="57" fillId="2" borderId="10" xfId="0" applyFont="1" applyFill="1" applyBorder="1" applyAlignment="1">
      <alignment horizontal="right"/>
    </xf>
    <xf numFmtId="165" fontId="3" fillId="2" borderId="0" xfId="0" applyNumberFormat="1" applyFont="1" applyFill="1" applyBorder="1" applyAlignment="1">
      <alignment textRotation="90" wrapText="1"/>
    </xf>
    <xf numFmtId="1" fontId="20" fillId="2" borderId="0" xfId="0" applyNumberFormat="1" applyFont="1" applyFill="1" applyBorder="1" applyAlignment="1"/>
    <xf numFmtId="9" fontId="5" fillId="2" borderId="0" xfId="1" applyFont="1" applyFill="1" applyBorder="1"/>
    <xf numFmtId="9" fontId="3" fillId="2" borderId="0" xfId="1" applyFont="1" applyFill="1" applyBorder="1"/>
    <xf numFmtId="165" fontId="10" fillId="2" borderId="0" xfId="0" applyNumberFormat="1" applyFont="1" applyFill="1" applyBorder="1" applyAlignment="1">
      <alignment textRotation="90" wrapText="1"/>
    </xf>
    <xf numFmtId="0" fontId="51" fillId="3" borderId="10" xfId="0" applyFont="1" applyFill="1" applyBorder="1"/>
    <xf numFmtId="0" fontId="51" fillId="3" borderId="8" xfId="0" applyFont="1" applyFill="1" applyBorder="1"/>
    <xf numFmtId="0" fontId="9" fillId="2" borderId="0" xfId="0" applyFont="1" applyFill="1"/>
    <xf numFmtId="0" fontId="18" fillId="2" borderId="0" xfId="0" applyFont="1" applyFill="1" applyAlignment="1">
      <alignment wrapText="1"/>
    </xf>
    <xf numFmtId="165" fontId="58" fillId="2" borderId="8" xfId="0" applyNumberFormat="1" applyFont="1" applyFill="1" applyBorder="1" applyAlignment="1">
      <alignment horizontal="left"/>
    </xf>
    <xf numFmtId="165" fontId="19" fillId="2" borderId="9" xfId="0" applyNumberFormat="1" applyFont="1" applyFill="1" applyBorder="1"/>
    <xf numFmtId="165" fontId="17" fillId="2" borderId="8" xfId="0" applyNumberFormat="1" applyFont="1" applyFill="1" applyBorder="1"/>
    <xf numFmtId="165" fontId="16" fillId="2" borderId="0" xfId="0" applyNumberFormat="1" applyFont="1" applyFill="1" applyBorder="1" applyAlignment="1">
      <alignment horizontal="left"/>
    </xf>
    <xf numFmtId="3" fontId="19" fillId="2" borderId="9" xfId="0" applyNumberFormat="1" applyFont="1" applyFill="1" applyBorder="1"/>
    <xf numFmtId="167" fontId="63" fillId="2" borderId="0" xfId="0" applyNumberFormat="1" applyFont="1" applyFill="1"/>
    <xf numFmtId="0" fontId="63" fillId="2" borderId="0" xfId="0" applyFont="1" applyFill="1"/>
    <xf numFmtId="165" fontId="66" fillId="2" borderId="0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left" indent="1"/>
    </xf>
    <xf numFmtId="167" fontId="16" fillId="2" borderId="0" xfId="0" applyNumberFormat="1" applyFont="1" applyFill="1"/>
    <xf numFmtId="0" fontId="4" fillId="2" borderId="0" xfId="8" applyFont="1" applyFill="1" applyBorder="1" applyAlignment="1">
      <alignment horizontal="right" wrapText="1"/>
    </xf>
    <xf numFmtId="0" fontId="55" fillId="2" borderId="0" xfId="0" applyFont="1" applyFill="1" applyBorder="1" applyAlignment="1"/>
    <xf numFmtId="0" fontId="56" fillId="2" borderId="0" xfId="0" applyFont="1" applyFill="1" applyBorder="1" applyAlignment="1">
      <alignment wrapText="1"/>
    </xf>
    <xf numFmtId="0" fontId="56" fillId="2" borderId="0" xfId="0" applyFont="1" applyFill="1" applyBorder="1" applyAlignment="1">
      <alignment horizontal="left" wrapText="1"/>
    </xf>
    <xf numFmtId="1" fontId="20" fillId="2" borderId="0" xfId="0" applyNumberFormat="1" applyFont="1" applyFill="1" applyBorder="1" applyAlignment="1">
      <alignment horizontal="left"/>
    </xf>
    <xf numFmtId="1" fontId="4" fillId="5" borderId="0" xfId="8" applyNumberFormat="1" applyFont="1" applyFill="1"/>
    <xf numFmtId="0" fontId="51" fillId="2" borderId="10" xfId="0" applyFont="1" applyFill="1" applyBorder="1" applyAlignment="1">
      <alignment horizontal="left" indent="1"/>
    </xf>
    <xf numFmtId="0" fontId="51" fillId="2" borderId="10" xfId="0" applyFont="1" applyFill="1" applyBorder="1" applyAlignment="1">
      <alignment horizontal="left" indent="2"/>
    </xf>
    <xf numFmtId="0" fontId="4" fillId="5" borderId="0" xfId="7" applyFont="1" applyFill="1" applyBorder="1" applyAlignment="1">
      <alignment wrapText="1"/>
    </xf>
    <xf numFmtId="0" fontId="67" fillId="2" borderId="10" xfId="0" applyFont="1" applyFill="1" applyBorder="1" applyAlignment="1">
      <alignment horizontal="right"/>
    </xf>
    <xf numFmtId="0" fontId="4" fillId="5" borderId="8" xfId="0" applyFont="1" applyFill="1" applyBorder="1"/>
    <xf numFmtId="3" fontId="51" fillId="2" borderId="10" xfId="0" applyNumberFormat="1" applyFont="1" applyFill="1" applyBorder="1"/>
    <xf numFmtId="0" fontId="57" fillId="5" borderId="10" xfId="0" applyFont="1" applyFill="1" applyBorder="1"/>
    <xf numFmtId="3" fontId="19" fillId="2" borderId="32" xfId="110" applyNumberFormat="1" applyFont="1" applyFill="1" applyBorder="1"/>
    <xf numFmtId="165" fontId="5" fillId="2" borderId="32" xfId="0" applyNumberFormat="1" applyFont="1" applyFill="1" applyBorder="1" applyAlignment="1">
      <alignment textRotation="90" wrapText="1"/>
    </xf>
    <xf numFmtId="3" fontId="5" fillId="2" borderId="32" xfId="110" applyNumberFormat="1" applyFont="1" applyFill="1" applyBorder="1"/>
    <xf numFmtId="0" fontId="60" fillId="5" borderId="0" xfId="0" applyFont="1" applyFill="1" applyAlignment="1">
      <alignment vertical="center"/>
    </xf>
    <xf numFmtId="0" fontId="59" fillId="37" borderId="23" xfId="7" applyFont="1" applyFill="1" applyBorder="1" applyAlignment="1">
      <alignment horizontal="left"/>
    </xf>
    <xf numFmtId="0" fontId="59" fillId="37" borderId="23" xfId="7" applyFont="1" applyFill="1" applyBorder="1"/>
    <xf numFmtId="0" fontId="59" fillId="37" borderId="0" xfId="8" applyFont="1" applyFill="1" applyBorder="1" applyAlignment="1">
      <alignment horizontal="center" vertical="top" wrapText="1"/>
    </xf>
    <xf numFmtId="0" fontId="16" fillId="5" borderId="0" xfId="7" applyFont="1" applyFill="1" applyBorder="1"/>
    <xf numFmtId="0" fontId="68" fillId="5" borderId="0" xfId="4" applyFont="1" applyFill="1"/>
    <xf numFmtId="0" fontId="69" fillId="37" borderId="0" xfId="0" applyFont="1" applyFill="1"/>
    <xf numFmtId="0" fontId="70" fillId="2" borderId="10" xfId="0" applyFont="1" applyFill="1" applyBorder="1" applyAlignment="1">
      <alignment horizontal="right"/>
    </xf>
    <xf numFmtId="0" fontId="70" fillId="2" borderId="24" xfId="0" applyFont="1" applyFill="1" applyBorder="1"/>
    <xf numFmtId="0" fontId="0" fillId="5" borderId="0" xfId="0" applyFont="1" applyFill="1" applyAlignment="1">
      <alignment horizontal="right"/>
    </xf>
    <xf numFmtId="0" fontId="5" fillId="2" borderId="29" xfId="0" applyFont="1" applyFill="1" applyBorder="1" applyAlignment="1">
      <alignment horizontal="right" textRotation="90" wrapText="1"/>
    </xf>
    <xf numFmtId="0" fontId="51" fillId="2" borderId="0" xfId="0" applyFont="1" applyFill="1" applyBorder="1"/>
    <xf numFmtId="0" fontId="51" fillId="2" borderId="10" xfId="0" applyFont="1" applyFill="1" applyBorder="1" applyAlignment="1">
      <alignment horizontal="left"/>
    </xf>
    <xf numFmtId="0" fontId="25" fillId="5" borderId="0" xfId="7" applyFont="1" applyFill="1" applyAlignment="1">
      <alignment vertical="center"/>
    </xf>
    <xf numFmtId="0" fontId="22" fillId="5" borderId="0" xfId="7" applyFont="1" applyFill="1" applyBorder="1" applyAlignment="1">
      <alignment vertical="center" wrapText="1"/>
    </xf>
    <xf numFmtId="0" fontId="51" fillId="5" borderId="0" xfId="0" applyFont="1" applyFill="1" applyBorder="1" applyAlignment="1">
      <alignment horizontal="left"/>
    </xf>
    <xf numFmtId="0" fontId="57" fillId="5" borderId="0" xfId="0" applyFont="1" applyFill="1" applyBorder="1" applyAlignment="1">
      <alignment horizontal="right"/>
    </xf>
    <xf numFmtId="3" fontId="51" fillId="5" borderId="0" xfId="0" applyNumberFormat="1" applyFont="1" applyFill="1" applyBorder="1"/>
    <xf numFmtId="0" fontId="51" fillId="2" borderId="8" xfId="0" applyFont="1" applyFill="1" applyBorder="1" applyAlignment="1">
      <alignment horizontal="left"/>
    </xf>
    <xf numFmtId="0" fontId="57" fillId="2" borderId="8" xfId="0" applyFont="1" applyFill="1" applyBorder="1" applyAlignment="1">
      <alignment horizontal="right"/>
    </xf>
    <xf numFmtId="3" fontId="51" fillId="2" borderId="8" xfId="0" applyNumberFormat="1" applyFont="1" applyFill="1" applyBorder="1"/>
    <xf numFmtId="0" fontId="17" fillId="2" borderId="0" xfId="0" applyFont="1" applyFill="1"/>
    <xf numFmtId="0" fontId="16" fillId="2" borderId="0" xfId="0" applyFont="1" applyFill="1" applyAlignment="1" applyProtection="1">
      <alignment horizontal="right" textRotation="90" wrapText="1"/>
      <protection locked="0"/>
    </xf>
    <xf numFmtId="0" fontId="71" fillId="5" borderId="0" xfId="0" applyFont="1" applyFill="1"/>
    <xf numFmtId="0" fontId="57" fillId="7" borderId="10" xfId="0" applyFont="1" applyFill="1" applyBorder="1"/>
    <xf numFmtId="0" fontId="57" fillId="7" borderId="10" xfId="0" applyFont="1" applyFill="1" applyBorder="1" applyAlignment="1">
      <alignment horizontal="right"/>
    </xf>
    <xf numFmtId="3" fontId="51" fillId="7" borderId="10" xfId="0" applyNumberFormat="1" applyFont="1" applyFill="1" applyBorder="1"/>
    <xf numFmtId="0" fontId="67" fillId="7" borderId="10" xfId="0" applyFont="1" applyFill="1" applyBorder="1" applyAlignment="1">
      <alignment horizontal="right"/>
    </xf>
    <xf numFmtId="0" fontId="59" fillId="37" borderId="33" xfId="7" applyFont="1" applyFill="1" applyBorder="1" applyAlignment="1">
      <alignment horizontal="left"/>
    </xf>
    <xf numFmtId="0" fontId="59" fillId="37" borderId="33" xfId="7" applyFont="1" applyFill="1" applyBorder="1"/>
    <xf numFmtId="3" fontId="16" fillId="2" borderId="0" xfId="7" applyNumberFormat="1" applyFont="1" applyFill="1" applyBorder="1"/>
    <xf numFmtId="0" fontId="16" fillId="2" borderId="0" xfId="7" applyFont="1" applyFill="1" applyBorder="1" applyAlignment="1">
      <alignment horizontal="left"/>
    </xf>
    <xf numFmtId="0" fontId="16" fillId="2" borderId="23" xfId="7" applyFont="1" applyFill="1" applyBorder="1" applyAlignment="1">
      <alignment horizontal="left"/>
    </xf>
    <xf numFmtId="2" fontId="5" fillId="11" borderId="0" xfId="0" applyNumberFormat="1" applyFont="1" applyFill="1"/>
    <xf numFmtId="1" fontId="16" fillId="2" borderId="8" xfId="0" applyNumberFormat="1" applyFont="1" applyFill="1" applyBorder="1"/>
    <xf numFmtId="165" fontId="5" fillId="2" borderId="0" xfId="0" applyNumberFormat="1" applyFont="1" applyFill="1" applyBorder="1" applyAlignment="1">
      <alignment textRotation="90" wrapText="1"/>
    </xf>
    <xf numFmtId="1" fontId="19" fillId="2" borderId="0" xfId="0" applyNumberFormat="1" applyFont="1" applyFill="1" applyBorder="1" applyAlignment="1"/>
    <xf numFmtId="0" fontId="57" fillId="3" borderId="0" xfId="0" applyFont="1" applyFill="1" applyBorder="1"/>
    <xf numFmtId="0" fontId="17" fillId="2" borderId="0" xfId="0" applyFont="1" applyFill="1" applyAlignment="1" applyProtection="1">
      <alignment horizontal="center" wrapText="1"/>
      <protection locked="0"/>
    </xf>
    <xf numFmtId="168" fontId="16" fillId="2" borderId="0" xfId="0" applyNumberFormat="1" applyFont="1" applyFill="1"/>
    <xf numFmtId="165" fontId="5" fillId="2" borderId="31" xfId="0" applyNumberFormat="1" applyFont="1" applyFill="1" applyBorder="1" applyAlignment="1">
      <alignment textRotation="90" wrapText="1"/>
    </xf>
    <xf numFmtId="165" fontId="3" fillId="2" borderId="31" xfId="0" applyNumberFormat="1" applyFont="1" applyFill="1" applyBorder="1" applyAlignment="1">
      <alignment textRotation="90" wrapText="1"/>
    </xf>
    <xf numFmtId="165" fontId="19" fillId="2" borderId="31" xfId="0" applyNumberFormat="1" applyFont="1" applyFill="1" applyBorder="1" applyAlignment="1">
      <alignment horizontal="right"/>
    </xf>
    <xf numFmtId="1" fontId="19" fillId="2" borderId="31" xfId="0" applyNumberFormat="1" applyFont="1" applyFill="1" applyBorder="1" applyAlignment="1"/>
    <xf numFmtId="1" fontId="20" fillId="2" borderId="31" xfId="0" applyNumberFormat="1" applyFont="1" applyFill="1" applyBorder="1" applyAlignment="1"/>
    <xf numFmtId="165" fontId="5" fillId="3" borderId="31" xfId="0" applyNumberFormat="1" applyFont="1" applyFill="1" applyBorder="1"/>
    <xf numFmtId="9" fontId="3" fillId="3" borderId="31" xfId="1" applyFont="1" applyFill="1" applyBorder="1"/>
    <xf numFmtId="0" fontId="72" fillId="2" borderId="0" xfId="8" applyFont="1" applyFill="1" applyBorder="1" applyAlignment="1">
      <alignment wrapText="1"/>
    </xf>
    <xf numFmtId="0" fontId="72" fillId="2" borderId="0" xfId="8" applyFont="1" applyFill="1" applyBorder="1"/>
    <xf numFmtId="0" fontId="72" fillId="2" borderId="0" xfId="8" applyFont="1" applyFill="1" applyBorder="1" applyAlignment="1">
      <alignment horizontal="center" wrapText="1"/>
    </xf>
    <xf numFmtId="1" fontId="4" fillId="5" borderId="0" xfId="8" applyNumberFormat="1" applyFont="1" applyFill="1" applyAlignment="1">
      <alignment horizontal="center"/>
    </xf>
    <xf numFmtId="0" fontId="73" fillId="2" borderId="0" xfId="2" applyFont="1" applyFill="1" applyProtection="1">
      <alignment vertical="top"/>
    </xf>
    <xf numFmtId="0" fontId="74" fillId="2" borderId="0" xfId="2" applyFont="1" applyFill="1" applyProtection="1">
      <alignment vertical="top"/>
    </xf>
    <xf numFmtId="0" fontId="55" fillId="0" borderId="0" xfId="0" applyFont="1" applyAlignment="1">
      <alignment horizontal="left" vertical="center"/>
    </xf>
    <xf numFmtId="0" fontId="56" fillId="2" borderId="0" xfId="0" quotePrefix="1" applyFont="1" applyFill="1" applyAlignment="1"/>
    <xf numFmtId="0" fontId="5" fillId="2" borderId="0" xfId="0" applyFont="1" applyFill="1" applyAlignment="1"/>
    <xf numFmtId="0" fontId="57" fillId="2" borderId="0" xfId="0" applyFont="1" applyFill="1" applyBorder="1"/>
    <xf numFmtId="0" fontId="51" fillId="2" borderId="0" xfId="0" applyFont="1" applyFill="1" applyBorder="1" applyAlignment="1">
      <alignment horizontal="left" indent="1"/>
    </xf>
    <xf numFmtId="0" fontId="51" fillId="2" borderId="0" xfId="0" applyFont="1" applyFill="1" applyBorder="1" applyAlignment="1">
      <alignment horizontal="left" indent="2"/>
    </xf>
    <xf numFmtId="0" fontId="51" fillId="2" borderId="0" xfId="0" applyFont="1" applyFill="1" applyBorder="1" applyAlignment="1">
      <alignment horizontal="left"/>
    </xf>
    <xf numFmtId="0" fontId="70" fillId="37" borderId="0" xfId="8" applyFont="1" applyFill="1" applyBorder="1" applyAlignment="1">
      <alignment horizontal="center" vertical="top" wrapText="1"/>
    </xf>
    <xf numFmtId="0" fontId="5" fillId="2" borderId="34" xfId="0" applyFont="1" applyFill="1" applyBorder="1"/>
    <xf numFmtId="0" fontId="51" fillId="2" borderId="34" xfId="0" applyFont="1" applyFill="1" applyBorder="1"/>
    <xf numFmtId="0" fontId="22" fillId="5" borderId="0" xfId="7" applyFont="1" applyFill="1" applyBorder="1" applyAlignment="1">
      <alignment wrapText="1"/>
    </xf>
    <xf numFmtId="0" fontId="25" fillId="5" borderId="0" xfId="7" applyFont="1" applyFill="1"/>
    <xf numFmtId="0" fontId="76" fillId="2" borderId="0" xfId="0" applyFont="1" applyFill="1" applyBorder="1"/>
    <xf numFmtId="9" fontId="16" fillId="5" borderId="0" xfId="7" applyNumberFormat="1" applyFont="1" applyFill="1" applyBorder="1"/>
    <xf numFmtId="165" fontId="16" fillId="5" borderId="0" xfId="7" applyNumberFormat="1" applyFont="1" applyFill="1" applyBorder="1"/>
    <xf numFmtId="10" fontId="77" fillId="5" borderId="0" xfId="8" applyNumberFormat="1" applyFont="1" applyFill="1" applyBorder="1"/>
    <xf numFmtId="170" fontId="58" fillId="2" borderId="0" xfId="7" applyNumberFormat="1" applyFont="1" applyFill="1" applyBorder="1"/>
    <xf numFmtId="2" fontId="5" fillId="4" borderId="0" xfId="0" applyNumberFormat="1" applyFont="1" applyFill="1"/>
    <xf numFmtId="2" fontId="0" fillId="4" borderId="0" xfId="0" applyNumberFormat="1" applyFill="1"/>
    <xf numFmtId="165" fontId="5" fillId="4" borderId="0" xfId="0" applyNumberFormat="1" applyFont="1" applyFill="1" applyAlignment="1">
      <alignment horizontal="right" textRotation="90"/>
    </xf>
    <xf numFmtId="0" fontId="78" fillId="5" borderId="0" xfId="0" applyFont="1" applyFill="1"/>
    <xf numFmtId="0" fontId="4" fillId="5" borderId="0" xfId="8" applyFont="1" applyFill="1" applyAlignment="1">
      <alignment horizontal="center"/>
    </xf>
    <xf numFmtId="0" fontId="59" fillId="37" borderId="33" xfId="7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1" fontId="5" fillId="2" borderId="11" xfId="0" applyNumberFormat="1" applyFont="1" applyFill="1" applyBorder="1"/>
    <xf numFmtId="1" fontId="5" fillId="2" borderId="8" xfId="0" applyNumberFormat="1" applyFont="1" applyFill="1" applyBorder="1"/>
    <xf numFmtId="0" fontId="80" fillId="2" borderId="0" xfId="0" applyFont="1" applyFill="1"/>
    <xf numFmtId="0" fontId="80" fillId="38" borderId="0" xfId="0" applyFont="1" applyFill="1"/>
    <xf numFmtId="171" fontId="5" fillId="2" borderId="6" xfId="0" applyNumberFormat="1" applyFont="1" applyFill="1" applyBorder="1"/>
    <xf numFmtId="0" fontId="77" fillId="5" borderId="0" xfId="7" applyFont="1" applyFill="1" applyBorder="1" applyAlignment="1">
      <alignment horizontal="left"/>
    </xf>
    <xf numFmtId="0" fontId="83" fillId="5" borderId="0" xfId="0" applyFont="1" applyFill="1" applyAlignment="1">
      <alignment vertical="center"/>
    </xf>
    <xf numFmtId="0" fontId="61" fillId="2" borderId="0" xfId="0" applyFont="1" applyFill="1" applyAlignment="1" applyProtection="1">
      <alignment horizontal="left"/>
      <protection locked="0"/>
    </xf>
    <xf numFmtId="0" fontId="16" fillId="5" borderId="0" xfId="8" applyFont="1" applyFill="1" applyAlignment="1">
      <alignment horizontal="center"/>
    </xf>
    <xf numFmtId="0" fontId="16" fillId="2" borderId="23" xfId="7" applyFont="1" applyFill="1" applyBorder="1" applyAlignment="1">
      <alignment horizontal="left" indent="1"/>
    </xf>
    <xf numFmtId="0" fontId="84" fillId="5" borderId="0" xfId="0" applyFont="1" applyFill="1" applyAlignment="1">
      <alignment vertical="center"/>
    </xf>
    <xf numFmtId="0" fontId="16" fillId="2" borderId="0" xfId="0" applyFont="1" applyFill="1" applyAlignment="1" applyProtection="1">
      <alignment horizontal="right"/>
      <protection locked="0"/>
    </xf>
    <xf numFmtId="0" fontId="85" fillId="2" borderId="0" xfId="0" applyFont="1" applyFill="1" applyAlignment="1" applyProtection="1">
      <alignment horizontal="center" wrapText="1"/>
      <protection locked="0"/>
    </xf>
    <xf numFmtId="0" fontId="16" fillId="2" borderId="0" xfId="0" applyFont="1" applyFill="1" applyAlignment="1" applyProtection="1">
      <alignment horizontal="center" wrapText="1"/>
      <protection locked="0"/>
    </xf>
    <xf numFmtId="10" fontId="82" fillId="5" borderId="0" xfId="8" applyNumberFormat="1" applyFont="1" applyFill="1" applyBorder="1" applyAlignment="1">
      <alignment horizontal="left" vertical="center"/>
    </xf>
    <xf numFmtId="0" fontId="25" fillId="5" borderId="0" xfId="7" applyFont="1" applyFill="1" applyAlignment="1">
      <alignment horizontal="left"/>
    </xf>
    <xf numFmtId="0" fontId="25" fillId="5" borderId="0" xfId="7" applyFont="1" applyFill="1" applyAlignment="1">
      <alignment horizontal="center"/>
    </xf>
    <xf numFmtId="0" fontId="3" fillId="2" borderId="25" xfId="0" applyFont="1" applyFill="1" applyBorder="1" applyAlignment="1">
      <alignment horizontal="left"/>
    </xf>
    <xf numFmtId="0" fontId="3" fillId="2" borderId="25" xfId="0" applyFont="1" applyFill="1" applyBorder="1" applyAlignment="1">
      <alignment horizontal="left" vertical="top" indent="3"/>
    </xf>
    <xf numFmtId="0" fontId="0" fillId="2" borderId="25" xfId="0" applyFont="1" applyFill="1" applyBorder="1" applyAlignment="1">
      <alignment horizontal="right"/>
    </xf>
    <xf numFmtId="0" fontId="5" fillId="2" borderId="37" xfId="0" applyFont="1" applyFill="1" applyBorder="1" applyAlignment="1">
      <alignment horizontal="right" textRotation="90" wrapText="1"/>
    </xf>
    <xf numFmtId="168" fontId="3" fillId="2" borderId="35" xfId="0" applyNumberFormat="1" applyFont="1" applyFill="1" applyBorder="1"/>
    <xf numFmtId="0" fontId="5" fillId="2" borderId="39" xfId="0" applyFont="1" applyFill="1" applyBorder="1" applyAlignment="1">
      <alignment horizontal="right" textRotation="90" wrapText="1"/>
    </xf>
    <xf numFmtId="168" fontId="5" fillId="2" borderId="36" xfId="0" applyNumberFormat="1" applyFont="1" applyFill="1" applyBorder="1"/>
    <xf numFmtId="0" fontId="85" fillId="5" borderId="0" xfId="0" applyFont="1" applyFill="1"/>
    <xf numFmtId="0" fontId="19" fillId="5" borderId="0" xfId="0" applyFont="1" applyFill="1"/>
    <xf numFmtId="1" fontId="5" fillId="2" borderId="0" xfId="0" applyNumberFormat="1" applyFont="1" applyFill="1"/>
    <xf numFmtId="1" fontId="3" fillId="2" borderId="0" xfId="0" applyNumberFormat="1" applyFont="1" applyFill="1" applyAlignment="1" applyProtection="1">
      <alignment horizontal="right"/>
      <protection locked="0"/>
    </xf>
    <xf numFmtId="1" fontId="5" fillId="2" borderId="0" xfId="0" applyNumberFormat="1" applyFont="1" applyFill="1" applyAlignment="1" applyProtection="1">
      <alignment horizontal="right"/>
      <protection locked="0"/>
    </xf>
    <xf numFmtId="1" fontId="3" fillId="3" borderId="0" xfId="0" applyNumberFormat="1" applyFont="1" applyFill="1" applyAlignment="1" applyProtection="1">
      <alignment horizontal="right"/>
      <protection locked="0"/>
    </xf>
    <xf numFmtId="1" fontId="3" fillId="11" borderId="0" xfId="0" applyNumberFormat="1" applyFont="1" applyFill="1" applyAlignment="1" applyProtection="1">
      <alignment horizontal="right"/>
      <protection locked="0"/>
    </xf>
    <xf numFmtId="1" fontId="3" fillId="4" borderId="0" xfId="0" applyNumberFormat="1" applyFont="1" applyFill="1" applyAlignment="1" applyProtection="1">
      <alignment horizontal="right"/>
      <protection locked="0"/>
    </xf>
    <xf numFmtId="1" fontId="3" fillId="2" borderId="0" xfId="0" applyNumberFormat="1" applyFont="1" applyFill="1" applyAlignment="1" applyProtection="1">
      <protection locked="0"/>
    </xf>
    <xf numFmtId="1" fontId="5" fillId="2" borderId="0" xfId="0" applyNumberFormat="1" applyFont="1" applyFill="1" applyAlignment="1" applyProtection="1">
      <protection locked="0"/>
    </xf>
    <xf numFmtId="1" fontId="3" fillId="7" borderId="0" xfId="0" applyNumberFormat="1" applyFont="1" applyFill="1" applyAlignment="1" applyProtection="1">
      <protection locked="0"/>
    </xf>
    <xf numFmtId="1" fontId="3" fillId="7" borderId="2" xfId="0" applyNumberFormat="1" applyFont="1" applyFill="1" applyBorder="1" applyAlignment="1" applyProtection="1">
      <protection locked="0"/>
    </xf>
    <xf numFmtId="1" fontId="3" fillId="2" borderId="3" xfId="0" applyNumberFormat="1" applyFont="1" applyFill="1" applyBorder="1" applyAlignment="1" applyProtection="1">
      <protection locked="0"/>
    </xf>
    <xf numFmtId="1" fontId="3" fillId="3" borderId="1" xfId="0" applyNumberFormat="1" applyFont="1" applyFill="1" applyBorder="1" applyAlignment="1" applyProtection="1">
      <protection locked="0"/>
    </xf>
    <xf numFmtId="0" fontId="5" fillId="2" borderId="11" xfId="0" applyFont="1" applyFill="1" applyBorder="1" applyAlignment="1" applyProtection="1">
      <alignment horizontal="left" indent="1"/>
      <protection locked="0"/>
    </xf>
    <xf numFmtId="9" fontId="25" fillId="2" borderId="11" xfId="0" applyNumberFormat="1" applyFont="1" applyFill="1" applyBorder="1" applyAlignment="1" applyProtection="1">
      <alignment horizontal="left"/>
      <protection locked="0"/>
    </xf>
    <xf numFmtId="0" fontId="88" fillId="2" borderId="8" xfId="0" applyFont="1" applyFill="1" applyBorder="1" applyAlignment="1" applyProtection="1">
      <alignment horizontal="left" textRotation="90" wrapText="1"/>
      <protection locked="0"/>
    </xf>
    <xf numFmtId="0" fontId="59" fillId="38" borderId="4" xfId="0" applyFont="1" applyFill="1" applyBorder="1"/>
    <xf numFmtId="0" fontId="55" fillId="9" borderId="4" xfId="0" applyFont="1" applyFill="1" applyBorder="1" applyAlignment="1">
      <alignment horizontal="center" vertical="top" wrapText="1"/>
    </xf>
    <xf numFmtId="0" fontId="56" fillId="10" borderId="4" xfId="0" applyFont="1" applyFill="1" applyBorder="1" applyAlignment="1">
      <alignment vertical="top" wrapText="1"/>
    </xf>
    <xf numFmtId="0" fontId="55" fillId="10" borderId="4" xfId="0" applyFont="1" applyFill="1" applyBorder="1" applyAlignment="1">
      <alignment vertical="top" wrapText="1"/>
    </xf>
    <xf numFmtId="0" fontId="55" fillId="6" borderId="4" xfId="0" applyFont="1" applyFill="1" applyBorder="1" applyAlignment="1">
      <alignment vertical="top" wrapText="1"/>
    </xf>
    <xf numFmtId="1" fontId="5" fillId="6" borderId="0" xfId="0" applyNumberFormat="1" applyFont="1" applyFill="1" applyAlignment="1" applyProtection="1">
      <protection locked="0"/>
    </xf>
    <xf numFmtId="0" fontId="9" fillId="2" borderId="34" xfId="0" applyFont="1" applyFill="1" applyBorder="1"/>
    <xf numFmtId="0" fontId="3" fillId="5" borderId="0" xfId="0" applyFont="1" applyFill="1" applyAlignment="1">
      <alignment horizontal="center"/>
    </xf>
    <xf numFmtId="0" fontId="4" fillId="2" borderId="40" xfId="0" applyFont="1" applyFill="1" applyBorder="1"/>
    <xf numFmtId="0" fontId="5" fillId="2" borderId="11" xfId="0" applyFont="1" applyFill="1" applyBorder="1"/>
    <xf numFmtId="165" fontId="16" fillId="2" borderId="40" xfId="0" applyNumberFormat="1" applyFont="1" applyFill="1" applyBorder="1"/>
    <xf numFmtId="165" fontId="16" fillId="2" borderId="40" xfId="0" applyNumberFormat="1" applyFont="1" applyFill="1" applyBorder="1" applyAlignment="1">
      <alignment horizontal="left" indent="1"/>
    </xf>
    <xf numFmtId="165" fontId="16" fillId="2" borderId="40" xfId="0" applyNumberFormat="1" applyFont="1" applyFill="1" applyBorder="1" applyAlignment="1">
      <alignment horizontal="left"/>
    </xf>
    <xf numFmtId="165" fontId="17" fillId="2" borderId="40" xfId="0" applyNumberFormat="1" applyFont="1" applyFill="1" applyBorder="1"/>
    <xf numFmtId="0" fontId="57" fillId="2" borderId="24" xfId="0" applyFont="1" applyFill="1" applyBorder="1"/>
    <xf numFmtId="0" fontId="5" fillId="2" borderId="9" xfId="0" applyFont="1" applyFill="1" applyBorder="1"/>
    <xf numFmtId="10" fontId="5" fillId="37" borderId="0" xfId="8" applyNumberFormat="1" applyFont="1" applyFill="1" applyBorder="1" applyAlignment="1">
      <alignment horizontal="left" vertical="center" indent="1"/>
    </xf>
    <xf numFmtId="0" fontId="4" fillId="2" borderId="42" xfId="0" applyFont="1" applyFill="1" applyBorder="1" applyAlignment="1" applyProtection="1">
      <alignment horizontal="left" wrapText="1"/>
      <protection locked="0"/>
    </xf>
    <xf numFmtId="0" fontId="4" fillId="5" borderId="42" xfId="0" applyFont="1" applyFill="1" applyBorder="1"/>
    <xf numFmtId="0" fontId="4" fillId="2" borderId="43" xfId="0" applyFont="1" applyFill="1" applyBorder="1"/>
    <xf numFmtId="1" fontId="16" fillId="2" borderId="22" xfId="0" applyNumberFormat="1" applyFont="1" applyFill="1" applyBorder="1"/>
    <xf numFmtId="1" fontId="16" fillId="2" borderId="10" xfId="0" applyNumberFormat="1" applyFont="1" applyFill="1" applyBorder="1"/>
    <xf numFmtId="0" fontId="0" fillId="5" borderId="44" xfId="0" applyFill="1" applyBorder="1"/>
    <xf numFmtId="1" fontId="17" fillId="2" borderId="43" xfId="0" applyNumberFormat="1" applyFont="1" applyFill="1" applyBorder="1"/>
    <xf numFmtId="1" fontId="5" fillId="2" borderId="46" xfId="0" applyNumberFormat="1" applyFont="1" applyFill="1" applyBorder="1"/>
    <xf numFmtId="0" fontId="5" fillId="5" borderId="42" xfId="0" applyFont="1" applyFill="1" applyBorder="1"/>
    <xf numFmtId="1" fontId="3" fillId="2" borderId="47" xfId="0" applyNumberFormat="1" applyFont="1" applyFill="1" applyBorder="1"/>
    <xf numFmtId="0" fontId="17" fillId="2" borderId="45" xfId="0" applyFont="1" applyFill="1" applyBorder="1"/>
    <xf numFmtId="10" fontId="84" fillId="5" borderId="0" xfId="8" applyNumberFormat="1" applyFont="1" applyFill="1" applyBorder="1" applyAlignment="1">
      <alignment horizontal="left" vertical="center"/>
    </xf>
    <xf numFmtId="9" fontId="16" fillId="2" borderId="50" xfId="7" applyNumberFormat="1" applyFont="1" applyFill="1" applyBorder="1"/>
    <xf numFmtId="165" fontId="16" fillId="2" borderId="50" xfId="7" applyNumberFormat="1" applyFont="1" applyFill="1" applyBorder="1"/>
    <xf numFmtId="165" fontId="16" fillId="2" borderId="51" xfId="7" applyNumberFormat="1" applyFont="1" applyFill="1" applyBorder="1"/>
    <xf numFmtId="9" fontId="4" fillId="2" borderId="52" xfId="7" applyNumberFormat="1" applyFont="1" applyFill="1" applyBorder="1"/>
    <xf numFmtId="9" fontId="16" fillId="2" borderId="53" xfId="7" applyNumberFormat="1" applyFont="1" applyFill="1" applyBorder="1"/>
    <xf numFmtId="9" fontId="5" fillId="2" borderId="0" xfId="0" applyNumberFormat="1" applyFont="1" applyFill="1"/>
    <xf numFmtId="0" fontId="17" fillId="2" borderId="0" xfId="0" applyFont="1" applyFill="1" applyBorder="1" applyAlignment="1" applyProtection="1">
      <alignment horizontal="left" wrapText="1"/>
      <protection locked="0"/>
    </xf>
    <xf numFmtId="0" fontId="5" fillId="4" borderId="0" xfId="0" applyFont="1" applyFill="1" applyAlignment="1">
      <alignment textRotation="90" wrapText="1"/>
    </xf>
    <xf numFmtId="0" fontId="4" fillId="5" borderId="0" xfId="0" applyFont="1" applyFill="1" applyBorder="1"/>
    <xf numFmtId="0" fontId="4" fillId="2" borderId="55" xfId="0" applyFont="1" applyFill="1" applyBorder="1"/>
    <xf numFmtId="0" fontId="4" fillId="2" borderId="56" xfId="0" applyFont="1" applyFill="1" applyBorder="1"/>
    <xf numFmtId="3" fontId="77" fillId="2" borderId="37" xfId="7" applyNumberFormat="1" applyFont="1" applyFill="1" applyBorder="1"/>
    <xf numFmtId="3" fontId="77" fillId="2" borderId="23" xfId="7" applyNumberFormat="1" applyFont="1" applyFill="1" applyBorder="1"/>
    <xf numFmtId="9" fontId="77" fillId="2" borderId="53" xfId="7" applyNumberFormat="1" applyFont="1" applyFill="1" applyBorder="1"/>
    <xf numFmtId="165" fontId="77" fillId="2" borderId="53" xfId="7" applyNumberFormat="1" applyFont="1" applyFill="1" applyBorder="1"/>
    <xf numFmtId="165" fontId="77" fillId="2" borderId="54" xfId="7" applyNumberFormat="1" applyFont="1" applyFill="1" applyBorder="1"/>
    <xf numFmtId="3" fontId="77" fillId="2" borderId="38" xfId="7" applyNumberFormat="1" applyFont="1" applyFill="1" applyBorder="1" applyAlignment="1">
      <alignment horizontal="center"/>
    </xf>
    <xf numFmtId="9" fontId="81" fillId="2" borderId="57" xfId="7" applyNumberFormat="1" applyFont="1" applyFill="1" applyBorder="1" applyAlignment="1">
      <alignment horizontal="center"/>
    </xf>
    <xf numFmtId="9" fontId="77" fillId="2" borderId="52" xfId="7" applyNumberFormat="1" applyFont="1" applyFill="1" applyBorder="1" applyAlignment="1">
      <alignment horizontal="center"/>
    </xf>
    <xf numFmtId="9" fontId="77" fillId="2" borderId="35" xfId="7" applyNumberFormat="1" applyFont="1" applyFill="1" applyBorder="1" applyAlignment="1">
      <alignment horizontal="center"/>
    </xf>
    <xf numFmtId="4" fontId="5" fillId="0" borderId="4" xfId="0" applyNumberFormat="1" applyFont="1" applyBorder="1" applyAlignment="1" applyProtection="1">
      <alignment horizontal="right"/>
      <protection locked="0"/>
    </xf>
    <xf numFmtId="3" fontId="5" fillId="0" borderId="58" xfId="0" applyNumberFormat="1" applyFont="1" applyBorder="1" applyAlignment="1" applyProtection="1">
      <alignment horizontal="right"/>
      <protection locked="0"/>
    </xf>
    <xf numFmtId="4" fontId="5" fillId="0" borderId="60" xfId="0" applyNumberFormat="1" applyFont="1" applyBorder="1" applyAlignment="1" applyProtection="1">
      <alignment horizontal="right"/>
      <protection locked="0"/>
    </xf>
    <xf numFmtId="9" fontId="5" fillId="0" borderId="4" xfId="1" applyFont="1" applyBorder="1" applyAlignment="1" applyProtection="1">
      <alignment horizontal="right"/>
      <protection locked="0"/>
    </xf>
    <xf numFmtId="166" fontId="77" fillId="2" borderId="37" xfId="7" applyNumberFormat="1" applyFont="1" applyFill="1" applyBorder="1"/>
    <xf numFmtId="0" fontId="81" fillId="2" borderId="23" xfId="7" applyFont="1" applyFill="1" applyBorder="1" applyAlignment="1">
      <alignment horizontal="left"/>
    </xf>
    <xf numFmtId="9" fontId="81" fillId="3" borderId="23" xfId="7" applyNumberFormat="1" applyFont="1" applyFill="1" applyBorder="1"/>
    <xf numFmtId="9" fontId="81" fillId="2" borderId="23" xfId="7" applyNumberFormat="1" applyFont="1" applyFill="1" applyBorder="1" applyAlignment="1">
      <alignment horizontal="center"/>
    </xf>
    <xf numFmtId="0" fontId="81" fillId="2" borderId="23" xfId="7" applyFont="1" applyFill="1" applyBorder="1" applyAlignment="1">
      <alignment horizontal="left" indent="2"/>
    </xf>
    <xf numFmtId="10" fontId="81" fillId="2" borderId="23" xfId="7" applyNumberFormat="1" applyFont="1" applyFill="1" applyBorder="1"/>
    <xf numFmtId="0" fontId="81" fillId="2" borderId="41" xfId="7" applyFont="1" applyFill="1" applyBorder="1" applyAlignment="1">
      <alignment horizontal="left" indent="2"/>
    </xf>
    <xf numFmtId="9" fontId="93" fillId="3" borderId="41" xfId="7" applyNumberFormat="1" applyFont="1" applyFill="1" applyBorder="1"/>
    <xf numFmtId="9" fontId="92" fillId="2" borderId="53" xfId="7" applyNumberFormat="1" applyFont="1" applyFill="1" applyBorder="1"/>
    <xf numFmtId="10" fontId="83" fillId="5" borderId="0" xfId="8" applyNumberFormat="1" applyFont="1" applyFill="1" applyBorder="1" applyAlignment="1">
      <alignment horizontal="left" vertical="center"/>
    </xf>
    <xf numFmtId="10" fontId="65" fillId="5" borderId="0" xfId="8" applyNumberFormat="1" applyFont="1" applyFill="1" applyBorder="1" applyAlignment="1">
      <alignment horizontal="left" vertical="center"/>
    </xf>
    <xf numFmtId="0" fontId="4" fillId="2" borderId="49" xfId="7" applyFont="1" applyFill="1" applyBorder="1" applyAlignment="1">
      <alignment horizontal="left" vertical="center"/>
    </xf>
    <xf numFmtId="0" fontId="16" fillId="2" borderId="23" xfId="7" applyFont="1" applyFill="1" applyBorder="1" applyAlignment="1">
      <alignment horizontal="left" indent="2"/>
    </xf>
    <xf numFmtId="0" fontId="16" fillId="2" borderId="37" xfId="7" applyFont="1" applyFill="1" applyBorder="1" applyAlignment="1">
      <alignment horizontal="left"/>
    </xf>
    <xf numFmtId="0" fontId="4" fillId="2" borderId="52" xfId="7" applyFont="1" applyFill="1" applyBorder="1" applyAlignment="1">
      <alignment horizontal="left" vertical="center"/>
    </xf>
    <xf numFmtId="165" fontId="16" fillId="2" borderId="53" xfId="7" applyNumberFormat="1" applyFont="1" applyFill="1" applyBorder="1"/>
    <xf numFmtId="0" fontId="77" fillId="5" borderId="0" xfId="8" applyFont="1" applyFill="1"/>
    <xf numFmtId="0" fontId="98" fillId="41" borderId="0" xfId="110" applyFont="1" applyFill="1" applyBorder="1"/>
    <xf numFmtId="0" fontId="96" fillId="41" borderId="0" xfId="110" applyFont="1" applyFill="1" applyBorder="1"/>
    <xf numFmtId="0" fontId="99" fillId="41" borderId="0" xfId="110" applyFont="1" applyFill="1" applyBorder="1"/>
    <xf numFmtId="0" fontId="102" fillId="41" borderId="0" xfId="110" applyFont="1" applyFill="1" applyBorder="1"/>
    <xf numFmtId="0" fontId="97" fillId="42" borderId="0" xfId="110" applyFont="1" applyFill="1" applyBorder="1"/>
    <xf numFmtId="0" fontId="96" fillId="42" borderId="0" xfId="110" applyFont="1" applyFill="1" applyBorder="1"/>
    <xf numFmtId="0" fontId="103" fillId="42" borderId="0" xfId="110" applyFont="1" applyFill="1" applyBorder="1"/>
    <xf numFmtId="0" fontId="104" fillId="42" borderId="0" xfId="110" applyFont="1" applyFill="1" applyBorder="1"/>
    <xf numFmtId="167" fontId="104" fillId="42" borderId="0" xfId="1" applyNumberFormat="1" applyFont="1" applyFill="1" applyBorder="1"/>
    <xf numFmtId="0" fontId="105" fillId="42" borderId="0" xfId="110" applyFont="1" applyFill="1" applyBorder="1"/>
    <xf numFmtId="167" fontId="105" fillId="42" borderId="0" xfId="1" applyNumberFormat="1" applyFont="1" applyFill="1" applyBorder="1" applyAlignment="1">
      <alignment horizontal="center"/>
    </xf>
    <xf numFmtId="165" fontId="105" fillId="42" borderId="0" xfId="110" applyNumberFormat="1" applyFont="1" applyFill="1" applyBorder="1"/>
    <xf numFmtId="3" fontId="116" fillId="42" borderId="62" xfId="110" applyNumberFormat="1" applyFont="1" applyFill="1" applyBorder="1"/>
    <xf numFmtId="1" fontId="110" fillId="42" borderId="0" xfId="0" applyNumberFormat="1" applyFont="1" applyFill="1" applyBorder="1"/>
    <xf numFmtId="165" fontId="110" fillId="42" borderId="0" xfId="0" applyNumberFormat="1" applyFont="1" applyFill="1" applyBorder="1" applyAlignment="1"/>
    <xf numFmtId="165" fontId="110" fillId="42" borderId="0" xfId="0" applyNumberFormat="1" applyFont="1" applyFill="1" applyBorder="1"/>
    <xf numFmtId="3" fontId="101" fillId="46" borderId="62" xfId="110" applyNumberFormat="1" applyFont="1" applyFill="1" applyBorder="1"/>
    <xf numFmtId="165" fontId="105" fillId="46" borderId="62" xfId="0" applyNumberFormat="1" applyFont="1" applyFill="1" applyBorder="1"/>
    <xf numFmtId="165" fontId="101" fillId="46" borderId="62" xfId="0" applyNumberFormat="1" applyFont="1" applyFill="1" applyBorder="1"/>
    <xf numFmtId="165" fontId="19" fillId="2" borderId="0" xfId="0" applyNumberFormat="1" applyFont="1" applyFill="1" applyBorder="1"/>
    <xf numFmtId="165" fontId="58" fillId="2" borderId="0" xfId="0" applyNumberFormat="1" applyFont="1" applyFill="1" applyBorder="1" applyAlignment="1">
      <alignment horizontal="left"/>
    </xf>
    <xf numFmtId="165" fontId="5" fillId="2" borderId="0" xfId="0" applyNumberFormat="1" applyFont="1" applyFill="1" applyBorder="1" applyAlignment="1">
      <alignment wrapText="1"/>
    </xf>
    <xf numFmtId="0" fontId="51" fillId="3" borderId="0" xfId="0" applyFont="1" applyFill="1" applyBorder="1" applyAlignment="1">
      <alignment textRotation="90" wrapText="1"/>
    </xf>
    <xf numFmtId="0" fontId="51" fillId="2" borderId="0" xfId="0" applyFont="1" applyFill="1" applyBorder="1" applyAlignment="1">
      <alignment textRotation="90" wrapText="1"/>
    </xf>
    <xf numFmtId="0" fontId="51" fillId="3" borderId="8" xfId="0" applyFont="1" applyFill="1" applyBorder="1" applyAlignment="1">
      <alignment textRotation="90" wrapText="1"/>
    </xf>
    <xf numFmtId="0" fontId="51" fillId="3" borderId="10" xfId="0" applyFont="1" applyFill="1" applyBorder="1" applyAlignment="1">
      <alignment textRotation="90" wrapText="1"/>
    </xf>
    <xf numFmtId="0" fontId="51" fillId="2" borderId="10" xfId="0" applyFont="1" applyFill="1" applyBorder="1" applyAlignment="1">
      <alignment textRotation="90" wrapText="1"/>
    </xf>
    <xf numFmtId="9" fontId="3" fillId="2" borderId="31" xfId="1" applyFont="1" applyFill="1" applyBorder="1" applyAlignment="1"/>
    <xf numFmtId="9" fontId="3" fillId="3" borderId="31" xfId="1" applyFont="1" applyFill="1" applyBorder="1" applyAlignment="1"/>
    <xf numFmtId="0" fontId="1" fillId="2" borderId="63" xfId="145" applyFont="1" applyFill="1" applyBorder="1"/>
    <xf numFmtId="165" fontId="16" fillId="2" borderId="64" xfId="145" applyNumberFormat="1" applyFont="1" applyFill="1" applyBorder="1" applyAlignment="1"/>
    <xf numFmtId="165" fontId="16" fillId="2" borderId="64" xfId="145" applyNumberFormat="1" applyFont="1" applyFill="1" applyBorder="1" applyAlignment="1">
      <alignment horizontal="right" indent="1"/>
    </xf>
    <xf numFmtId="165" fontId="16" fillId="2" borderId="64" xfId="145" applyNumberFormat="1" applyFont="1" applyFill="1" applyBorder="1" applyAlignment="1">
      <alignment horizontal="left"/>
    </xf>
    <xf numFmtId="165" fontId="16" fillId="2" borderId="9" xfId="145" applyNumberFormat="1" applyFont="1" applyFill="1" applyBorder="1" applyAlignment="1"/>
    <xf numFmtId="165" fontId="17" fillId="2" borderId="9" xfId="145" applyNumberFormat="1" applyFont="1" applyFill="1" applyBorder="1" applyAlignment="1"/>
    <xf numFmtId="165" fontId="17" fillId="3" borderId="9" xfId="145" applyNumberFormat="1" applyFont="1" applyFill="1" applyBorder="1" applyAlignment="1"/>
    <xf numFmtId="165" fontId="16" fillId="2" borderId="9" xfId="145" applyNumberFormat="1" applyFont="1" applyFill="1" applyBorder="1" applyAlignment="1">
      <alignment horizontal="right" indent="1"/>
    </xf>
    <xf numFmtId="165" fontId="16" fillId="2" borderId="8" xfId="145" applyNumberFormat="1" applyFont="1" applyFill="1" applyBorder="1" applyAlignment="1">
      <alignment horizontal="left"/>
    </xf>
    <xf numFmtId="165" fontId="16" fillId="2" borderId="9" xfId="145" applyNumberFormat="1" applyFont="1" applyFill="1" applyBorder="1" applyAlignment="1">
      <alignment horizontal="left"/>
    </xf>
    <xf numFmtId="9" fontId="5" fillId="2" borderId="31" xfId="1" applyFont="1" applyFill="1" applyBorder="1" applyAlignment="1"/>
    <xf numFmtId="0" fontId="115" fillId="2" borderId="0" xfId="0" applyFont="1" applyFill="1"/>
    <xf numFmtId="0" fontId="114" fillId="4" borderId="0" xfId="0" applyFont="1" applyFill="1" applyAlignment="1">
      <alignment wrapText="1"/>
    </xf>
    <xf numFmtId="0" fontId="0" fillId="2" borderId="0" xfId="0" applyFill="1" applyBorder="1"/>
    <xf numFmtId="0" fontId="105" fillId="42" borderId="63" xfId="0" applyFont="1" applyFill="1" applyBorder="1"/>
    <xf numFmtId="165" fontId="105" fillId="2" borderId="63" xfId="0" applyNumberFormat="1" applyFont="1" applyFill="1" applyBorder="1"/>
    <xf numFmtId="1" fontId="105" fillId="42" borderId="63" xfId="0" applyNumberFormat="1" applyFont="1" applyFill="1" applyBorder="1"/>
    <xf numFmtId="1" fontId="105" fillId="2" borderId="63" xfId="0" applyNumberFormat="1" applyFont="1" applyFill="1" applyBorder="1"/>
    <xf numFmtId="165" fontId="105" fillId="42" borderId="63" xfId="0" applyNumberFormat="1" applyFont="1" applyFill="1" applyBorder="1"/>
    <xf numFmtId="1" fontId="101" fillId="42" borderId="63" xfId="0" applyNumberFormat="1" applyFont="1" applyFill="1" applyBorder="1"/>
    <xf numFmtId="3" fontId="106" fillId="42" borderId="63" xfId="110" applyNumberFormat="1" applyFont="1" applyFill="1" applyBorder="1"/>
    <xf numFmtId="3" fontId="101" fillId="42" borderId="63" xfId="110" applyNumberFormat="1" applyFont="1" applyFill="1" applyBorder="1"/>
    <xf numFmtId="3" fontId="105" fillId="42" borderId="63" xfId="110" applyNumberFormat="1" applyFont="1" applyFill="1" applyBorder="1"/>
    <xf numFmtId="165" fontId="105" fillId="42" borderId="63" xfId="110" applyNumberFormat="1" applyFont="1" applyFill="1" applyBorder="1"/>
    <xf numFmtId="1" fontId="101" fillId="42" borderId="63" xfId="110" applyNumberFormat="1" applyFont="1" applyFill="1" applyBorder="1"/>
    <xf numFmtId="0" fontId="56" fillId="2" borderId="0" xfId="0" applyFont="1" applyFill="1" applyBorder="1"/>
    <xf numFmtId="0" fontId="56" fillId="2" borderId="0" xfId="0" applyFont="1" applyFill="1"/>
    <xf numFmtId="2" fontId="5" fillId="2" borderId="0" xfId="0" applyNumberFormat="1" applyFont="1" applyFill="1" applyBorder="1"/>
    <xf numFmtId="165" fontId="110" fillId="45" borderId="61" xfId="0" applyNumberFormat="1" applyFont="1" applyFill="1" applyBorder="1" applyAlignment="1"/>
    <xf numFmtId="0" fontId="105" fillId="2" borderId="62" xfId="0" applyFont="1" applyFill="1" applyBorder="1" applyAlignment="1"/>
    <xf numFmtId="165" fontId="105" fillId="2" borderId="62" xfId="0" applyNumberFormat="1" applyFont="1" applyFill="1" applyBorder="1" applyAlignment="1"/>
    <xf numFmtId="1" fontId="105" fillId="2" borderId="62" xfId="0" applyNumberFormat="1" applyFont="1" applyFill="1" applyBorder="1" applyAlignment="1"/>
    <xf numFmtId="165" fontId="101" fillId="42" borderId="62" xfId="0" applyNumberFormat="1" applyFont="1" applyFill="1" applyBorder="1" applyAlignment="1"/>
    <xf numFmtId="165" fontId="105" fillId="42" borderId="62" xfId="110" applyNumberFormat="1" applyFont="1" applyFill="1" applyBorder="1" applyAlignment="1">
      <alignment horizontal="left"/>
    </xf>
    <xf numFmtId="1" fontId="101" fillId="46" borderId="62" xfId="110" applyNumberFormat="1" applyFont="1" applyFill="1" applyBorder="1"/>
    <xf numFmtId="165" fontId="100" fillId="46" borderId="62" xfId="110" applyNumberFormat="1" applyFont="1" applyFill="1" applyBorder="1"/>
    <xf numFmtId="165" fontId="101" fillId="46" borderId="62" xfId="110" applyNumberFormat="1" applyFont="1" applyFill="1" applyBorder="1"/>
    <xf numFmtId="1" fontId="101" fillId="42" borderId="62" xfId="110" applyNumberFormat="1" applyFont="1" applyFill="1" applyBorder="1"/>
    <xf numFmtId="165" fontId="105" fillId="2" borderId="62" xfId="0" applyNumberFormat="1" applyFont="1" applyFill="1" applyBorder="1" applyAlignment="1">
      <alignment horizontal="left" indent="1"/>
    </xf>
    <xf numFmtId="0" fontId="105" fillId="2" borderId="62" xfId="0" applyFont="1" applyFill="1" applyBorder="1" applyAlignment="1">
      <alignment horizontal="left" indent="1"/>
    </xf>
    <xf numFmtId="0" fontId="105" fillId="42" borderId="62" xfId="0" applyFont="1" applyFill="1" applyBorder="1"/>
    <xf numFmtId="165" fontId="105" fillId="2" borderId="62" xfId="0" applyNumberFormat="1" applyFont="1" applyFill="1" applyBorder="1"/>
    <xf numFmtId="1" fontId="105" fillId="2" borderId="62" xfId="0" applyNumberFormat="1" applyFont="1" applyFill="1" applyBorder="1"/>
    <xf numFmtId="1" fontId="105" fillId="42" borderId="62" xfId="0" applyNumberFormat="1" applyFont="1" applyFill="1" applyBorder="1"/>
    <xf numFmtId="0" fontId="105" fillId="2" borderId="62" xfId="0" applyFont="1" applyFill="1" applyBorder="1" applyAlignment="1">
      <alignment horizontal="left" indent="2"/>
    </xf>
    <xf numFmtId="165" fontId="105" fillId="2" borderId="62" xfId="0" applyNumberFormat="1" applyFont="1" applyFill="1" applyBorder="1" applyAlignment="1">
      <alignment horizontal="left" indent="2"/>
    </xf>
    <xf numFmtId="1" fontId="105" fillId="2" borderId="62" xfId="0" applyNumberFormat="1" applyFont="1" applyFill="1" applyBorder="1" applyAlignment="1">
      <alignment horizontal="left" indent="2"/>
    </xf>
    <xf numFmtId="165" fontId="105" fillId="42" borderId="62" xfId="0" applyNumberFormat="1" applyFont="1" applyFill="1" applyBorder="1"/>
    <xf numFmtId="165" fontId="101" fillId="42" borderId="62" xfId="0" applyNumberFormat="1" applyFont="1" applyFill="1" applyBorder="1" applyAlignment="1">
      <alignment horizontal="left" indent="1"/>
    </xf>
    <xf numFmtId="1" fontId="101" fillId="42" borderId="62" xfId="0" applyNumberFormat="1" applyFont="1" applyFill="1" applyBorder="1"/>
    <xf numFmtId="165" fontId="101" fillId="42" borderId="62" xfId="0" applyNumberFormat="1" applyFont="1" applyFill="1" applyBorder="1"/>
    <xf numFmtId="165" fontId="101" fillId="42" borderId="62" xfId="110" applyNumberFormat="1" applyFont="1" applyFill="1" applyBorder="1" applyAlignment="1">
      <alignment horizontal="left" indent="1"/>
    </xf>
    <xf numFmtId="3" fontId="106" fillId="42" borderId="62" xfId="110" applyNumberFormat="1" applyFont="1" applyFill="1" applyBorder="1"/>
    <xf numFmtId="165" fontId="100" fillId="42" borderId="62" xfId="110" applyNumberFormat="1" applyFont="1" applyFill="1" applyBorder="1"/>
    <xf numFmtId="165" fontId="101" fillId="42" borderId="62" xfId="110" applyNumberFormat="1" applyFont="1" applyFill="1" applyBorder="1" applyAlignment="1">
      <alignment horizontal="right" indent="1"/>
    </xf>
    <xf numFmtId="3" fontId="101" fillId="42" borderId="62" xfId="110" applyNumberFormat="1" applyFont="1" applyFill="1" applyBorder="1"/>
    <xf numFmtId="3" fontId="105" fillId="42" borderId="62" xfId="110" applyNumberFormat="1" applyFont="1" applyFill="1" applyBorder="1"/>
    <xf numFmtId="165" fontId="105" fillId="42" borderId="62" xfId="110" applyNumberFormat="1" applyFont="1" applyFill="1" applyBorder="1" applyAlignment="1">
      <alignment horizontal="right" indent="1"/>
    </xf>
    <xf numFmtId="165" fontId="105" fillId="42" borderId="62" xfId="110" applyNumberFormat="1" applyFont="1" applyFill="1" applyBorder="1"/>
    <xf numFmtId="165" fontId="103" fillId="42" borderId="62" xfId="110" applyNumberFormat="1" applyFont="1" applyFill="1" applyBorder="1"/>
    <xf numFmtId="165" fontId="101" fillId="42" borderId="62" xfId="110" applyNumberFormat="1" applyFont="1" applyFill="1" applyBorder="1"/>
    <xf numFmtId="0" fontId="113" fillId="42" borderId="0" xfId="110" applyFont="1" applyFill="1" applyBorder="1"/>
    <xf numFmtId="1" fontId="110" fillId="45" borderId="61" xfId="0" applyNumberFormat="1" applyFont="1" applyFill="1" applyBorder="1"/>
    <xf numFmtId="165" fontId="110" fillId="45" borderId="61" xfId="0" applyNumberFormat="1" applyFont="1" applyFill="1" applyBorder="1"/>
    <xf numFmtId="0" fontId="56" fillId="2" borderId="0" xfId="0" quotePrefix="1" applyFont="1" applyFill="1" applyAlignment="1">
      <alignment wrapText="1"/>
    </xf>
    <xf numFmtId="0" fontId="56" fillId="6" borderId="0" xfId="0" quotePrefix="1" applyFont="1" applyFill="1" applyAlignment="1">
      <alignment wrapText="1"/>
    </xf>
    <xf numFmtId="1" fontId="5" fillId="2" borderId="37" xfId="0" applyNumberFormat="1" applyFont="1" applyFill="1" applyBorder="1"/>
    <xf numFmtId="165" fontId="5" fillId="2" borderId="65" xfId="0" applyNumberFormat="1" applyFont="1" applyFill="1" applyBorder="1" applyAlignment="1">
      <alignment horizontal="left" indent="1"/>
    </xf>
    <xf numFmtId="165" fontId="5" fillId="2" borderId="23" xfId="0" applyNumberFormat="1" applyFont="1" applyFill="1" applyBorder="1"/>
    <xf numFmtId="165" fontId="5" fillId="2" borderId="36" xfId="0" applyNumberFormat="1" applyFont="1" applyFill="1" applyBorder="1"/>
    <xf numFmtId="1" fontId="5" fillId="2" borderId="39" xfId="0" applyNumberFormat="1" applyFont="1" applyFill="1" applyBorder="1"/>
    <xf numFmtId="1" fontId="5" fillId="2" borderId="23" xfId="0" applyNumberFormat="1" applyFont="1" applyFill="1" applyBorder="1"/>
    <xf numFmtId="1" fontId="5" fillId="2" borderId="36" xfId="0" applyNumberFormat="1" applyFont="1" applyFill="1" applyBorder="1"/>
    <xf numFmtId="1" fontId="5" fillId="2" borderId="38" xfId="0" applyNumberFormat="1" applyFont="1" applyFill="1" applyBorder="1"/>
    <xf numFmtId="165" fontId="5" fillId="2" borderId="65" xfId="0" applyNumberFormat="1" applyFont="1" applyFill="1" applyBorder="1"/>
    <xf numFmtId="1" fontId="5" fillId="2" borderId="66" xfId="0" applyNumberFormat="1" applyFont="1" applyFill="1" applyBorder="1"/>
    <xf numFmtId="165" fontId="5" fillId="2" borderId="35" xfId="0" applyNumberFormat="1" applyFont="1" applyFill="1" applyBorder="1"/>
    <xf numFmtId="165" fontId="5" fillId="2" borderId="38" xfId="0" applyNumberFormat="1" applyFont="1" applyFill="1" applyBorder="1"/>
    <xf numFmtId="165" fontId="5" fillId="2" borderId="37" xfId="0" applyNumberFormat="1" applyFont="1" applyFill="1" applyBorder="1"/>
    <xf numFmtId="1" fontId="5" fillId="2" borderId="27" xfId="0" applyNumberFormat="1" applyFont="1" applyFill="1" applyBorder="1"/>
    <xf numFmtId="165" fontId="5" fillId="2" borderId="66" xfId="0" applyNumberFormat="1" applyFont="1" applyFill="1" applyBorder="1"/>
    <xf numFmtId="165" fontId="5" fillId="2" borderId="25" xfId="0" applyNumberFormat="1" applyFont="1" applyFill="1" applyBorder="1"/>
    <xf numFmtId="1" fontId="5" fillId="2" borderId="25" xfId="0" applyNumberFormat="1" applyFont="1" applyFill="1" applyBorder="1"/>
    <xf numFmtId="165" fontId="5" fillId="2" borderId="39" xfId="0" applyNumberFormat="1" applyFont="1" applyFill="1" applyBorder="1"/>
    <xf numFmtId="1" fontId="5" fillId="2" borderId="33" xfId="0" applyNumberFormat="1" applyFont="1" applyFill="1" applyBorder="1"/>
    <xf numFmtId="165" fontId="5" fillId="2" borderId="33" xfId="0" applyNumberFormat="1" applyFont="1" applyFill="1" applyBorder="1"/>
    <xf numFmtId="165" fontId="5" fillId="2" borderId="51" xfId="0" applyNumberFormat="1" applyFont="1" applyFill="1" applyBorder="1"/>
    <xf numFmtId="165" fontId="5" fillId="2" borderId="35" xfId="0" applyNumberFormat="1" applyFont="1" applyFill="1" applyBorder="1" applyAlignment="1">
      <alignment horizontal="left" indent="1"/>
    </xf>
    <xf numFmtId="165" fontId="5" fillId="2" borderId="38" xfId="0" applyNumberFormat="1" applyFont="1" applyFill="1" applyBorder="1" applyAlignment="1">
      <alignment horizontal="left" indent="1"/>
    </xf>
    <xf numFmtId="165" fontId="5" fillId="3" borderId="35" xfId="0" applyNumberFormat="1" applyFont="1" applyFill="1" applyBorder="1"/>
    <xf numFmtId="9" fontId="5" fillId="3" borderId="23" xfId="1" applyFont="1" applyFill="1" applyBorder="1"/>
    <xf numFmtId="165" fontId="5" fillId="2" borderId="23" xfId="0" applyNumberFormat="1" applyFont="1" applyFill="1" applyBorder="1" applyAlignment="1">
      <alignment horizontal="left" indent="1"/>
    </xf>
    <xf numFmtId="165" fontId="5" fillId="2" borderId="37" xfId="0" applyNumberFormat="1" applyFont="1" applyFill="1" applyBorder="1" applyAlignment="1">
      <alignment horizontal="left" indent="1"/>
    </xf>
    <xf numFmtId="165" fontId="5" fillId="2" borderId="37" xfId="0" applyNumberFormat="1" applyFont="1" applyFill="1" applyBorder="1" applyAlignment="1">
      <alignment horizontal="left" indent="2"/>
    </xf>
    <xf numFmtId="0" fontId="57" fillId="2" borderId="49" xfId="0" applyFont="1" applyFill="1" applyBorder="1"/>
    <xf numFmtId="165" fontId="5" fillId="2" borderId="23" xfId="0" applyNumberFormat="1" applyFont="1" applyFill="1" applyBorder="1" applyAlignment="1">
      <alignment horizontal="left"/>
    </xf>
    <xf numFmtId="0" fontId="57" fillId="2" borderId="65" xfId="0" applyFont="1" applyFill="1" applyBorder="1"/>
    <xf numFmtId="0" fontId="55" fillId="4" borderId="35" xfId="0" applyFont="1" applyFill="1" applyBorder="1" applyAlignment="1">
      <alignment wrapText="1"/>
    </xf>
    <xf numFmtId="0" fontId="56" fillId="4" borderId="35" xfId="0" applyFont="1" applyFill="1" applyBorder="1" applyAlignment="1">
      <alignment wrapText="1"/>
    </xf>
    <xf numFmtId="0" fontId="56" fillId="4" borderId="36" xfId="0" applyFont="1" applyFill="1" applyBorder="1" applyAlignment="1">
      <alignment wrapText="1"/>
    </xf>
    <xf numFmtId="9" fontId="5" fillId="3" borderId="37" xfId="1" applyFont="1" applyFill="1" applyBorder="1"/>
    <xf numFmtId="9" fontId="5" fillId="3" borderId="39" xfId="1" applyFont="1" applyFill="1" applyBorder="1"/>
    <xf numFmtId="9" fontId="5" fillId="3" borderId="65" xfId="1" applyFont="1" applyFill="1" applyBorder="1"/>
    <xf numFmtId="9" fontId="5" fillId="3" borderId="67" xfId="1" applyFont="1" applyFill="1" applyBorder="1"/>
    <xf numFmtId="9" fontId="5" fillId="3" borderId="0" xfId="1" applyFont="1" applyFill="1" applyBorder="1"/>
    <xf numFmtId="165" fontId="5" fillId="2" borderId="27" xfId="0" applyNumberFormat="1" applyFont="1" applyFill="1" applyBorder="1"/>
    <xf numFmtId="165" fontId="5" fillId="2" borderId="50" xfId="0" applyNumberFormat="1" applyFont="1" applyFill="1" applyBorder="1"/>
    <xf numFmtId="9" fontId="5" fillId="3" borderId="66" xfId="1" applyFont="1" applyFill="1" applyBorder="1"/>
    <xf numFmtId="165" fontId="5" fillId="2" borderId="67" xfId="0" applyNumberFormat="1" applyFont="1" applyFill="1" applyBorder="1"/>
    <xf numFmtId="0" fontId="56" fillId="4" borderId="27" xfId="0" applyFont="1" applyFill="1" applyBorder="1" applyAlignment="1">
      <alignment wrapText="1"/>
    </xf>
    <xf numFmtId="0" fontId="57" fillId="2" borderId="23" xfId="0" applyFont="1" applyFill="1" applyBorder="1"/>
    <xf numFmtId="0" fontId="57" fillId="2" borderId="33" xfId="0" applyFont="1" applyFill="1" applyBorder="1"/>
    <xf numFmtId="0" fontId="57" fillId="6" borderId="33" xfId="0" applyFont="1" applyFill="1" applyBorder="1"/>
    <xf numFmtId="0" fontId="57" fillId="2" borderId="68" xfId="0" applyFont="1" applyFill="1" applyBorder="1"/>
    <xf numFmtId="0" fontId="57" fillId="2" borderId="69" xfId="0" applyFont="1" applyFill="1" applyBorder="1"/>
    <xf numFmtId="0" fontId="57" fillId="2" borderId="51" xfId="0" applyFont="1" applyFill="1" applyBorder="1"/>
    <xf numFmtId="165" fontId="5" fillId="3" borderId="65" xfId="0" applyNumberFormat="1" applyFont="1" applyFill="1" applyBorder="1"/>
    <xf numFmtId="165" fontId="5" fillId="3" borderId="23" xfId="0" applyNumberFormat="1" applyFont="1" applyFill="1" applyBorder="1"/>
    <xf numFmtId="165" fontId="5" fillId="2" borderId="23" xfId="0" applyNumberFormat="1" applyFont="1" applyFill="1" applyBorder="1" applyAlignment="1">
      <alignment horizontal="left" indent="2"/>
    </xf>
    <xf numFmtId="0" fontId="57" fillId="2" borderId="37" xfId="0" applyFont="1" applyFill="1" applyBorder="1"/>
    <xf numFmtId="9" fontId="5" fillId="3" borderId="27" xfId="1" applyFont="1" applyFill="1" applyBorder="1"/>
    <xf numFmtId="165" fontId="5" fillId="2" borderId="37" xfId="0" applyNumberFormat="1" applyFont="1" applyFill="1" applyBorder="1" applyAlignment="1">
      <alignment horizontal="left"/>
    </xf>
    <xf numFmtId="0" fontId="9" fillId="2" borderId="0" xfId="0" applyFont="1" applyFill="1" applyAlignment="1"/>
    <xf numFmtId="3" fontId="5" fillId="2" borderId="23" xfId="0" applyNumberFormat="1" applyFont="1" applyFill="1" applyBorder="1"/>
    <xf numFmtId="1" fontId="5" fillId="3" borderId="23" xfId="0" applyNumberFormat="1" applyFont="1" applyFill="1" applyBorder="1"/>
    <xf numFmtId="0" fontId="0" fillId="5" borderId="40" xfId="0" applyFill="1" applyBorder="1"/>
    <xf numFmtId="0" fontId="16" fillId="2" borderId="0" xfId="0" applyFont="1" applyFill="1" applyBorder="1" applyAlignment="1" applyProtection="1">
      <alignment horizontal="left" wrapText="1" indent="1"/>
      <protection locked="0"/>
    </xf>
    <xf numFmtId="1" fontId="17" fillId="2" borderId="47" xfId="0" applyNumberFormat="1" applyFont="1" applyFill="1" applyBorder="1"/>
    <xf numFmtId="0" fontId="84" fillId="5" borderId="0" xfId="0" applyFont="1" applyFill="1" applyBorder="1" applyAlignment="1">
      <alignment vertical="center"/>
    </xf>
    <xf numFmtId="0" fontId="16" fillId="2" borderId="0" xfId="0" applyFont="1" applyFill="1" applyBorder="1" applyAlignment="1" applyProtection="1">
      <alignment horizontal="left" wrapText="1"/>
      <protection locked="0"/>
    </xf>
    <xf numFmtId="0" fontId="17" fillId="11" borderId="0" xfId="0" applyFont="1" applyFill="1" applyBorder="1" applyAlignment="1" applyProtection="1">
      <alignment horizontal="left" wrapText="1"/>
      <protection locked="0"/>
    </xf>
    <xf numFmtId="0" fontId="3" fillId="2" borderId="0" xfId="0" applyFont="1" applyFill="1" applyBorder="1"/>
    <xf numFmtId="0" fontId="5" fillId="2" borderId="0" xfId="0" applyFont="1" applyFill="1" applyBorder="1" applyAlignment="1">
      <alignment horizontal="left" indent="2"/>
    </xf>
    <xf numFmtId="0" fontId="5" fillId="11" borderId="0" xfId="0" applyFont="1" applyFill="1" applyBorder="1"/>
    <xf numFmtId="0" fontId="5" fillId="11" borderId="0" xfId="0" applyFont="1" applyFill="1" applyBorder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left"/>
      <protection locked="0"/>
    </xf>
    <xf numFmtId="0" fontId="24" fillId="5" borderId="0" xfId="0" applyFont="1" applyFill="1" applyBorder="1" applyAlignment="1"/>
    <xf numFmtId="0" fontId="4" fillId="2" borderId="47" xfId="0" applyFont="1" applyFill="1" applyBorder="1"/>
    <xf numFmtId="0" fontId="5" fillId="5" borderId="0" xfId="0" applyFont="1" applyFill="1" applyBorder="1"/>
    <xf numFmtId="0" fontId="24" fillId="5" borderId="0" xfId="0" applyFont="1" applyFill="1" applyBorder="1" applyAlignment="1">
      <alignment vertical="center"/>
    </xf>
    <xf numFmtId="3" fontId="16" fillId="2" borderId="46" xfId="0" applyNumberFormat="1" applyFont="1" applyFill="1" applyBorder="1"/>
    <xf numFmtId="0" fontId="17" fillId="2" borderId="46" xfId="0" applyFont="1" applyFill="1" applyBorder="1"/>
    <xf numFmtId="0" fontId="17" fillId="2" borderId="70" xfId="0" applyFont="1" applyFill="1" applyBorder="1"/>
    <xf numFmtId="1" fontId="16" fillId="2" borderId="46" xfId="0" applyNumberFormat="1" applyFont="1" applyFill="1" applyBorder="1"/>
    <xf numFmtId="1" fontId="16" fillId="2" borderId="9" xfId="0" applyNumberFormat="1" applyFont="1" applyFill="1" applyBorder="1"/>
    <xf numFmtId="0" fontId="24" fillId="5" borderId="0" xfId="0" applyFont="1" applyFill="1" applyBorder="1"/>
    <xf numFmtId="0" fontId="17" fillId="2" borderId="0" xfId="0" applyFont="1" applyFill="1" applyBorder="1"/>
    <xf numFmtId="0" fontId="16" fillId="2" borderId="0" xfId="0" applyFont="1" applyFill="1" applyBorder="1" applyAlignment="1" applyProtection="1">
      <alignment horizontal="right" textRotation="90" wrapText="1"/>
      <protection locked="0"/>
    </xf>
    <xf numFmtId="2" fontId="5" fillId="11" borderId="0" xfId="0" applyNumberFormat="1" applyFont="1" applyFill="1" applyBorder="1"/>
    <xf numFmtId="0" fontId="5" fillId="5" borderId="0" xfId="0" applyFont="1" applyFill="1" applyAlignment="1">
      <alignment textRotation="90"/>
    </xf>
    <xf numFmtId="0" fontId="4" fillId="5" borderId="0" xfId="0" applyFont="1" applyFill="1" applyBorder="1" applyAlignment="1" applyProtection="1">
      <alignment horizontal="left" wrapText="1"/>
      <protection locked="0"/>
    </xf>
    <xf numFmtId="0" fontId="71" fillId="5" borderId="11" xfId="0" applyFont="1" applyFill="1" applyBorder="1"/>
    <xf numFmtId="0" fontId="52" fillId="5" borderId="0" xfId="0" applyFont="1" applyFill="1" applyBorder="1"/>
    <xf numFmtId="0" fontId="83" fillId="5" borderId="0" xfId="0" applyFont="1" applyFill="1" applyBorder="1" applyAlignment="1">
      <alignment vertical="center"/>
    </xf>
    <xf numFmtId="1" fontId="5" fillId="2" borderId="48" xfId="0" applyNumberFormat="1" applyFont="1" applyFill="1" applyBorder="1"/>
    <xf numFmtId="0" fontId="16" fillId="2" borderId="48" xfId="0" applyFont="1" applyFill="1" applyBorder="1" applyAlignment="1" applyProtection="1">
      <alignment horizontal="left" indent="1"/>
      <protection locked="0"/>
    </xf>
    <xf numFmtId="0" fontId="16" fillId="2" borderId="11" xfId="0" applyFont="1" applyFill="1" applyBorder="1" applyAlignment="1" applyProtection="1">
      <alignment horizontal="left" indent="1"/>
      <protection locked="0"/>
    </xf>
    <xf numFmtId="0" fontId="16" fillId="2" borderId="71" xfId="0" applyFont="1" applyFill="1" applyBorder="1" applyAlignment="1" applyProtection="1">
      <alignment horizontal="left" indent="1"/>
      <protection locked="0"/>
    </xf>
    <xf numFmtId="0" fontId="3" fillId="2" borderId="44" xfId="0" applyFont="1" applyFill="1" applyBorder="1"/>
    <xf numFmtId="1" fontId="16" fillId="2" borderId="48" xfId="0" applyNumberFormat="1" applyFont="1" applyFill="1" applyBorder="1" applyAlignment="1">
      <alignment horizontal="left" indent="1"/>
    </xf>
    <xf numFmtId="1" fontId="16" fillId="2" borderId="11" xfId="0" applyNumberFormat="1" applyFont="1" applyFill="1" applyBorder="1" applyAlignment="1">
      <alignment horizontal="left" indent="1"/>
    </xf>
    <xf numFmtId="1" fontId="16" fillId="2" borderId="0" xfId="0" applyNumberFormat="1" applyFont="1" applyFill="1" applyBorder="1" applyAlignment="1">
      <alignment horizontal="left" indent="1"/>
    </xf>
    <xf numFmtId="1" fontId="17" fillId="2" borderId="44" xfId="0" applyNumberFormat="1" applyFont="1" applyFill="1" applyBorder="1"/>
    <xf numFmtId="0" fontId="3" fillId="2" borderId="44" xfId="0" applyFont="1" applyFill="1" applyBorder="1" applyAlignment="1">
      <alignment horizontal="left" wrapText="1"/>
    </xf>
    <xf numFmtId="0" fontId="3" fillId="2" borderId="11" xfId="0" applyFont="1" applyFill="1" applyBorder="1" applyAlignment="1">
      <alignment horizontal="left" wrapText="1"/>
    </xf>
    <xf numFmtId="165" fontId="105" fillId="47" borderId="62" xfId="110" applyNumberFormat="1" applyFont="1" applyFill="1" applyBorder="1" applyAlignment="1">
      <alignment horizontal="left"/>
    </xf>
    <xf numFmtId="165" fontId="105" fillId="47" borderId="62" xfId="0" applyNumberFormat="1" applyFont="1" applyFill="1" applyBorder="1"/>
    <xf numFmtId="3" fontId="105" fillId="47" borderId="62" xfId="110" applyNumberFormat="1" applyFont="1" applyFill="1" applyBorder="1"/>
    <xf numFmtId="3" fontId="101" fillId="47" borderId="62" xfId="110" applyNumberFormat="1" applyFont="1" applyFill="1" applyBorder="1"/>
    <xf numFmtId="0" fontId="18" fillId="4" borderId="0" xfId="0" applyFont="1" applyFill="1" applyAlignment="1">
      <alignment wrapText="1"/>
    </xf>
    <xf numFmtId="0" fontId="5" fillId="2" borderId="11" xfId="0" applyFont="1" applyFill="1" applyBorder="1" applyAlignment="1">
      <alignment horizontal="left" wrapText="1"/>
    </xf>
    <xf numFmtId="3" fontId="91" fillId="39" borderId="38" xfId="7" applyNumberFormat="1" applyFont="1" applyFill="1" applyBorder="1" applyAlignment="1">
      <alignment horizontal="right"/>
    </xf>
    <xf numFmtId="0" fontId="59" fillId="37" borderId="35" xfId="7" applyFont="1" applyFill="1" applyBorder="1" applyAlignment="1">
      <alignment horizontal="center"/>
    </xf>
    <xf numFmtId="165" fontId="117" fillId="46" borderId="62" xfId="110" applyNumberFormat="1" applyFont="1" applyFill="1" applyBorder="1"/>
    <xf numFmtId="0" fontId="4" fillId="4" borderId="0" xfId="0" applyFont="1" applyFill="1" applyAlignment="1">
      <alignment wrapText="1"/>
    </xf>
    <xf numFmtId="0" fontId="57" fillId="3" borderId="8" xfId="0" applyFont="1" applyFill="1" applyBorder="1" applyAlignment="1">
      <alignment textRotation="90" wrapText="1"/>
    </xf>
    <xf numFmtId="0" fontId="119" fillId="41" borderId="72" xfId="0" applyFont="1" applyFill="1" applyBorder="1"/>
    <xf numFmtId="0" fontId="119" fillId="41" borderId="73" xfId="0" applyFont="1" applyFill="1" applyBorder="1"/>
    <xf numFmtId="165" fontId="118" fillId="41" borderId="74" xfId="0" applyNumberFormat="1" applyFont="1" applyFill="1" applyBorder="1" applyAlignment="1">
      <alignment horizontal="left"/>
    </xf>
    <xf numFmtId="165" fontId="118" fillId="41" borderId="61" xfId="0" applyNumberFormat="1" applyFont="1" applyFill="1" applyBorder="1"/>
    <xf numFmtId="165" fontId="118" fillId="41" borderId="74" xfId="0" applyNumberFormat="1" applyFont="1" applyFill="1" applyBorder="1"/>
    <xf numFmtId="165" fontId="118" fillId="41" borderId="74" xfId="0" applyNumberFormat="1" applyFont="1" applyFill="1" applyBorder="1" applyAlignment="1">
      <alignment horizontal="left" indent="1"/>
    </xf>
    <xf numFmtId="0" fontId="9" fillId="2" borderId="0" xfId="8" applyFont="1" applyFill="1" applyBorder="1" applyAlignment="1">
      <alignment horizontal="center"/>
    </xf>
    <xf numFmtId="0" fontId="121" fillId="5" borderId="0" xfId="7" applyFont="1" applyFill="1"/>
    <xf numFmtId="1" fontId="122" fillId="41" borderId="61" xfId="0" applyNumberFormat="1" applyFont="1" applyFill="1" applyBorder="1"/>
    <xf numFmtId="9" fontId="9" fillId="2" borderId="31" xfId="1" applyFont="1" applyFill="1" applyBorder="1"/>
    <xf numFmtId="9" fontId="10" fillId="2" borderId="31" xfId="1" applyFont="1" applyFill="1" applyBorder="1"/>
    <xf numFmtId="165" fontId="5" fillId="4" borderId="31" xfId="0" applyNumberFormat="1" applyFont="1" applyFill="1" applyBorder="1" applyAlignment="1">
      <alignment horizontal="left" indent="1"/>
    </xf>
    <xf numFmtId="9" fontId="9" fillId="4" borderId="31" xfId="1" applyFont="1" applyFill="1" applyBorder="1"/>
    <xf numFmtId="9" fontId="10" fillId="4" borderId="31" xfId="1" applyFont="1" applyFill="1" applyBorder="1"/>
    <xf numFmtId="0" fontId="51" fillId="11" borderId="10" xfId="0" applyFont="1" applyFill="1" applyBorder="1"/>
    <xf numFmtId="0" fontId="57" fillId="11" borderId="10" xfId="0" applyFont="1" applyFill="1" applyBorder="1"/>
    <xf numFmtId="0" fontId="51" fillId="11" borderId="8" xfId="0" applyFont="1" applyFill="1" applyBorder="1"/>
    <xf numFmtId="0" fontId="57" fillId="11" borderId="8" xfId="0" applyFont="1" applyFill="1" applyBorder="1"/>
    <xf numFmtId="3" fontId="51" fillId="11" borderId="10" xfId="0" applyNumberFormat="1" applyFont="1" applyFill="1" applyBorder="1"/>
    <xf numFmtId="0" fontId="5" fillId="3" borderId="48" xfId="0" applyFont="1" applyFill="1" applyBorder="1" applyAlignment="1">
      <alignment horizontal="left" wrapText="1" indent="1"/>
    </xf>
    <xf numFmtId="1" fontId="5" fillId="3" borderId="46" xfId="0" applyNumberFormat="1" applyFont="1" applyFill="1" applyBorder="1"/>
    <xf numFmtId="0" fontId="5" fillId="3" borderId="11" xfId="0" applyFont="1" applyFill="1" applyBorder="1" applyAlignment="1">
      <alignment horizontal="left" wrapText="1" indent="1"/>
    </xf>
    <xf numFmtId="1" fontId="5" fillId="3" borderId="9" xfId="0" applyNumberFormat="1" applyFont="1" applyFill="1" applyBorder="1"/>
    <xf numFmtId="1" fontId="16" fillId="3" borderId="11" xfId="0" applyNumberFormat="1" applyFont="1" applyFill="1" applyBorder="1" applyAlignment="1">
      <alignment horizontal="left"/>
    </xf>
    <xf numFmtId="3" fontId="5" fillId="3" borderId="9" xfId="0" applyNumberFormat="1" applyFont="1" applyFill="1" applyBorder="1"/>
    <xf numFmtId="3" fontId="5" fillId="3" borderId="8" xfId="0" applyNumberFormat="1" applyFont="1" applyFill="1" applyBorder="1"/>
    <xf numFmtId="2" fontId="104" fillId="42" borderId="0" xfId="110" applyNumberFormat="1" applyFont="1" applyFill="1" applyBorder="1"/>
    <xf numFmtId="2" fontId="56" fillId="2" borderId="0" xfId="0" applyNumberFormat="1" applyFont="1" applyFill="1" applyAlignment="1">
      <alignment wrapText="1"/>
    </xf>
    <xf numFmtId="0" fontId="16" fillId="2" borderId="0" xfId="8" applyFont="1" applyFill="1" applyBorder="1" applyAlignment="1">
      <alignment horizontal="center"/>
    </xf>
    <xf numFmtId="9" fontId="9" fillId="2" borderId="31" xfId="1" applyFont="1" applyFill="1" applyBorder="1" applyAlignment="1"/>
    <xf numFmtId="9" fontId="9" fillId="3" borderId="31" xfId="1" applyFont="1" applyFill="1" applyBorder="1" applyAlignment="1"/>
    <xf numFmtId="0" fontId="26" fillId="2" borderId="0" xfId="0" applyFont="1" applyFill="1"/>
    <xf numFmtId="0" fontId="16" fillId="2" borderId="0" xfId="0" applyFont="1" applyFill="1" applyBorder="1"/>
    <xf numFmtId="165" fontId="124" fillId="2" borderId="9" xfId="0" applyNumberFormat="1" applyFont="1" applyFill="1" applyBorder="1"/>
    <xf numFmtId="9" fontId="9" fillId="2" borderId="32" xfId="1" applyFont="1" applyFill="1" applyBorder="1"/>
    <xf numFmtId="9" fontId="9" fillId="4" borderId="32" xfId="1" applyFont="1" applyFill="1" applyBorder="1"/>
    <xf numFmtId="165" fontId="125" fillId="2" borderId="9" xfId="0" applyNumberFormat="1" applyFont="1" applyFill="1" applyBorder="1"/>
    <xf numFmtId="0" fontId="5" fillId="2" borderId="0" xfId="0" quotePrefix="1" applyFont="1" applyFill="1"/>
    <xf numFmtId="0" fontId="9" fillId="2" borderId="0" xfId="0" quotePrefix="1" applyFont="1" applyFill="1"/>
    <xf numFmtId="10" fontId="65" fillId="5" borderId="75" xfId="8" applyNumberFormat="1" applyFont="1" applyFill="1" applyBorder="1" applyAlignment="1">
      <alignment horizontal="left" vertical="center"/>
    </xf>
    <xf numFmtId="0" fontId="4" fillId="5" borderId="75" xfId="8" applyFont="1" applyFill="1" applyBorder="1" applyAlignment="1">
      <alignment horizontal="right" vertical="center"/>
    </xf>
    <xf numFmtId="0" fontId="59" fillId="37" borderId="33" xfId="7" applyFont="1" applyFill="1" applyBorder="1" applyAlignment="1">
      <alignment horizontal="center" wrapText="1"/>
    </xf>
    <xf numFmtId="0" fontId="16" fillId="2" borderId="76" xfId="7" applyFont="1" applyFill="1" applyBorder="1" applyAlignment="1">
      <alignment horizontal="left"/>
    </xf>
    <xf numFmtId="167" fontId="77" fillId="2" borderId="76" xfId="1" applyNumberFormat="1" applyFont="1" applyFill="1" applyBorder="1" applyAlignment="1">
      <alignment horizontal="center"/>
    </xf>
    <xf numFmtId="0" fontId="16" fillId="2" borderId="77" xfId="7" applyFont="1" applyFill="1" applyBorder="1" applyAlignment="1">
      <alignment horizontal="left"/>
    </xf>
    <xf numFmtId="167" fontId="5" fillId="2" borderId="36" xfId="1" applyNumberFormat="1" applyFont="1" applyFill="1" applyBorder="1"/>
    <xf numFmtId="1" fontId="3" fillId="2" borderId="8" xfId="0" applyNumberFormat="1" applyFont="1" applyFill="1" applyBorder="1"/>
    <xf numFmtId="3" fontId="17" fillId="2" borderId="8" xfId="0" applyNumberFormat="1" applyFont="1" applyFill="1" applyBorder="1"/>
    <xf numFmtId="1" fontId="3" fillId="2" borderId="11" xfId="0" applyNumberFormat="1" applyFont="1" applyFill="1" applyBorder="1"/>
    <xf numFmtId="1" fontId="17" fillId="3" borderId="55" xfId="0" applyNumberFormat="1" applyFont="1" applyFill="1" applyBorder="1"/>
    <xf numFmtId="1" fontId="17" fillId="3" borderId="56" xfId="0" applyNumberFormat="1" applyFont="1" applyFill="1" applyBorder="1"/>
    <xf numFmtId="1" fontId="17" fillId="3" borderId="80" xfId="0" applyNumberFormat="1" applyFont="1" applyFill="1" applyBorder="1"/>
    <xf numFmtId="1" fontId="3" fillId="2" borderId="48" xfId="0" applyNumberFormat="1" applyFont="1" applyFill="1" applyBorder="1"/>
    <xf numFmtId="1" fontId="3" fillId="2" borderId="46" xfId="0" applyNumberFormat="1" applyFont="1" applyFill="1" applyBorder="1"/>
    <xf numFmtId="0" fontId="16" fillId="2" borderId="79" xfId="0" applyFont="1" applyFill="1" applyBorder="1" applyAlignment="1" applyProtection="1">
      <alignment horizontal="left" wrapText="1"/>
      <protection locked="0"/>
    </xf>
    <xf numFmtId="1" fontId="5" fillId="2" borderId="81" xfId="0" applyNumberFormat="1" applyFont="1" applyFill="1" applyBorder="1"/>
    <xf numFmtId="1" fontId="5" fillId="2" borderId="82" xfId="0" applyNumberFormat="1" applyFont="1" applyFill="1" applyBorder="1"/>
    <xf numFmtId="1" fontId="5" fillId="2" borderId="83" xfId="0" applyNumberFormat="1" applyFont="1" applyFill="1" applyBorder="1"/>
    <xf numFmtId="3" fontId="123" fillId="2" borderId="76" xfId="7" applyNumberFormat="1" applyFont="1" applyFill="1" applyBorder="1" applyAlignment="1">
      <alignment horizontal="center"/>
    </xf>
    <xf numFmtId="0" fontId="25" fillId="5" borderId="0" xfId="8" applyFont="1" applyFill="1" applyBorder="1" applyAlignment="1">
      <alignment horizontal="center" vertical="top" wrapText="1"/>
    </xf>
    <xf numFmtId="9" fontId="77" fillId="3" borderId="37" xfId="7" applyNumberFormat="1" applyFont="1" applyFill="1" applyBorder="1"/>
    <xf numFmtId="9" fontId="77" fillId="3" borderId="23" xfId="7" applyNumberFormat="1" applyFont="1" applyFill="1" applyBorder="1"/>
    <xf numFmtId="165" fontId="5" fillId="5" borderId="0" xfId="7" applyNumberFormat="1" applyFont="1" applyFill="1" applyBorder="1"/>
    <xf numFmtId="1" fontId="5" fillId="5" borderId="0" xfId="7" applyNumberFormat="1" applyFont="1" applyFill="1" applyBorder="1" applyAlignment="1">
      <alignment horizontal="center"/>
    </xf>
    <xf numFmtId="167" fontId="9" fillId="5" borderId="0" xfId="1" applyNumberFormat="1" applyFont="1" applyFill="1" applyBorder="1" applyAlignment="1">
      <alignment horizontal="left"/>
    </xf>
    <xf numFmtId="0" fontId="5" fillId="5" borderId="0" xfId="8" applyFont="1" applyFill="1"/>
    <xf numFmtId="0" fontId="93" fillId="2" borderId="41" xfId="7" applyFont="1" applyFill="1" applyBorder="1" applyAlignment="1">
      <alignment horizontal="left" indent="2"/>
    </xf>
    <xf numFmtId="10" fontId="93" fillId="2" borderId="41" xfId="7" applyNumberFormat="1" applyFont="1" applyFill="1" applyBorder="1"/>
    <xf numFmtId="167" fontId="93" fillId="2" borderId="41" xfId="7" applyNumberFormat="1" applyFont="1" applyFill="1" applyBorder="1"/>
    <xf numFmtId="0" fontId="93" fillId="2" borderId="41" xfId="7" applyFont="1" applyFill="1" applyBorder="1" applyAlignment="1">
      <alignment horizontal="left" indent="1"/>
    </xf>
    <xf numFmtId="165" fontId="122" fillId="42" borderId="62" xfId="110" applyNumberFormat="1" applyFont="1" applyFill="1" applyBorder="1"/>
    <xf numFmtId="3" fontId="128" fillId="42" borderId="62" xfId="110" applyNumberFormat="1" applyFont="1" applyFill="1" applyBorder="1"/>
    <xf numFmtId="165" fontId="128" fillId="42" borderId="62" xfId="110" applyNumberFormat="1" applyFont="1" applyFill="1" applyBorder="1"/>
    <xf numFmtId="1" fontId="128" fillId="42" borderId="62" xfId="110" applyNumberFormat="1" applyFont="1" applyFill="1" applyBorder="1"/>
    <xf numFmtId="0" fontId="2" fillId="2" borderId="0" xfId="0" applyFont="1" applyFill="1" applyBorder="1"/>
    <xf numFmtId="165" fontId="122" fillId="42" borderId="62" xfId="0" applyNumberFormat="1" applyFont="1" applyFill="1" applyBorder="1"/>
    <xf numFmtId="1" fontId="128" fillId="46" borderId="62" xfId="110" applyNumberFormat="1" applyFont="1" applyFill="1" applyBorder="1"/>
    <xf numFmtId="1" fontId="122" fillId="42" borderId="62" xfId="0" applyNumberFormat="1" applyFont="1" applyFill="1" applyBorder="1"/>
    <xf numFmtId="3" fontId="122" fillId="42" borderId="62" xfId="110" applyNumberFormat="1" applyFont="1" applyFill="1" applyBorder="1"/>
    <xf numFmtId="1" fontId="122" fillId="2" borderId="62" xfId="0" applyNumberFormat="1" applyFont="1" applyFill="1" applyBorder="1"/>
    <xf numFmtId="1" fontId="128" fillId="42" borderId="62" xfId="0" applyNumberFormat="1" applyFont="1" applyFill="1" applyBorder="1"/>
    <xf numFmtId="1" fontId="101" fillId="42" borderId="0" xfId="110" applyNumberFormat="1" applyFont="1" applyFill="1" applyBorder="1"/>
    <xf numFmtId="3" fontId="122" fillId="42" borderId="0" xfId="110" applyNumberFormat="1" applyFont="1" applyFill="1" applyBorder="1"/>
    <xf numFmtId="1" fontId="5" fillId="2" borderId="65" xfId="0" applyNumberFormat="1" applyFont="1" applyFill="1" applyBorder="1"/>
    <xf numFmtId="1" fontId="5" fillId="2" borderId="0" xfId="0" applyNumberFormat="1" applyFont="1" applyFill="1" applyBorder="1"/>
    <xf numFmtId="1" fontId="5" fillId="2" borderId="67" xfId="0" applyNumberFormat="1" applyFont="1" applyFill="1" applyBorder="1"/>
    <xf numFmtId="1" fontId="5" fillId="2" borderId="50" xfId="0" applyNumberFormat="1" applyFont="1" applyFill="1" applyBorder="1"/>
    <xf numFmtId="1" fontId="5" fillId="2" borderId="51" xfId="0" applyNumberFormat="1" applyFont="1" applyFill="1" applyBorder="1"/>
    <xf numFmtId="165" fontId="5" fillId="2" borderId="0" xfId="0" applyNumberFormat="1" applyFont="1" applyFill="1" applyBorder="1" applyAlignment="1">
      <alignment horizontal="left" indent="1"/>
    </xf>
    <xf numFmtId="1" fontId="56" fillId="2" borderId="0" xfId="0" applyNumberFormat="1" applyFont="1" applyFill="1" applyAlignment="1">
      <alignment wrapText="1"/>
    </xf>
    <xf numFmtId="1" fontId="56" fillId="4" borderId="0" xfId="0" applyNumberFormat="1" applyFont="1" applyFill="1" applyAlignment="1">
      <alignment wrapText="1"/>
    </xf>
    <xf numFmtId="1" fontId="119" fillId="41" borderId="73" xfId="0" applyNumberFormat="1" applyFont="1" applyFill="1" applyBorder="1"/>
    <xf numFmtId="165" fontId="5" fillId="2" borderId="0" xfId="0" applyNumberFormat="1" applyFont="1" applyFill="1" applyBorder="1" applyAlignment="1">
      <alignment textRotation="90"/>
    </xf>
    <xf numFmtId="9" fontId="5" fillId="2" borderId="0" xfId="1" applyFont="1" applyFill="1" applyBorder="1" applyAlignment="1"/>
    <xf numFmtId="0" fontId="56" fillId="2" borderId="0" xfId="0" applyFont="1" applyFill="1" applyBorder="1" applyAlignment="1"/>
    <xf numFmtId="4" fontId="77" fillId="2" borderId="37" xfId="7" applyNumberFormat="1" applyFont="1" applyFill="1" applyBorder="1"/>
    <xf numFmtId="9" fontId="9" fillId="3" borderId="31" xfId="1" applyFont="1" applyFill="1" applyBorder="1"/>
    <xf numFmtId="9" fontId="16" fillId="2" borderId="37" xfId="7" applyNumberFormat="1" applyFont="1" applyFill="1" applyBorder="1" applyAlignment="1">
      <alignment horizontal="left"/>
    </xf>
    <xf numFmtId="3" fontId="5" fillId="5" borderId="4" xfId="0" applyNumberFormat="1" applyFont="1" applyFill="1" applyBorder="1"/>
    <xf numFmtId="10" fontId="16" fillId="5" borderId="0" xfId="7" applyNumberFormat="1" applyFont="1" applyFill="1"/>
    <xf numFmtId="10" fontId="25" fillId="5" borderId="0" xfId="8" applyNumberFormat="1" applyFont="1" applyFill="1" applyBorder="1" applyAlignment="1">
      <alignment horizontal="right"/>
    </xf>
    <xf numFmtId="0" fontId="82" fillId="5" borderId="0" xfId="0" applyFont="1" applyFill="1" applyBorder="1" applyAlignment="1"/>
    <xf numFmtId="0" fontId="11" fillId="2" borderId="0" xfId="4" applyFill="1"/>
    <xf numFmtId="0" fontId="22" fillId="2" borderId="0" xfId="0" applyFont="1" applyFill="1"/>
    <xf numFmtId="0" fontId="130" fillId="2" borderId="0" xfId="4" applyFont="1" applyFill="1"/>
    <xf numFmtId="0" fontId="83" fillId="2" borderId="0" xfId="0" applyFont="1" applyFill="1"/>
    <xf numFmtId="167" fontId="10" fillId="34" borderId="25" xfId="1" applyNumberFormat="1" applyFont="1" applyFill="1" applyBorder="1" applyAlignment="1" applyProtection="1">
      <protection locked="0"/>
    </xf>
    <xf numFmtId="0" fontId="3" fillId="2" borderId="84" xfId="0" applyFont="1" applyFill="1" applyBorder="1"/>
    <xf numFmtId="0" fontId="5" fillId="2" borderId="85" xfId="0" applyFont="1" applyFill="1" applyBorder="1"/>
    <xf numFmtId="0" fontId="5" fillId="2" borderId="86" xfId="0" applyFont="1" applyFill="1" applyBorder="1" applyAlignment="1">
      <alignment horizontal="left" indent="1"/>
    </xf>
    <xf numFmtId="2" fontId="5" fillId="2" borderId="87" xfId="1" applyNumberFormat="1" applyFont="1" applyFill="1" applyBorder="1" applyAlignment="1">
      <alignment horizontal="center"/>
    </xf>
    <xf numFmtId="0" fontId="3" fillId="2" borderId="86" xfId="0" applyFont="1" applyFill="1" applyBorder="1"/>
    <xf numFmtId="2" fontId="5" fillId="2" borderId="87" xfId="0" applyNumberFormat="1" applyFont="1" applyFill="1" applyBorder="1" applyAlignment="1">
      <alignment horizontal="center"/>
    </xf>
    <xf numFmtId="2" fontId="0" fillId="2" borderId="87" xfId="0" applyNumberFormat="1" applyFont="1" applyFill="1" applyBorder="1" applyAlignment="1">
      <alignment horizontal="center"/>
    </xf>
    <xf numFmtId="0" fontId="5" fillId="2" borderId="88" xfId="0" applyFont="1" applyFill="1" applyBorder="1" applyAlignment="1">
      <alignment horizontal="left" indent="1"/>
    </xf>
    <xf numFmtId="2" fontId="5" fillId="2" borderId="89" xfId="1" applyNumberFormat="1" applyFont="1" applyFill="1" applyBorder="1" applyAlignment="1">
      <alignment horizontal="center"/>
    </xf>
    <xf numFmtId="3" fontId="131" fillId="2" borderId="23" xfId="0" applyNumberFormat="1" applyFont="1" applyFill="1" applyBorder="1"/>
    <xf numFmtId="165" fontId="131" fillId="2" borderId="23" xfId="0" applyNumberFormat="1" applyFont="1" applyFill="1" applyBorder="1"/>
    <xf numFmtId="1" fontId="131" fillId="2" borderId="23" xfId="0" applyNumberFormat="1" applyFont="1" applyFill="1" applyBorder="1"/>
    <xf numFmtId="0" fontId="130" fillId="2" borderId="0" xfId="4" applyFont="1" applyFill="1" applyAlignment="1"/>
    <xf numFmtId="165" fontId="5" fillId="2" borderId="32" xfId="0" applyNumberFormat="1" applyFont="1" applyFill="1" applyBorder="1"/>
    <xf numFmtId="165" fontId="3" fillId="2" borderId="32" xfId="0" applyNumberFormat="1" applyFont="1" applyFill="1" applyBorder="1" applyAlignment="1">
      <alignment textRotation="90" wrapText="1"/>
    </xf>
    <xf numFmtId="165" fontId="19" fillId="2" borderId="32" xfId="0" applyNumberFormat="1" applyFont="1" applyFill="1" applyBorder="1" applyAlignment="1">
      <alignment horizontal="right"/>
    </xf>
    <xf numFmtId="1" fontId="20" fillId="2" borderId="32" xfId="0" applyNumberFormat="1" applyFont="1" applyFill="1" applyBorder="1" applyAlignment="1"/>
    <xf numFmtId="165" fontId="5" fillId="2" borderId="32" xfId="0" applyNumberFormat="1" applyFont="1" applyFill="1" applyBorder="1" applyAlignment="1">
      <alignment horizontal="left" indent="1"/>
    </xf>
    <xf numFmtId="9" fontId="9" fillId="3" borderId="32" xfId="1" applyFont="1" applyFill="1" applyBorder="1"/>
    <xf numFmtId="165" fontId="9" fillId="2" borderId="32" xfId="0" applyNumberFormat="1" applyFont="1" applyFill="1" applyBorder="1"/>
    <xf numFmtId="0" fontId="57" fillId="2" borderId="32" xfId="0" applyFont="1" applyFill="1" applyBorder="1"/>
    <xf numFmtId="165" fontId="5" fillId="2" borderId="32" xfId="0" applyNumberFormat="1" applyFont="1" applyFill="1" applyBorder="1" applyAlignment="1">
      <alignment horizontal="left"/>
    </xf>
    <xf numFmtId="2" fontId="131" fillId="2" borderId="32" xfId="0" applyNumberFormat="1" applyFont="1" applyFill="1" applyBorder="1"/>
    <xf numFmtId="165" fontId="131" fillId="2" borderId="32" xfId="0" applyNumberFormat="1" applyFont="1" applyFill="1" applyBorder="1"/>
    <xf numFmtId="2" fontId="5" fillId="2" borderId="32" xfId="0" applyNumberFormat="1" applyFont="1" applyFill="1" applyBorder="1"/>
    <xf numFmtId="3" fontId="5" fillId="2" borderId="32" xfId="0" applyNumberFormat="1" applyFont="1" applyFill="1" applyBorder="1"/>
    <xf numFmtId="165" fontId="5" fillId="11" borderId="32" xfId="0" applyNumberFormat="1" applyFont="1" applyFill="1" applyBorder="1"/>
    <xf numFmtId="0" fontId="70" fillId="2" borderId="32" xfId="0" applyFont="1" applyFill="1" applyBorder="1" applyAlignment="1">
      <alignment horizontal="right"/>
    </xf>
    <xf numFmtId="0" fontId="70" fillId="2" borderId="32" xfId="0" applyFont="1" applyFill="1" applyBorder="1"/>
    <xf numFmtId="0" fontId="51" fillId="2" borderId="32" xfId="0" applyFont="1" applyFill="1" applyBorder="1"/>
    <xf numFmtId="165" fontId="5" fillId="3" borderId="32" xfId="0" applyNumberFormat="1" applyFont="1" applyFill="1" applyBorder="1"/>
    <xf numFmtId="9" fontId="5" fillId="3" borderId="32" xfId="1" applyFont="1" applyFill="1" applyBorder="1"/>
    <xf numFmtId="9" fontId="3" fillId="3" borderId="32" xfId="1" applyFont="1" applyFill="1" applyBorder="1"/>
    <xf numFmtId="9" fontId="5" fillId="2" borderId="32" xfId="1" applyFont="1" applyFill="1" applyBorder="1"/>
    <xf numFmtId="165" fontId="5" fillId="2" borderId="32" xfId="0" applyNumberFormat="1" applyFont="1" applyFill="1" applyBorder="1" applyAlignment="1">
      <alignment horizontal="left" indent="2"/>
    </xf>
    <xf numFmtId="1" fontId="131" fillId="2" borderId="37" xfId="0" applyNumberFormat="1" applyFont="1" applyFill="1" applyBorder="1"/>
    <xf numFmtId="1" fontId="131" fillId="2" borderId="25" xfId="0" applyNumberFormat="1" applyFont="1" applyFill="1" applyBorder="1"/>
    <xf numFmtId="1" fontId="131" fillId="2" borderId="39" xfId="0" applyNumberFormat="1" applyFont="1" applyFill="1" applyBorder="1"/>
    <xf numFmtId="1" fontId="131" fillId="2" borderId="65" xfId="0" applyNumberFormat="1" applyFont="1" applyFill="1" applyBorder="1"/>
    <xf numFmtId="1" fontId="131" fillId="2" borderId="0" xfId="0" applyNumberFormat="1" applyFont="1" applyFill="1" applyBorder="1"/>
    <xf numFmtId="1" fontId="131" fillId="2" borderId="66" xfId="0" applyNumberFormat="1" applyFont="1" applyFill="1" applyBorder="1"/>
    <xf numFmtId="1" fontId="131" fillId="2" borderId="67" xfId="0" applyNumberFormat="1" applyFont="1" applyFill="1" applyBorder="1"/>
    <xf numFmtId="1" fontId="131" fillId="2" borderId="33" xfId="0" applyNumberFormat="1" applyFont="1" applyFill="1" applyBorder="1"/>
    <xf numFmtId="1" fontId="131" fillId="2" borderId="50" xfId="0" applyNumberFormat="1" applyFont="1" applyFill="1" applyBorder="1"/>
    <xf numFmtId="1" fontId="131" fillId="2" borderId="51" xfId="0" applyNumberFormat="1" applyFont="1" applyFill="1" applyBorder="1"/>
    <xf numFmtId="1" fontId="131" fillId="2" borderId="27" xfId="0" applyNumberFormat="1" applyFont="1" applyFill="1" applyBorder="1"/>
    <xf numFmtId="1" fontId="131" fillId="2" borderId="36" xfId="0" applyNumberFormat="1" applyFont="1" applyFill="1" applyBorder="1"/>
    <xf numFmtId="9" fontId="131" fillId="3" borderId="37" xfId="1" applyFont="1" applyFill="1" applyBorder="1"/>
    <xf numFmtId="9" fontId="131" fillId="3" borderId="66" xfId="1" applyFont="1" applyFill="1" applyBorder="1"/>
    <xf numFmtId="9" fontId="131" fillId="3" borderId="23" xfId="1" applyFont="1" applyFill="1" applyBorder="1"/>
    <xf numFmtId="9" fontId="131" fillId="3" borderId="0" xfId="1" applyFont="1" applyFill="1" applyBorder="1"/>
    <xf numFmtId="165" fontId="131" fillId="2" borderId="27" xfId="0" applyNumberFormat="1" applyFont="1" applyFill="1" applyBorder="1"/>
    <xf numFmtId="165" fontId="131" fillId="2" borderId="66" xfId="0" applyNumberFormat="1" applyFont="1" applyFill="1" applyBorder="1"/>
    <xf numFmtId="165" fontId="131" fillId="2" borderId="37" xfId="0" applyNumberFormat="1" applyFont="1" applyFill="1" applyBorder="1"/>
    <xf numFmtId="165" fontId="131" fillId="2" borderId="0" xfId="0" applyNumberFormat="1" applyFont="1" applyFill="1" applyBorder="1"/>
    <xf numFmtId="165" fontId="131" fillId="2" borderId="67" xfId="0" applyNumberFormat="1" applyFont="1" applyFill="1" applyBorder="1"/>
    <xf numFmtId="165" fontId="131" fillId="2" borderId="33" xfId="0" applyNumberFormat="1" applyFont="1" applyFill="1" applyBorder="1"/>
    <xf numFmtId="165" fontId="131" fillId="2" borderId="50" xfId="0" applyNumberFormat="1" applyFont="1" applyFill="1" applyBorder="1"/>
    <xf numFmtId="165" fontId="131" fillId="2" borderId="51" xfId="0" applyNumberFormat="1" applyFont="1" applyFill="1" applyBorder="1"/>
    <xf numFmtId="165" fontId="131" fillId="2" borderId="35" xfId="0" applyNumberFormat="1" applyFont="1" applyFill="1" applyBorder="1"/>
    <xf numFmtId="165" fontId="131" fillId="2" borderId="36" xfId="0" applyNumberFormat="1" applyFont="1" applyFill="1" applyBorder="1"/>
    <xf numFmtId="165" fontId="131" fillId="2" borderId="38" xfId="0" applyNumberFormat="1" applyFont="1" applyFill="1" applyBorder="1"/>
    <xf numFmtId="9" fontId="131" fillId="3" borderId="39" xfId="1" applyFont="1" applyFill="1" applyBorder="1"/>
    <xf numFmtId="9" fontId="131" fillId="3" borderId="65" xfId="1" applyFont="1" applyFill="1" applyBorder="1"/>
    <xf numFmtId="9" fontId="131" fillId="3" borderId="67" xfId="1" applyFont="1" applyFill="1" applyBorder="1"/>
    <xf numFmtId="165" fontId="131" fillId="2" borderId="25" xfId="0" applyNumberFormat="1" applyFont="1" applyFill="1" applyBorder="1"/>
    <xf numFmtId="165" fontId="131" fillId="2" borderId="39" xfId="0" applyNumberFormat="1" applyFont="1" applyFill="1" applyBorder="1"/>
    <xf numFmtId="1" fontId="131" fillId="2" borderId="38" xfId="0" applyNumberFormat="1" applyFont="1" applyFill="1" applyBorder="1"/>
    <xf numFmtId="0" fontId="57" fillId="6" borderId="32" xfId="0" applyFont="1" applyFill="1" applyBorder="1"/>
    <xf numFmtId="0" fontId="51" fillId="3" borderId="32" xfId="0" applyFont="1" applyFill="1" applyBorder="1"/>
    <xf numFmtId="0" fontId="57" fillId="3" borderId="32" xfId="0" applyFont="1" applyFill="1" applyBorder="1"/>
    <xf numFmtId="0" fontId="22" fillId="2" borderId="0" xfId="0" applyFont="1" applyFill="1" applyBorder="1"/>
    <xf numFmtId="0" fontId="130" fillId="5" borderId="0" xfId="4" applyFont="1" applyFill="1"/>
    <xf numFmtId="0" fontId="132" fillId="50" borderId="0" xfId="0" applyFont="1" applyFill="1" applyBorder="1"/>
    <xf numFmtId="0" fontId="132" fillId="50" borderId="0" xfId="0" applyFont="1" applyFill="1"/>
    <xf numFmtId="0" fontId="5" fillId="49" borderId="0" xfId="0" applyFont="1" applyFill="1"/>
    <xf numFmtId="174" fontId="5" fillId="49" borderId="0" xfId="0" applyNumberFormat="1" applyFont="1" applyFill="1"/>
    <xf numFmtId="0" fontId="132" fillId="2" borderId="0" xfId="0" applyFont="1" applyFill="1" applyBorder="1"/>
    <xf numFmtId="0" fontId="132" fillId="2" borderId="0" xfId="0" applyFont="1" applyFill="1"/>
    <xf numFmtId="0" fontId="135" fillId="50" borderId="0" xfId="0" applyFont="1" applyFill="1"/>
    <xf numFmtId="0" fontId="90" fillId="2" borderId="0" xfId="0" applyFont="1" applyFill="1" applyAlignment="1">
      <alignment vertical="center"/>
    </xf>
    <xf numFmtId="2" fontId="81" fillId="2" borderId="23" xfId="7" applyNumberFormat="1" applyFont="1" applyFill="1" applyBorder="1"/>
    <xf numFmtId="10" fontId="137" fillId="39" borderId="38" xfId="1" applyNumberFormat="1" applyFont="1" applyFill="1" applyBorder="1" applyAlignment="1">
      <alignment horizontal="right"/>
    </xf>
    <xf numFmtId="167" fontId="137" fillId="39" borderId="38" xfId="1" applyNumberFormat="1" applyFont="1" applyFill="1" applyBorder="1" applyAlignment="1">
      <alignment horizontal="right"/>
    </xf>
    <xf numFmtId="2" fontId="131" fillId="2" borderId="23" xfId="0" applyNumberFormat="1" applyFont="1" applyFill="1" applyBorder="1"/>
    <xf numFmtId="2" fontId="5" fillId="2" borderId="23" xfId="0" applyNumberFormat="1" applyFont="1" applyFill="1" applyBorder="1"/>
    <xf numFmtId="3" fontId="122" fillId="51" borderId="62" xfId="110" applyNumberFormat="1" applyFont="1" applyFill="1" applyBorder="1"/>
    <xf numFmtId="3" fontId="129" fillId="51" borderId="62" xfId="110" applyNumberFormat="1" applyFont="1" applyFill="1" applyBorder="1"/>
    <xf numFmtId="1" fontId="128" fillId="51" borderId="62" xfId="0" applyNumberFormat="1" applyFont="1" applyFill="1" applyBorder="1"/>
    <xf numFmtId="165" fontId="128" fillId="51" borderId="62" xfId="0" applyNumberFormat="1" applyFont="1" applyFill="1" applyBorder="1"/>
    <xf numFmtId="165" fontId="122" fillId="51" borderId="62" xfId="0" applyNumberFormat="1" applyFont="1" applyFill="1" applyBorder="1"/>
    <xf numFmtId="1" fontId="122" fillId="8" borderId="62" xfId="0" applyNumberFormat="1" applyFont="1" applyFill="1" applyBorder="1"/>
    <xf numFmtId="1" fontId="122" fillId="51" borderId="62" xfId="0" applyNumberFormat="1" applyFont="1" applyFill="1" applyBorder="1"/>
    <xf numFmtId="165" fontId="122" fillId="8" borderId="62" xfId="0" applyNumberFormat="1" applyFont="1" applyFill="1" applyBorder="1"/>
    <xf numFmtId="0" fontId="5" fillId="8" borderId="0" xfId="0" applyFont="1" applyFill="1"/>
    <xf numFmtId="174" fontId="5" fillId="2" borderId="0" xfId="0" applyNumberFormat="1" applyFont="1" applyFill="1" applyAlignment="1">
      <alignment horizontal="right"/>
    </xf>
    <xf numFmtId="167" fontId="5" fillId="2" borderId="0" xfId="1" applyNumberFormat="1" applyFont="1" applyFill="1" applyBorder="1"/>
    <xf numFmtId="0" fontId="139" fillId="5" borderId="0" xfId="8" applyFont="1" applyFill="1"/>
    <xf numFmtId="0" fontId="16" fillId="2" borderId="8" xfId="7" applyFont="1" applyFill="1" applyBorder="1" applyAlignment="1">
      <alignment horizontal="left"/>
    </xf>
    <xf numFmtId="9" fontId="77" fillId="3" borderId="8" xfId="7" applyNumberFormat="1" applyFont="1" applyFill="1" applyBorder="1"/>
    <xf numFmtId="10" fontId="77" fillId="2" borderId="8" xfId="1" applyNumberFormat="1" applyFont="1" applyFill="1" applyBorder="1"/>
    <xf numFmtId="10" fontId="91" fillId="39" borderId="8" xfId="1" applyNumberFormat="1" applyFont="1" applyFill="1" applyBorder="1" applyAlignment="1">
      <alignment horizontal="right"/>
    </xf>
    <xf numFmtId="167" fontId="77" fillId="2" borderId="8" xfId="1" applyNumberFormat="1" applyFont="1" applyFill="1" applyBorder="1"/>
    <xf numFmtId="0" fontId="59" fillId="37" borderId="49" xfId="7" applyFont="1" applyFill="1" applyBorder="1"/>
    <xf numFmtId="0" fontId="16" fillId="2" borderId="90" xfId="7" applyFont="1" applyFill="1" applyBorder="1" applyAlignment="1"/>
    <xf numFmtId="0" fontId="16" fillId="2" borderId="91" xfId="7" applyFont="1" applyFill="1" applyBorder="1" applyAlignment="1"/>
    <xf numFmtId="10" fontId="84" fillId="5" borderId="0" xfId="8" applyNumberFormat="1" applyFont="1" applyFill="1" applyBorder="1" applyAlignment="1">
      <alignment horizontal="left"/>
    </xf>
    <xf numFmtId="0" fontId="139" fillId="5" borderId="0" xfId="8" applyFont="1" applyFill="1" applyBorder="1"/>
    <xf numFmtId="0" fontId="59" fillId="38" borderId="0" xfId="0" applyFont="1" applyFill="1" applyBorder="1" applyAlignment="1">
      <alignment horizontal="right"/>
    </xf>
    <xf numFmtId="0" fontId="59" fillId="38" borderId="0" xfId="0" applyFont="1" applyFill="1" applyBorder="1"/>
    <xf numFmtId="0" fontId="57" fillId="5" borderId="0" xfId="7" applyFont="1" applyFill="1"/>
    <xf numFmtId="0" fontId="57" fillId="5" borderId="0" xfId="8" applyFont="1" applyFill="1"/>
    <xf numFmtId="0" fontId="25" fillId="5" borderId="0" xfId="8" applyFont="1" applyFill="1" applyAlignment="1">
      <alignment horizontal="center"/>
    </xf>
    <xf numFmtId="0" fontId="16" fillId="2" borderId="0" xfId="8" applyFont="1" applyFill="1"/>
    <xf numFmtId="0" fontId="139" fillId="2" borderId="0" xfId="8" applyFont="1" applyFill="1"/>
    <xf numFmtId="0" fontId="16" fillId="2" borderId="0" xfId="8" applyFont="1" applyFill="1" applyBorder="1"/>
    <xf numFmtId="3" fontId="125" fillId="0" borderId="4" xfId="0" applyNumberFormat="1" applyFont="1" applyBorder="1"/>
    <xf numFmtId="3" fontId="125" fillId="11" borderId="4" xfId="0" applyNumberFormat="1" applyFont="1" applyFill="1" applyBorder="1"/>
    <xf numFmtId="3" fontId="125" fillId="8" borderId="4" xfId="0" applyNumberFormat="1" applyFont="1" applyFill="1" applyBorder="1"/>
    <xf numFmtId="166" fontId="125" fillId="0" borderId="4" xfId="0" applyNumberFormat="1" applyFont="1" applyBorder="1"/>
    <xf numFmtId="167" fontId="125" fillId="0" borderId="4" xfId="0" applyNumberFormat="1" applyFont="1" applyBorder="1"/>
    <xf numFmtId="167" fontId="125" fillId="11" borderId="4" xfId="0" applyNumberFormat="1" applyFont="1" applyFill="1" applyBorder="1"/>
    <xf numFmtId="167" fontId="125" fillId="8" borderId="4" xfId="0" applyNumberFormat="1" applyFont="1" applyFill="1" applyBorder="1"/>
    <xf numFmtId="166" fontId="125" fillId="11" borderId="4" xfId="0" applyNumberFormat="1" applyFont="1" applyFill="1" applyBorder="1"/>
    <xf numFmtId="166" fontId="125" fillId="8" borderId="4" xfId="0" applyNumberFormat="1" applyFont="1" applyFill="1" applyBorder="1"/>
    <xf numFmtId="167" fontId="125" fillId="0" borderId="4" xfId="1" applyNumberFormat="1" applyFont="1" applyFill="1" applyBorder="1"/>
    <xf numFmtId="167" fontId="125" fillId="11" borderId="4" xfId="1" applyNumberFormat="1" applyFont="1" applyFill="1" applyBorder="1"/>
    <xf numFmtId="167" fontId="125" fillId="8" borderId="4" xfId="1" applyNumberFormat="1" applyFont="1" applyFill="1" applyBorder="1"/>
    <xf numFmtId="3" fontId="125" fillId="0" borderId="4" xfId="0" applyNumberFormat="1" applyFont="1" applyFill="1" applyBorder="1"/>
    <xf numFmtId="167" fontId="125" fillId="2" borderId="4" xfId="0" applyNumberFormat="1" applyFont="1" applyFill="1" applyBorder="1"/>
    <xf numFmtId="3" fontId="125" fillId="0" borderId="4" xfId="0" applyNumberFormat="1" applyFont="1" applyBorder="1" applyAlignment="1" applyProtection="1">
      <alignment horizontal="right"/>
      <protection locked="0"/>
    </xf>
    <xf numFmtId="0" fontId="125" fillId="2" borderId="23" xfId="0" applyFont="1" applyFill="1" applyBorder="1"/>
    <xf numFmtId="4" fontId="125" fillId="0" borderId="59" xfId="0" applyNumberFormat="1" applyFont="1" applyBorder="1" applyAlignment="1" applyProtection="1">
      <alignment horizontal="right"/>
      <protection locked="0"/>
    </xf>
    <xf numFmtId="4" fontId="125" fillId="0" borderId="4" xfId="0" applyNumberFormat="1" applyFont="1" applyBorder="1" applyAlignment="1" applyProtection="1">
      <alignment horizontal="right"/>
      <protection locked="0"/>
    </xf>
    <xf numFmtId="165" fontId="131" fillId="8" borderId="23" xfId="0" applyNumberFormat="1" applyFont="1" applyFill="1" applyBorder="1"/>
    <xf numFmtId="1" fontId="122" fillId="51" borderId="61" xfId="0" applyNumberFormat="1" applyFont="1" applyFill="1" applyBorder="1"/>
    <xf numFmtId="165" fontId="124" fillId="8" borderId="9" xfId="0" applyNumberFormat="1" applyFont="1" applyFill="1" applyBorder="1"/>
    <xf numFmtId="2" fontId="77" fillId="2" borderId="76" xfId="1" applyNumberFormat="1" applyFont="1" applyFill="1" applyBorder="1" applyAlignment="1">
      <alignment horizontal="center"/>
    </xf>
    <xf numFmtId="2" fontId="120" fillId="4" borderId="78" xfId="1" applyNumberFormat="1" applyFont="1" applyFill="1" applyBorder="1" applyAlignment="1">
      <alignment horizontal="center" vertical="center"/>
    </xf>
    <xf numFmtId="4" fontId="91" fillId="39" borderId="38" xfId="7" applyNumberFormat="1" applyFont="1" applyFill="1" applyBorder="1" applyAlignment="1">
      <alignment horizontal="right"/>
    </xf>
    <xf numFmtId="0" fontId="140" fillId="2" borderId="0" xfId="8" applyFont="1" applyFill="1" applyBorder="1"/>
    <xf numFmtId="0" fontId="141" fillId="2" borderId="0" xfId="8" applyFont="1" applyFill="1" applyBorder="1"/>
    <xf numFmtId="168" fontId="5" fillId="4" borderId="0" xfId="0" applyNumberFormat="1" applyFont="1" applyFill="1"/>
    <xf numFmtId="165" fontId="5" fillId="4" borderId="0" xfId="0" applyNumberFormat="1" applyFont="1" applyFill="1" applyAlignment="1">
      <alignment textRotation="90" wrapText="1"/>
    </xf>
    <xf numFmtId="0" fontId="16" fillId="2" borderId="92" xfId="7" applyFont="1" applyFill="1" applyBorder="1" applyAlignment="1">
      <alignment horizontal="left"/>
    </xf>
    <xf numFmtId="0" fontId="140" fillId="2" borderId="0" xfId="8" applyFont="1" applyFill="1"/>
    <xf numFmtId="165" fontId="125" fillId="3" borderId="23" xfId="0" applyNumberFormat="1" applyFont="1" applyFill="1" applyBorder="1"/>
    <xf numFmtId="1" fontId="125" fillId="2" borderId="23" xfId="0" applyNumberFormat="1" applyFont="1" applyFill="1" applyBorder="1"/>
    <xf numFmtId="1" fontId="125" fillId="3" borderId="23" xfId="0" applyNumberFormat="1" applyFont="1" applyFill="1" applyBorder="1"/>
    <xf numFmtId="165" fontId="125" fillId="2" borderId="23" xfId="0" applyNumberFormat="1" applyFont="1" applyFill="1" applyBorder="1"/>
    <xf numFmtId="3" fontId="125" fillId="2" borderId="23" xfId="0" applyNumberFormat="1" applyFont="1" applyFill="1" applyBorder="1"/>
    <xf numFmtId="0" fontId="142" fillId="5" borderId="0" xfId="0" applyFont="1" applyFill="1" applyAlignment="1" applyProtection="1">
      <alignment horizontal="left" wrapText="1"/>
      <protection locked="0"/>
    </xf>
    <xf numFmtId="4" fontId="62" fillId="2" borderId="8" xfId="0" applyNumberFormat="1" applyFont="1" applyFill="1" applyBorder="1"/>
    <xf numFmtId="0" fontId="59" fillId="38" borderId="12" xfId="0" applyFont="1" applyFill="1" applyBorder="1"/>
    <xf numFmtId="0" fontId="74" fillId="2" borderId="4" xfId="2" applyFont="1" applyFill="1" applyBorder="1" applyProtection="1">
      <alignment vertical="top"/>
    </xf>
    <xf numFmtId="166" fontId="74" fillId="2" borderId="4" xfId="2" applyNumberFormat="1" applyFont="1" applyFill="1" applyBorder="1" applyProtection="1">
      <alignment vertical="top"/>
    </xf>
    <xf numFmtId="3" fontId="74" fillId="2" borderId="4" xfId="2" applyNumberFormat="1" applyFont="1" applyFill="1" applyBorder="1" applyProtection="1">
      <alignment vertical="top"/>
    </xf>
    <xf numFmtId="3" fontId="125" fillId="2" borderId="4" xfId="2" applyNumberFormat="1" applyFont="1" applyFill="1" applyBorder="1" applyProtection="1">
      <alignment vertical="top"/>
    </xf>
    <xf numFmtId="0" fontId="16" fillId="2" borderId="4" xfId="7" applyFont="1" applyFill="1" applyBorder="1" applyAlignment="1">
      <alignment horizontal="left"/>
    </xf>
    <xf numFmtId="9" fontId="77" fillId="3" borderId="4" xfId="7" applyNumberFormat="1" applyFont="1" applyFill="1" applyBorder="1"/>
    <xf numFmtId="3" fontId="138" fillId="2" borderId="4" xfId="7" applyNumberFormat="1" applyFont="1" applyFill="1" applyBorder="1" applyAlignment="1">
      <alignment horizontal="center"/>
    </xf>
    <xf numFmtId="0" fontId="5" fillId="2" borderId="0" xfId="0" applyFont="1" applyFill="1" applyAlignment="1">
      <alignment horizontal="right"/>
    </xf>
    <xf numFmtId="3" fontId="5" fillId="2" borderId="12" xfId="0" applyNumberFormat="1" applyFont="1" applyFill="1" applyBorder="1"/>
    <xf numFmtId="3" fontId="5" fillId="2" borderId="5" xfId="0" applyNumberFormat="1" applyFont="1" applyFill="1" applyBorder="1"/>
    <xf numFmtId="0" fontId="5" fillId="2" borderId="93" xfId="0" applyFont="1" applyFill="1" applyBorder="1"/>
    <xf numFmtId="3" fontId="3" fillId="2" borderId="5" xfId="0" applyNumberFormat="1" applyFont="1" applyFill="1" applyBorder="1"/>
    <xf numFmtId="9" fontId="77" fillId="2" borderId="93" xfId="7" applyNumberFormat="1" applyFont="1" applyFill="1" applyBorder="1"/>
    <xf numFmtId="167" fontId="81" fillId="2" borderId="41" xfId="7" applyNumberFormat="1" applyFont="1" applyFill="1" applyBorder="1"/>
    <xf numFmtId="3" fontId="91" fillId="39" borderId="27" xfId="7" applyNumberFormat="1" applyFont="1" applyFill="1" applyBorder="1" applyAlignment="1">
      <alignment horizontal="right"/>
    </xf>
    <xf numFmtId="4" fontId="91" fillId="39" borderId="25" xfId="7" applyNumberFormat="1" applyFont="1" applyFill="1" applyBorder="1" applyAlignment="1">
      <alignment horizontal="right"/>
    </xf>
    <xf numFmtId="10" fontId="143" fillId="5" borderId="0" xfId="8" applyNumberFormat="1" applyFont="1" applyFill="1" applyBorder="1" applyAlignment="1">
      <alignment horizontal="left" vertical="center"/>
    </xf>
    <xf numFmtId="0" fontId="16" fillId="4" borderId="35" xfId="7" applyFont="1" applyFill="1" applyBorder="1" applyAlignment="1">
      <alignment horizontal="left"/>
    </xf>
    <xf numFmtId="9" fontId="77" fillId="4" borderId="27" xfId="7" applyNumberFormat="1" applyFont="1" applyFill="1" applyBorder="1"/>
    <xf numFmtId="3" fontId="77" fillId="4" borderId="27" xfId="7" applyNumberFormat="1" applyFont="1" applyFill="1" applyBorder="1"/>
    <xf numFmtId="166" fontId="77" fillId="4" borderId="27" xfId="7" applyNumberFormat="1" applyFont="1" applyFill="1" applyBorder="1"/>
    <xf numFmtId="4" fontId="77" fillId="4" borderId="27" xfId="7" applyNumberFormat="1" applyFont="1" applyFill="1" applyBorder="1"/>
    <xf numFmtId="168" fontId="77" fillId="2" borderId="76" xfId="1" applyNumberFormat="1" applyFont="1" applyFill="1" applyBorder="1" applyAlignment="1">
      <alignment horizontal="center"/>
    </xf>
    <xf numFmtId="164" fontId="144" fillId="2" borderId="0" xfId="8" applyNumberFormat="1" applyFont="1" applyFill="1"/>
    <xf numFmtId="3" fontId="16" fillId="5" borderId="0" xfId="7" applyNumberFormat="1" applyFont="1" applyFill="1"/>
    <xf numFmtId="0" fontId="16" fillId="4" borderId="76" xfId="7" applyFont="1" applyFill="1" applyBorder="1" applyAlignment="1">
      <alignment horizontal="left"/>
    </xf>
    <xf numFmtId="0" fontId="16" fillId="4" borderId="92" xfId="7" applyFont="1" applyFill="1" applyBorder="1" applyAlignment="1">
      <alignment horizontal="left"/>
    </xf>
    <xf numFmtId="0" fontId="16" fillId="4" borderId="91" xfId="7" applyFont="1" applyFill="1" applyBorder="1" applyAlignment="1"/>
    <xf numFmtId="0" fontId="16" fillId="4" borderId="77" xfId="7" applyFont="1" applyFill="1" applyBorder="1" applyAlignment="1">
      <alignment horizontal="left"/>
    </xf>
    <xf numFmtId="2" fontId="17" fillId="5" borderId="0" xfId="7" applyNumberFormat="1" applyFont="1" applyFill="1"/>
    <xf numFmtId="168" fontId="17" fillId="5" borderId="0" xfId="7" applyNumberFormat="1" applyFont="1" applyFill="1"/>
    <xf numFmtId="0" fontId="4" fillId="5" borderId="75" xfId="8" applyFont="1" applyFill="1" applyBorder="1" applyAlignment="1">
      <alignment horizontal="right" vertical="top"/>
    </xf>
    <xf numFmtId="168" fontId="17" fillId="5" borderId="0" xfId="7" applyNumberFormat="1" applyFont="1" applyFill="1" applyAlignment="1">
      <alignment vertical="top"/>
    </xf>
    <xf numFmtId="0" fontId="58" fillId="2" borderId="8" xfId="0" applyFont="1" applyFill="1" applyBorder="1" applyAlignment="1" applyProtection="1">
      <alignment horizontal="left" wrapText="1"/>
      <protection locked="0"/>
    </xf>
    <xf numFmtId="9" fontId="9" fillId="0" borderId="32" xfId="1" applyFont="1" applyFill="1" applyBorder="1"/>
    <xf numFmtId="2" fontId="16" fillId="5" borderId="0" xfId="8" applyNumberFormat="1" applyFont="1" applyFill="1"/>
    <xf numFmtId="168" fontId="77" fillId="2" borderId="94" xfId="1" applyNumberFormat="1" applyFont="1" applyFill="1" applyBorder="1" applyAlignment="1">
      <alignment horizontal="center"/>
    </xf>
    <xf numFmtId="3" fontId="123" fillId="2" borderId="94" xfId="7" applyNumberFormat="1" applyFont="1" applyFill="1" applyBorder="1" applyAlignment="1">
      <alignment horizontal="center"/>
    </xf>
    <xf numFmtId="2" fontId="77" fillId="2" borderId="95" xfId="1" applyNumberFormat="1" applyFont="1" applyFill="1" applyBorder="1" applyAlignment="1">
      <alignment horizontal="center"/>
    </xf>
    <xf numFmtId="0" fontId="16" fillId="2" borderId="76" xfId="7" applyFont="1" applyFill="1" applyBorder="1" applyAlignment="1"/>
    <xf numFmtId="0" fontId="17" fillId="2" borderId="90" xfId="7" applyFont="1" applyFill="1" applyBorder="1" applyAlignment="1"/>
    <xf numFmtId="10" fontId="77" fillId="2" borderId="76" xfId="1" applyNumberFormat="1" applyFont="1" applyFill="1" applyBorder="1" applyAlignment="1">
      <alignment horizontal="center"/>
    </xf>
    <xf numFmtId="0" fontId="17" fillId="2" borderId="96" xfId="7" applyFont="1" applyFill="1" applyBorder="1" applyAlignment="1"/>
    <xf numFmtId="2" fontId="120" fillId="3" borderId="76" xfId="1" applyNumberFormat="1" applyFont="1" applyFill="1" applyBorder="1" applyAlignment="1">
      <alignment horizontal="center"/>
    </xf>
    <xf numFmtId="3" fontId="145" fillId="2" borderId="94" xfId="7" applyNumberFormat="1" applyFont="1" applyFill="1" applyBorder="1" applyAlignment="1">
      <alignment horizontal="center"/>
    </xf>
    <xf numFmtId="0" fontId="17" fillId="3" borderId="90" xfId="7" applyFont="1" applyFill="1" applyBorder="1" applyAlignment="1"/>
    <xf numFmtId="168" fontId="77" fillId="3" borderId="94" xfId="1" applyNumberFormat="1" applyFont="1" applyFill="1" applyBorder="1" applyAlignment="1">
      <alignment horizontal="center"/>
    </xf>
    <xf numFmtId="3" fontId="123" fillId="3" borderId="94" xfId="7" applyNumberFormat="1" applyFont="1" applyFill="1" applyBorder="1" applyAlignment="1">
      <alignment horizontal="center"/>
    </xf>
    <xf numFmtId="2" fontId="77" fillId="3" borderId="95" xfId="1" applyNumberFormat="1" applyFont="1" applyFill="1" applyBorder="1" applyAlignment="1">
      <alignment horizontal="center"/>
    </xf>
    <xf numFmtId="0" fontId="17" fillId="3" borderId="96" xfId="7" applyFont="1" applyFill="1" applyBorder="1" applyAlignment="1"/>
    <xf numFmtId="168" fontId="77" fillId="3" borderId="97" xfId="1" applyNumberFormat="1" applyFont="1" applyFill="1" applyBorder="1" applyAlignment="1">
      <alignment horizontal="center"/>
    </xf>
    <xf numFmtId="3" fontId="123" fillId="3" borderId="97" xfId="7" applyNumberFormat="1" applyFont="1" applyFill="1" applyBorder="1" applyAlignment="1">
      <alignment horizontal="center"/>
    </xf>
    <xf numFmtId="2" fontId="77" fillId="3" borderId="98" xfId="1" applyNumberFormat="1" applyFont="1" applyFill="1" applyBorder="1" applyAlignment="1">
      <alignment horizontal="center"/>
    </xf>
    <xf numFmtId="0" fontId="17" fillId="3" borderId="76" xfId="7" applyFont="1" applyFill="1" applyBorder="1" applyAlignment="1">
      <alignment horizontal="left"/>
    </xf>
    <xf numFmtId="0" fontId="17" fillId="3" borderId="76" xfId="7" applyFont="1" applyFill="1" applyBorder="1" applyAlignment="1">
      <alignment horizontal="center" wrapText="1"/>
    </xf>
    <xf numFmtId="0" fontId="146" fillId="5" borderId="0" xfId="7" applyFont="1" applyFill="1"/>
    <xf numFmtId="0" fontId="4" fillId="2" borderId="0" xfId="7" applyFont="1" applyFill="1"/>
    <xf numFmtId="0" fontId="16" fillId="2" borderId="0" xfId="7" applyFont="1" applyFill="1"/>
    <xf numFmtId="0" fontId="58" fillId="2" borderId="37" xfId="7" applyFont="1" applyFill="1" applyBorder="1" applyAlignment="1">
      <alignment horizontal="left"/>
    </xf>
    <xf numFmtId="4" fontId="91" fillId="39" borderId="50" xfId="7" applyNumberFormat="1" applyFont="1" applyFill="1" applyBorder="1" applyAlignment="1">
      <alignment horizontal="right"/>
    </xf>
    <xf numFmtId="4" fontId="91" fillId="39" borderId="0" xfId="7" applyNumberFormat="1" applyFont="1" applyFill="1" applyBorder="1" applyAlignment="1">
      <alignment horizontal="right"/>
    </xf>
    <xf numFmtId="9" fontId="16" fillId="2" borderId="53" xfId="7" applyNumberFormat="1" applyFont="1" applyFill="1" applyBorder="1" applyAlignment="1">
      <alignment horizontal="center"/>
    </xf>
    <xf numFmtId="0" fontId="88" fillId="35" borderId="11" xfId="0" applyFont="1" applyFill="1" applyBorder="1" applyAlignment="1" applyProtection="1">
      <alignment horizontal="left" textRotation="90"/>
      <protection locked="0"/>
    </xf>
    <xf numFmtId="0" fontId="86" fillId="3" borderId="8" xfId="0" applyFont="1" applyFill="1" applyBorder="1" applyAlignment="1" applyProtection="1">
      <alignment horizontal="left" textRotation="90" wrapText="1"/>
      <protection locked="0"/>
    </xf>
    <xf numFmtId="0" fontId="86" fillId="2" borderId="8" xfId="0" applyFont="1" applyFill="1" applyBorder="1" applyAlignment="1" applyProtection="1">
      <alignment horizontal="left" textRotation="90" wrapText="1"/>
      <protection locked="0"/>
    </xf>
    <xf numFmtId="0" fontId="86" fillId="11" borderId="8" xfId="0" applyFont="1" applyFill="1" applyBorder="1" applyAlignment="1" applyProtection="1">
      <alignment horizontal="left" textRotation="90" wrapText="1"/>
      <protection locked="0"/>
    </xf>
    <xf numFmtId="0" fontId="87" fillId="4" borderId="8" xfId="0" applyFont="1" applyFill="1" applyBorder="1" applyAlignment="1" applyProtection="1">
      <alignment horizontal="left" textRotation="90" wrapText="1"/>
      <protection locked="0"/>
    </xf>
    <xf numFmtId="0" fontId="147" fillId="2" borderId="0" xfId="0" applyFont="1" applyFill="1" applyBorder="1"/>
    <xf numFmtId="0" fontId="77" fillId="2" borderId="0" xfId="7" applyFont="1" applyFill="1" applyAlignment="1">
      <alignment horizontal="center"/>
    </xf>
    <xf numFmtId="0" fontId="147" fillId="7" borderId="0" xfId="0" applyFont="1" applyFill="1" applyBorder="1" applyAlignment="1">
      <alignment horizontal="center"/>
    </xf>
    <xf numFmtId="3" fontId="77" fillId="2" borderId="0" xfId="7" applyNumberFormat="1" applyFont="1" applyFill="1" applyBorder="1"/>
    <xf numFmtId="0" fontId="77" fillId="7" borderId="0" xfId="8" applyFont="1" applyFill="1" applyBorder="1" applyAlignment="1">
      <alignment horizontal="left"/>
    </xf>
    <xf numFmtId="1" fontId="77" fillId="7" borderId="0" xfId="9" applyNumberFormat="1" applyFont="1" applyFill="1" applyBorder="1" applyAlignment="1">
      <alignment horizontal="center"/>
    </xf>
    <xf numFmtId="3" fontId="77" fillId="7" borderId="0" xfId="7" applyNumberFormat="1" applyFont="1" applyFill="1" applyBorder="1"/>
    <xf numFmtId="0" fontId="120" fillId="2" borderId="0" xfId="8" applyFont="1" applyFill="1" applyBorder="1" applyAlignment="1">
      <alignment horizontal="left"/>
    </xf>
    <xf numFmtId="1" fontId="120" fillId="2" borderId="0" xfId="9" applyNumberFormat="1" applyFont="1" applyFill="1" applyBorder="1" applyAlignment="1">
      <alignment horizontal="center"/>
    </xf>
    <xf numFmtId="0" fontId="77" fillId="2" borderId="0" xfId="8" applyFont="1" applyFill="1" applyBorder="1" applyAlignment="1">
      <alignment horizontal="left"/>
    </xf>
    <xf numFmtId="1" fontId="77" fillId="2" borderId="0" xfId="9" applyNumberFormat="1" applyFont="1" applyFill="1" applyBorder="1" applyAlignment="1">
      <alignment horizontal="center"/>
    </xf>
    <xf numFmtId="0" fontId="77" fillId="2" borderId="0" xfId="8" applyFont="1" applyFill="1" applyBorder="1" applyAlignment="1">
      <alignment horizontal="left" indent="1"/>
    </xf>
    <xf numFmtId="0" fontId="77" fillId="2" borderId="0" xfId="8" applyFont="1" applyFill="1" applyBorder="1" applyAlignment="1">
      <alignment horizontal="left" indent="2"/>
    </xf>
    <xf numFmtId="165" fontId="5" fillId="2" borderId="32" xfId="0" applyNumberFormat="1" applyFont="1" applyFill="1" applyBorder="1" applyAlignment="1">
      <alignment horizontal="left" textRotation="90" wrapText="1"/>
    </xf>
    <xf numFmtId="167" fontId="16" fillId="4" borderId="76" xfId="1" applyNumberFormat="1" applyFont="1" applyFill="1" applyBorder="1" applyAlignment="1"/>
    <xf numFmtId="167" fontId="16" fillId="5" borderId="0" xfId="1" applyNumberFormat="1" applyFont="1" applyFill="1"/>
    <xf numFmtId="166" fontId="77" fillId="2" borderId="8" xfId="1" applyNumberFormat="1" applyFont="1" applyFill="1" applyBorder="1"/>
    <xf numFmtId="3" fontId="77" fillId="2" borderId="8" xfId="1" applyNumberFormat="1" applyFont="1" applyFill="1" applyBorder="1"/>
    <xf numFmtId="9" fontId="77" fillId="2" borderId="8" xfId="1" applyNumberFormat="1" applyFont="1" applyFill="1" applyBorder="1"/>
    <xf numFmtId="0" fontId="88" fillId="4" borderId="8" xfId="0" applyFont="1" applyFill="1" applyBorder="1" applyAlignment="1" applyProtection="1">
      <alignment horizontal="left" textRotation="90" wrapText="1"/>
      <protection locked="0"/>
    </xf>
    <xf numFmtId="1" fontId="5" fillId="36" borderId="0" xfId="0" applyNumberFormat="1" applyFont="1" applyFill="1" applyAlignment="1" applyProtection="1">
      <protection locked="0"/>
    </xf>
    <xf numFmtId="0" fontId="51" fillId="5" borderId="0" xfId="8" applyFont="1" applyFill="1"/>
    <xf numFmtId="10" fontId="25" fillId="5" borderId="0" xfId="7" applyNumberFormat="1" applyFont="1" applyFill="1"/>
    <xf numFmtId="167" fontId="9" fillId="2" borderId="0" xfId="0" applyNumberFormat="1" applyFont="1" applyFill="1"/>
    <xf numFmtId="3" fontId="5" fillId="2" borderId="37" xfId="0" applyNumberFormat="1" applyFont="1" applyFill="1" applyBorder="1"/>
    <xf numFmtId="3" fontId="5" fillId="2" borderId="25" xfId="0" applyNumberFormat="1" applyFont="1" applyFill="1" applyBorder="1"/>
    <xf numFmtId="3" fontId="5" fillId="2" borderId="36" xfId="0" applyNumberFormat="1" applyFont="1" applyFill="1" applyBorder="1"/>
    <xf numFmtId="3" fontId="5" fillId="2" borderId="39" xfId="0" applyNumberFormat="1" applyFont="1" applyFill="1" applyBorder="1"/>
    <xf numFmtId="3" fontId="5" fillId="2" borderId="33" xfId="0" applyNumberFormat="1" applyFont="1" applyFill="1" applyBorder="1"/>
    <xf numFmtId="3" fontId="5" fillId="2" borderId="65" xfId="0" applyNumberFormat="1" applyFont="1" applyFill="1" applyBorder="1"/>
    <xf numFmtId="3" fontId="5" fillId="2" borderId="66" xfId="0" applyNumberFormat="1" applyFont="1" applyFill="1" applyBorder="1"/>
    <xf numFmtId="3" fontId="5" fillId="2" borderId="67" xfId="0" applyNumberFormat="1" applyFont="1" applyFill="1" applyBorder="1"/>
    <xf numFmtId="3" fontId="5" fillId="2" borderId="50" xfId="0" applyNumberFormat="1" applyFont="1" applyFill="1" applyBorder="1"/>
    <xf numFmtId="3" fontId="5" fillId="2" borderId="51" xfId="0" applyNumberFormat="1" applyFont="1" applyFill="1" applyBorder="1"/>
    <xf numFmtId="3" fontId="5" fillId="2" borderId="27" xfId="0" applyNumberFormat="1" applyFont="1" applyFill="1" applyBorder="1"/>
    <xf numFmtId="1" fontId="5" fillId="3" borderId="37" xfId="1" applyNumberFormat="1" applyFont="1" applyFill="1" applyBorder="1"/>
    <xf numFmtId="1" fontId="5" fillId="3" borderId="66" xfId="1" applyNumberFormat="1" applyFont="1" applyFill="1" applyBorder="1"/>
    <xf numFmtId="1" fontId="5" fillId="3" borderId="23" xfId="1" applyNumberFormat="1" applyFont="1" applyFill="1" applyBorder="1"/>
    <xf numFmtId="1" fontId="5" fillId="3" borderId="0" xfId="1" applyNumberFormat="1" applyFont="1" applyFill="1" applyBorder="1"/>
    <xf numFmtId="1" fontId="5" fillId="3" borderId="39" xfId="1" applyNumberFormat="1" applyFont="1" applyFill="1" applyBorder="1"/>
    <xf numFmtId="1" fontId="5" fillId="2" borderId="32" xfId="0" applyNumberFormat="1" applyFont="1" applyFill="1" applyBorder="1"/>
    <xf numFmtId="0" fontId="3" fillId="2" borderId="38" xfId="0" applyFont="1" applyFill="1" applyBorder="1" applyAlignment="1">
      <alignment horizontal="right" textRotation="90" wrapText="1"/>
    </xf>
    <xf numFmtId="0" fontId="62" fillId="5" borderId="0" xfId="8" applyFont="1" applyFill="1"/>
    <xf numFmtId="0" fontId="51" fillId="5" borderId="0" xfId="8" applyFont="1" applyFill="1" applyBorder="1" applyAlignment="1">
      <alignment horizontal="center" vertical="top" wrapText="1"/>
    </xf>
    <xf numFmtId="2" fontId="51" fillId="5" borderId="0" xfId="8" applyNumberFormat="1" applyFont="1" applyFill="1" applyBorder="1" applyAlignment="1">
      <alignment horizontal="center"/>
    </xf>
    <xf numFmtId="3" fontId="5" fillId="2" borderId="35" xfId="0" applyNumberFormat="1" applyFont="1" applyFill="1" applyBorder="1"/>
    <xf numFmtId="165" fontId="149" fillId="5" borderId="0" xfId="7" applyNumberFormat="1" applyFont="1" applyFill="1" applyBorder="1"/>
    <xf numFmtId="165" fontId="150" fillId="5" borderId="0" xfId="7" applyNumberFormat="1" applyFont="1" applyFill="1" applyBorder="1"/>
    <xf numFmtId="165" fontId="149" fillId="5" borderId="0" xfId="7" applyNumberFormat="1" applyFont="1" applyFill="1" applyBorder="1" applyAlignment="1">
      <alignment horizontal="center"/>
    </xf>
    <xf numFmtId="0" fontId="16" fillId="5" borderId="0" xfId="7" applyFont="1" applyFill="1" applyBorder="1" applyAlignment="1">
      <alignment horizontal="left"/>
    </xf>
    <xf numFmtId="0" fontId="9" fillId="5" borderId="0" xfId="8" applyFont="1" applyFill="1" applyBorder="1" applyAlignment="1">
      <alignment horizontal="center"/>
    </xf>
    <xf numFmtId="0" fontId="151" fillId="38" borderId="0" xfId="7" applyFont="1" applyFill="1" applyAlignment="1">
      <alignment vertical="center"/>
    </xf>
    <xf numFmtId="0" fontId="152" fillId="38" borderId="0" xfId="7" applyFont="1" applyFill="1" applyAlignment="1">
      <alignment vertical="center"/>
    </xf>
    <xf numFmtId="0" fontId="151" fillId="38" borderId="0" xfId="8" applyFont="1" applyFill="1" applyAlignment="1">
      <alignment vertical="center"/>
    </xf>
    <xf numFmtId="1" fontId="63" fillId="2" borderId="37" xfId="0" applyNumberFormat="1" applyFont="1" applyFill="1" applyBorder="1"/>
    <xf numFmtId="1" fontId="63" fillId="2" borderId="25" xfId="0" applyNumberFormat="1" applyFont="1" applyFill="1" applyBorder="1"/>
    <xf numFmtId="1" fontId="63" fillId="2" borderId="39" xfId="0" applyNumberFormat="1" applyFont="1" applyFill="1" applyBorder="1"/>
    <xf numFmtId="1" fontId="63" fillId="2" borderId="65" xfId="0" applyNumberFormat="1" applyFont="1" applyFill="1" applyBorder="1"/>
    <xf numFmtId="1" fontId="63" fillId="2" borderId="23" xfId="0" applyNumberFormat="1" applyFont="1" applyFill="1" applyBorder="1"/>
    <xf numFmtId="1" fontId="63" fillId="2" borderId="0" xfId="0" applyNumberFormat="1" applyFont="1" applyFill="1" applyBorder="1"/>
    <xf numFmtId="1" fontId="63" fillId="2" borderId="66" xfId="0" applyNumberFormat="1" applyFont="1" applyFill="1" applyBorder="1"/>
    <xf numFmtId="1" fontId="63" fillId="2" borderId="67" xfId="0" applyNumberFormat="1" applyFont="1" applyFill="1" applyBorder="1"/>
    <xf numFmtId="1" fontId="63" fillId="2" borderId="33" xfId="0" applyNumberFormat="1" applyFont="1" applyFill="1" applyBorder="1"/>
    <xf numFmtId="1" fontId="63" fillId="2" borderId="50" xfId="0" applyNumberFormat="1" applyFont="1" applyFill="1" applyBorder="1"/>
    <xf numFmtId="1" fontId="63" fillId="2" borderId="51" xfId="0" applyNumberFormat="1" applyFont="1" applyFill="1" applyBorder="1"/>
    <xf numFmtId="1" fontId="63" fillId="2" borderId="27" xfId="0" applyNumberFormat="1" applyFont="1" applyFill="1" applyBorder="1"/>
    <xf numFmtId="1" fontId="63" fillId="2" borderId="36" xfId="0" applyNumberFormat="1" applyFont="1" applyFill="1" applyBorder="1"/>
    <xf numFmtId="9" fontId="63" fillId="3" borderId="37" xfId="1" applyFont="1" applyFill="1" applyBorder="1"/>
    <xf numFmtId="9" fontId="63" fillId="3" borderId="66" xfId="1" applyFont="1" applyFill="1" applyBorder="1"/>
    <xf numFmtId="9" fontId="63" fillId="3" borderId="23" xfId="1" applyFont="1" applyFill="1" applyBorder="1"/>
    <xf numFmtId="9" fontId="63" fillId="3" borderId="0" xfId="1" applyFont="1" applyFill="1" applyBorder="1"/>
    <xf numFmtId="165" fontId="63" fillId="2" borderId="23" xfId="0" applyNumberFormat="1" applyFont="1" applyFill="1" applyBorder="1"/>
    <xf numFmtId="165" fontId="63" fillId="2" borderId="27" xfId="0" applyNumberFormat="1" applyFont="1" applyFill="1" applyBorder="1"/>
    <xf numFmtId="165" fontId="63" fillId="2" borderId="66" xfId="0" applyNumberFormat="1" applyFont="1" applyFill="1" applyBorder="1"/>
    <xf numFmtId="165" fontId="63" fillId="2" borderId="37" xfId="0" applyNumberFormat="1" applyFont="1" applyFill="1" applyBorder="1"/>
    <xf numFmtId="165" fontId="63" fillId="2" borderId="0" xfId="0" applyNumberFormat="1" applyFont="1" applyFill="1" applyBorder="1"/>
    <xf numFmtId="165" fontId="63" fillId="2" borderId="67" xfId="0" applyNumberFormat="1" applyFont="1" applyFill="1" applyBorder="1"/>
    <xf numFmtId="165" fontId="63" fillId="2" borderId="33" xfId="0" applyNumberFormat="1" applyFont="1" applyFill="1" applyBorder="1"/>
    <xf numFmtId="165" fontId="63" fillId="2" borderId="50" xfId="0" applyNumberFormat="1" applyFont="1" applyFill="1" applyBorder="1"/>
    <xf numFmtId="165" fontId="63" fillId="2" borderId="51" xfId="0" applyNumberFormat="1" applyFont="1" applyFill="1" applyBorder="1"/>
    <xf numFmtId="165" fontId="63" fillId="2" borderId="35" xfId="0" applyNumberFormat="1" applyFont="1" applyFill="1" applyBorder="1"/>
    <xf numFmtId="165" fontId="63" fillId="2" borderId="36" xfId="0" applyNumberFormat="1" applyFont="1" applyFill="1" applyBorder="1"/>
    <xf numFmtId="165" fontId="63" fillId="2" borderId="38" xfId="0" applyNumberFormat="1" applyFont="1" applyFill="1" applyBorder="1"/>
    <xf numFmtId="9" fontId="63" fillId="3" borderId="39" xfId="1" applyFont="1" applyFill="1" applyBorder="1"/>
    <xf numFmtId="9" fontId="63" fillId="3" borderId="65" xfId="1" applyFont="1" applyFill="1" applyBorder="1"/>
    <xf numFmtId="9" fontId="63" fillId="3" borderId="67" xfId="1" applyFont="1" applyFill="1" applyBorder="1"/>
    <xf numFmtId="165" fontId="63" fillId="2" borderId="25" xfId="0" applyNumberFormat="1" applyFont="1" applyFill="1" applyBorder="1"/>
    <xf numFmtId="165" fontId="63" fillId="2" borderId="39" xfId="0" applyNumberFormat="1" applyFont="1" applyFill="1" applyBorder="1"/>
    <xf numFmtId="3" fontId="63" fillId="2" borderId="23" xfId="0" applyNumberFormat="1" applyFont="1" applyFill="1" applyBorder="1"/>
    <xf numFmtId="3" fontId="63" fillId="2" borderId="36" xfId="0" applyNumberFormat="1" applyFont="1" applyFill="1" applyBorder="1"/>
    <xf numFmtId="3" fontId="63" fillId="2" borderId="35" xfId="0" applyNumberFormat="1" applyFont="1" applyFill="1" applyBorder="1"/>
    <xf numFmtId="3" fontId="63" fillId="3" borderId="37" xfId="1" applyNumberFormat="1" applyFont="1" applyFill="1" applyBorder="1"/>
    <xf numFmtId="3" fontId="63" fillId="3" borderId="39" xfId="1" applyNumberFormat="1" applyFont="1" applyFill="1" applyBorder="1"/>
    <xf numFmtId="3" fontId="63" fillId="2" borderId="38" xfId="0" applyNumberFormat="1" applyFont="1" applyFill="1" applyBorder="1"/>
    <xf numFmtId="3" fontId="63" fillId="2" borderId="37" xfId="0" applyNumberFormat="1" applyFont="1" applyFill="1" applyBorder="1"/>
    <xf numFmtId="3" fontId="63" fillId="2" borderId="25" xfId="0" applyNumberFormat="1" applyFont="1" applyFill="1" applyBorder="1"/>
    <xf numFmtId="3" fontId="63" fillId="2" borderId="39" xfId="0" applyNumberFormat="1" applyFont="1" applyFill="1" applyBorder="1"/>
    <xf numFmtId="3" fontId="63" fillId="2" borderId="66" xfId="0" applyNumberFormat="1" applyFont="1" applyFill="1" applyBorder="1"/>
    <xf numFmtId="3" fontId="63" fillId="2" borderId="27" xfId="0" applyNumberFormat="1" applyFont="1" applyFill="1" applyBorder="1"/>
    <xf numFmtId="167" fontId="16" fillId="2" borderId="64" xfId="1" applyNumberFormat="1" applyFont="1" applyFill="1" applyBorder="1" applyAlignment="1">
      <alignment horizontal="left" indent="1"/>
    </xf>
    <xf numFmtId="164" fontId="77" fillId="5" borderId="0" xfId="186" applyFont="1" applyFill="1" applyBorder="1"/>
    <xf numFmtId="0" fontId="51" fillId="4" borderId="0" xfId="8" applyFont="1" applyFill="1" applyAlignment="1">
      <alignment horizontal="center"/>
    </xf>
    <xf numFmtId="0" fontId="59" fillId="37" borderId="66" xfId="7" applyFont="1" applyFill="1" applyBorder="1"/>
    <xf numFmtId="0" fontId="59" fillId="37" borderId="65" xfId="7" applyFont="1" applyFill="1" applyBorder="1"/>
    <xf numFmtId="0" fontId="59" fillId="37" borderId="99" xfId="7" applyFont="1" applyFill="1" applyBorder="1"/>
    <xf numFmtId="0" fontId="57" fillId="4" borderId="0" xfId="8" applyFont="1" applyFill="1" applyAlignment="1">
      <alignment horizontal="center"/>
    </xf>
    <xf numFmtId="168" fontId="25" fillId="5" borderId="0" xfId="8" applyNumberFormat="1" applyFont="1" applyFill="1" applyBorder="1" applyAlignment="1">
      <alignment horizontal="center"/>
    </xf>
    <xf numFmtId="0" fontId="153" fillId="5" borderId="0" xfId="8" applyFont="1" applyFill="1"/>
    <xf numFmtId="10" fontId="153" fillId="5" borderId="0" xfId="8" applyNumberFormat="1" applyFont="1" applyFill="1" applyBorder="1"/>
    <xf numFmtId="2" fontId="55" fillId="2" borderId="0" xfId="0" applyNumberFormat="1" applyFont="1" applyFill="1" applyAlignment="1"/>
    <xf numFmtId="0" fontId="3" fillId="52" borderId="0" xfId="0" applyFont="1" applyFill="1"/>
    <xf numFmtId="0" fontId="5" fillId="52" borderId="0" xfId="0" applyFont="1" applyFill="1"/>
    <xf numFmtId="0" fontId="154" fillId="2" borderId="0" xfId="0" applyFont="1" applyFill="1" applyAlignment="1">
      <alignment horizontal="left"/>
    </xf>
    <xf numFmtId="0" fontId="69" fillId="37" borderId="0" xfId="0" applyFont="1" applyFill="1" applyAlignment="1">
      <alignment vertical="center"/>
    </xf>
    <xf numFmtId="0" fontId="55" fillId="2" borderId="23" xfId="0" applyFont="1" applyFill="1" applyBorder="1" applyAlignment="1">
      <alignment horizontal="left" wrapText="1"/>
    </xf>
    <xf numFmtId="167" fontId="56" fillId="2" borderId="23" xfId="1" applyNumberFormat="1" applyFont="1" applyFill="1" applyBorder="1" applyAlignment="1">
      <alignment horizontal="right" wrapText="1"/>
    </xf>
    <xf numFmtId="0" fontId="55" fillId="2" borderId="23" xfId="0" applyFont="1" applyFill="1" applyBorder="1" applyAlignment="1">
      <alignment horizontal="right" wrapText="1"/>
    </xf>
    <xf numFmtId="0" fontId="51" fillId="2" borderId="23" xfId="0" applyFont="1" applyFill="1" applyBorder="1" applyAlignment="1">
      <alignment horizontal="left" indent="1"/>
    </xf>
    <xf numFmtId="9" fontId="56" fillId="2" borderId="23" xfId="0" applyNumberFormat="1" applyFont="1" applyFill="1" applyBorder="1" applyAlignment="1">
      <alignment horizontal="right" wrapText="1"/>
    </xf>
    <xf numFmtId="0" fontId="56" fillId="2" borderId="23" xfId="0" applyFont="1" applyFill="1" applyBorder="1" applyAlignment="1">
      <alignment horizontal="right" wrapText="1"/>
    </xf>
    <xf numFmtId="0" fontId="4" fillId="2" borderId="0" xfId="0" applyFont="1" applyFill="1" applyAlignment="1">
      <alignment wrapText="1"/>
    </xf>
    <xf numFmtId="0" fontId="148" fillId="7" borderId="0" xfId="4" applyFont="1" applyFill="1" applyAlignment="1">
      <alignment vertical="center"/>
    </xf>
    <xf numFmtId="0" fontId="148" fillId="2" borderId="0" xfId="4" applyFont="1" applyFill="1" applyAlignment="1">
      <alignment vertical="center"/>
    </xf>
    <xf numFmtId="0" fontId="148" fillId="2" borderId="0" xfId="4" applyFont="1" applyFill="1" applyAlignment="1">
      <alignment horizontal="left" vertical="center"/>
    </xf>
    <xf numFmtId="0" fontId="148" fillId="7" borderId="0" xfId="4" applyFont="1" applyFill="1" applyAlignment="1">
      <alignment horizontal="left" vertical="center"/>
    </xf>
    <xf numFmtId="9" fontId="121" fillId="37" borderId="0" xfId="1" applyFont="1" applyFill="1"/>
    <xf numFmtId="164" fontId="121" fillId="37" borderId="0" xfId="186" applyFont="1" applyFill="1"/>
    <xf numFmtId="0" fontId="64" fillId="37" borderId="0" xfId="8" applyFont="1" applyFill="1" applyAlignment="1">
      <alignment wrapText="1"/>
    </xf>
    <xf numFmtId="164" fontId="51" fillId="5" borderId="0" xfId="186" applyFont="1" applyFill="1" applyAlignment="1">
      <alignment wrapText="1"/>
    </xf>
    <xf numFmtId="10" fontId="16" fillId="5" borderId="0" xfId="1" applyNumberFormat="1" applyFont="1" applyFill="1"/>
    <xf numFmtId="164" fontId="51" fillId="5" borderId="0" xfId="186" applyFont="1" applyFill="1"/>
    <xf numFmtId="167" fontId="51" fillId="5" borderId="0" xfId="1" applyNumberFormat="1" applyFont="1" applyFill="1"/>
    <xf numFmtId="10" fontId="51" fillId="5" borderId="0" xfId="1" applyNumberFormat="1" applyFont="1" applyFill="1"/>
    <xf numFmtId="10" fontId="121" fillId="37" borderId="0" xfId="1" applyNumberFormat="1" applyFont="1" applyFill="1"/>
    <xf numFmtId="2" fontId="121" fillId="37" borderId="0" xfId="1" applyNumberFormat="1" applyFont="1" applyFill="1"/>
    <xf numFmtId="164" fontId="51" fillId="5" borderId="0" xfId="8" applyNumberFormat="1" applyFont="1" applyFill="1"/>
    <xf numFmtId="167" fontId="16" fillId="5" borderId="0" xfId="8" applyNumberFormat="1" applyFont="1" applyFill="1"/>
    <xf numFmtId="0" fontId="18" fillId="5" borderId="0" xfId="8" applyFont="1" applyFill="1"/>
    <xf numFmtId="17" fontId="136" fillId="2" borderId="0" xfId="0" quotePrefix="1" applyNumberFormat="1" applyFont="1" applyFill="1" applyAlignment="1">
      <alignment vertical="center"/>
    </xf>
    <xf numFmtId="9" fontId="9" fillId="2" borderId="0" xfId="0" applyNumberFormat="1" applyFont="1" applyFill="1"/>
    <xf numFmtId="0" fontId="8" fillId="7" borderId="0" xfId="0" applyFont="1" applyFill="1" applyAlignment="1">
      <alignment horizontal="left" vertical="center" wrapText="1" indent="1"/>
    </xf>
    <xf numFmtId="0" fontId="8" fillId="2" borderId="0" xfId="0" applyFont="1" applyFill="1" applyAlignment="1">
      <alignment horizontal="left" vertical="center" wrapText="1" indent="1"/>
    </xf>
    <xf numFmtId="3" fontId="5" fillId="6" borderId="9" xfId="0" applyNumberFormat="1" applyFont="1" applyFill="1" applyBorder="1"/>
    <xf numFmtId="165" fontId="5" fillId="6" borderId="9" xfId="0" applyNumberFormat="1" applyFont="1" applyFill="1" applyBorder="1"/>
    <xf numFmtId="1" fontId="122" fillId="53" borderId="61" xfId="0" applyNumberFormat="1" applyFont="1" applyFill="1" applyBorder="1"/>
    <xf numFmtId="1" fontId="0" fillId="2" borderId="0" xfId="0" applyNumberFormat="1" applyFill="1" applyBorder="1"/>
    <xf numFmtId="165" fontId="118" fillId="54" borderId="62" xfId="0" applyNumberFormat="1" applyFont="1" applyFill="1" applyBorder="1" applyAlignment="1">
      <alignment horizontal="left" indent="1"/>
    </xf>
    <xf numFmtId="165" fontId="118" fillId="54" borderId="61" xfId="0" applyNumberFormat="1" applyFont="1" applyFill="1" applyBorder="1"/>
    <xf numFmtId="165" fontId="155" fillId="54" borderId="62" xfId="0" applyNumberFormat="1" applyFont="1" applyFill="1" applyBorder="1" applyAlignment="1">
      <alignment horizontal="left"/>
    </xf>
    <xf numFmtId="165" fontId="156" fillId="54" borderId="61" xfId="0" applyNumberFormat="1" applyFont="1" applyFill="1" applyBorder="1"/>
    <xf numFmtId="3" fontId="156" fillId="54" borderId="61" xfId="0" applyNumberFormat="1" applyFont="1" applyFill="1" applyBorder="1"/>
    <xf numFmtId="0" fontId="118" fillId="41" borderId="0" xfId="0" applyFont="1" applyFill="1" applyBorder="1"/>
    <xf numFmtId="3" fontId="156" fillId="41" borderId="61" xfId="0" applyNumberFormat="1" applyFont="1" applyFill="1" applyBorder="1"/>
    <xf numFmtId="165" fontId="118" fillId="41" borderId="0" xfId="0" applyNumberFormat="1" applyFont="1" applyFill="1" applyBorder="1"/>
    <xf numFmtId="1" fontId="3" fillId="5" borderId="0" xfId="0" applyNumberFormat="1" applyFont="1" applyFill="1"/>
    <xf numFmtId="2" fontId="0" fillId="5" borderId="0" xfId="0" applyNumberFormat="1" applyFill="1"/>
    <xf numFmtId="165" fontId="2" fillId="5" borderId="0" xfId="0" applyNumberFormat="1" applyFont="1" applyFill="1"/>
    <xf numFmtId="0" fontId="8" fillId="7" borderId="0" xfId="0" applyFont="1" applyFill="1" applyAlignment="1">
      <alignment horizontal="left" vertical="center" wrapText="1" indent="1"/>
    </xf>
  </cellXfs>
  <cellStyles count="187"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40% - Accent1 2" xfId="16"/>
    <cellStyle name="40% - Accent2 2" xfId="17"/>
    <cellStyle name="40% - Accent3 2" xfId="18"/>
    <cellStyle name="40% - Accent4 2" xfId="19"/>
    <cellStyle name="40% - Accent5 2" xfId="20"/>
    <cellStyle name="40% - Accent6 2" xfId="21"/>
    <cellStyle name="60% - Accent1 2" xfId="22"/>
    <cellStyle name="60% - Accent2 2" xfId="23"/>
    <cellStyle name="60% - Accent3 2" xfId="24"/>
    <cellStyle name="60% - Accent4 2" xfId="25"/>
    <cellStyle name="60% - Accent5 2" xfId="26"/>
    <cellStyle name="60% - Accent6 2" xfId="27"/>
    <cellStyle name="Accent1 2" xfId="28"/>
    <cellStyle name="Accent2 2" xfId="29"/>
    <cellStyle name="Accent3 2" xfId="30"/>
    <cellStyle name="Accent4 2" xfId="31"/>
    <cellStyle name="Accent5 2" xfId="32"/>
    <cellStyle name="Accent6 2" xfId="33"/>
    <cellStyle name="Bad 2" xfId="34"/>
    <cellStyle name="Calc area" xfId="148"/>
    <cellStyle name="Calc area 2" xfId="169"/>
    <cellStyle name="Calculation 2" xfId="35"/>
    <cellStyle name="Check Cell 2" xfId="36"/>
    <cellStyle name="Comma" xfId="186" builtinId="3"/>
    <cellStyle name="Comma 10" xfId="37"/>
    <cellStyle name="Comma 11" xfId="38"/>
    <cellStyle name="Comma 11 2" xfId="39"/>
    <cellStyle name="Comma 12" xfId="40"/>
    <cellStyle name="Comma 2" xfId="41"/>
    <cellStyle name="Comma 2 10" xfId="42"/>
    <cellStyle name="Comma 2 2" xfId="43"/>
    <cellStyle name="Comma 2 3" xfId="44"/>
    <cellStyle name="Comma 2 4" xfId="45"/>
    <cellStyle name="Comma 2 5" xfId="46"/>
    <cellStyle name="Comma 2 6" xfId="47"/>
    <cellStyle name="Comma 2 6 2" xfId="48"/>
    <cellStyle name="Comma 3" xfId="49"/>
    <cellStyle name="Comma 3 2" xfId="50"/>
    <cellStyle name="Comma 3 2 2" xfId="51"/>
    <cellStyle name="Comma 3 2 3" xfId="52"/>
    <cellStyle name="Comma 3 2 4" xfId="53"/>
    <cellStyle name="Comma 3 3" xfId="54"/>
    <cellStyle name="Comma 3 4" xfId="55"/>
    <cellStyle name="Comma 3 5" xfId="56"/>
    <cellStyle name="Comma 4" xfId="57"/>
    <cellStyle name="Comma 5" xfId="58"/>
    <cellStyle name="Comma 6" xfId="59"/>
    <cellStyle name="Comma 7" xfId="60"/>
    <cellStyle name="Comma 8" xfId="61"/>
    <cellStyle name="Comma 8 2" xfId="62"/>
    <cellStyle name="Comma 9" xfId="63"/>
    <cellStyle name="Currency 2" xfId="64"/>
    <cellStyle name="Currency 2 2" xfId="65"/>
    <cellStyle name="Currency 2 2 2" xfId="66"/>
    <cellStyle name="Currency 3" xfId="67"/>
    <cellStyle name="Currency 4" xfId="68"/>
    <cellStyle name="Currency 5" xfId="69"/>
    <cellStyle name="Dezimal 2" xfId="149"/>
    <cellStyle name="Dezimal 2 2" xfId="150"/>
    <cellStyle name="Dezimal 2 2 2" xfId="171"/>
    <cellStyle name="Dezimal 2 3" xfId="170"/>
    <cellStyle name="Explanatory Text 2" xfId="70"/>
    <cellStyle name="Good 2" xfId="71"/>
    <cellStyle name="Good 2 2" xfId="151"/>
    <cellStyle name="Heading 1 2" xfId="72"/>
    <cellStyle name="Heading 2 2" xfId="73"/>
    <cellStyle name="Heading 3 2" xfId="74"/>
    <cellStyle name="Heading 4 2" xfId="75"/>
    <cellStyle name="Hüperlink 2" xfId="76"/>
    <cellStyle name="Hüperlink 3" xfId="77"/>
    <cellStyle name="Hyperlink" xfId="4" builtinId="8"/>
    <cellStyle name="Hyperlink 2" xfId="6"/>
    <cellStyle name="Hyperlink 2 2" xfId="152"/>
    <cellStyle name="Hyperlink 3" xfId="78"/>
    <cellStyle name="Input 2" xfId="79"/>
    <cellStyle name="Linked Cell 2" xfId="80"/>
    <cellStyle name="Needs attention" xfId="153"/>
    <cellStyle name="Neutral 2" xfId="81"/>
    <cellStyle name="Normaallaad 2" xfId="3"/>
    <cellStyle name="Normaallaad 2 2" xfId="146"/>
    <cellStyle name="Normaallaad 2 3" xfId="147"/>
    <cellStyle name="Normaallaad 3" xfId="82"/>
    <cellStyle name="Normaallaad 4" xfId="143"/>
    <cellStyle name="Normal" xfId="0" builtinId="0"/>
    <cellStyle name="Normal 10" xfId="83"/>
    <cellStyle name="Normal 10 2" xfId="154"/>
    <cellStyle name="Normal 11" xfId="84"/>
    <cellStyle name="Normal 11 2" xfId="181"/>
    <cellStyle name="Normal 2" xfId="2"/>
    <cellStyle name="Normal 2 2" xfId="85"/>
    <cellStyle name="Normal 2 2 2" xfId="86"/>
    <cellStyle name="Normal 2 2 3" xfId="87"/>
    <cellStyle name="Normal 2 2 4" xfId="88"/>
    <cellStyle name="Normal 2 2 5" xfId="89"/>
    <cellStyle name="Normal 2 2 6" xfId="90"/>
    <cellStyle name="Normal 2 2 7" xfId="155"/>
    <cellStyle name="Normal 2 3" xfId="91"/>
    <cellStyle name="Normal 2 3 2" xfId="92"/>
    <cellStyle name="Normal 2 3 3" xfId="183"/>
    <cellStyle name="Normal 2 4" xfId="93"/>
    <cellStyle name="Normal 2 5" xfId="94"/>
    <cellStyle name="Normal 2 6" xfId="95"/>
    <cellStyle name="Normal 2 7" xfId="96"/>
    <cellStyle name="Normal 2 8" xfId="172"/>
    <cellStyle name="Normal 2_ÜF_FINANTSPÕHI FINAL_KM06012009" xfId="97"/>
    <cellStyle name="Normal 3" xfId="5"/>
    <cellStyle name="Normal 3 2" xfId="98"/>
    <cellStyle name="Normal 3 2 2" xfId="99"/>
    <cellStyle name="Normal 3 3" xfId="100"/>
    <cellStyle name="Normal 3 4" xfId="101"/>
    <cellStyle name="Normal 3 5" xfId="102"/>
    <cellStyle name="Normal 3 6" xfId="173"/>
    <cellStyle name="Normal 3_Narva II Lopparuande MFA LISA_KM10032009" xfId="103"/>
    <cellStyle name="Normal 4" xfId="7"/>
    <cellStyle name="Normal 4 2" xfId="104"/>
    <cellStyle name="Normal 4 2 2" xfId="156"/>
    <cellStyle name="Normal 5" xfId="105"/>
    <cellStyle name="Normal 5 2" xfId="157"/>
    <cellStyle name="Normal 6" xfId="106"/>
    <cellStyle name="Normal 6 2" xfId="158"/>
    <cellStyle name="Normal 6 3" xfId="174"/>
    <cellStyle name="Normal 7" xfId="107"/>
    <cellStyle name="Normal 7 2" xfId="159"/>
    <cellStyle name="Normal 8" xfId="108"/>
    <cellStyle name="Normal 8 2" xfId="109"/>
    <cellStyle name="Normal 8 3" xfId="180"/>
    <cellStyle name="Normal 9" xfId="110"/>
    <cellStyle name="Normal 9 2" xfId="111"/>
    <cellStyle name="Normal 9 2 2" xfId="185"/>
    <cellStyle name="Normal 9 3" xfId="145"/>
    <cellStyle name="Normal_260407_Paldiski Tuulepark_ver2 (PJP_2) Aivo" xfId="8"/>
    <cellStyle name="Note 2" xfId="112"/>
    <cellStyle name="Output 2" xfId="113"/>
    <cellStyle name="Percent" xfId="1" builtinId="5"/>
    <cellStyle name="Percent 10" xfId="114"/>
    <cellStyle name="Percent 11" xfId="115"/>
    <cellStyle name="Percent 12" xfId="116"/>
    <cellStyle name="Percent 2" xfId="117"/>
    <cellStyle name="Percent 2 2" xfId="118"/>
    <cellStyle name="Percent 2 2 2" xfId="119"/>
    <cellStyle name="Percent 2 2 3" xfId="120"/>
    <cellStyle name="Percent 2 2 4" xfId="121"/>
    <cellStyle name="Percent 2 2 5" xfId="122"/>
    <cellStyle name="Percent 2 2 6" xfId="123"/>
    <cellStyle name="Percent 2 3" xfId="124"/>
    <cellStyle name="Percent 2 4" xfId="125"/>
    <cellStyle name="Percent 2 5" xfId="126"/>
    <cellStyle name="Percent 3" xfId="9"/>
    <cellStyle name="Percent 3 2" xfId="127"/>
    <cellStyle name="Percent 3 3" xfId="182"/>
    <cellStyle name="Percent 4" xfId="128"/>
    <cellStyle name="Percent 4 2" xfId="129"/>
    <cellStyle name="Percent 4 3" xfId="130"/>
    <cellStyle name="Percent 4 4" xfId="184"/>
    <cellStyle name="Percent 5" xfId="131"/>
    <cellStyle name="Percent 5 2" xfId="132"/>
    <cellStyle name="Percent 6" xfId="133"/>
    <cellStyle name="Percent 7" xfId="134"/>
    <cellStyle name="Percent 8" xfId="135"/>
    <cellStyle name="Percent 8 2" xfId="136"/>
    <cellStyle name="Percent 9" xfId="137"/>
    <cellStyle name="Percent 9 2" xfId="138"/>
    <cellStyle name="Percent 9 3" xfId="139"/>
    <cellStyle name="Prozent 2" xfId="160"/>
    <cellStyle name="Prozent 3" xfId="161"/>
    <cellStyle name="Prozent 3 2" xfId="176"/>
    <cellStyle name="Protsent 2" xfId="144"/>
    <cellStyle name="Protsent 3" xfId="175"/>
    <cellStyle name="Standard 2" xfId="162"/>
    <cellStyle name="Standard 3" xfId="163"/>
    <cellStyle name="Standard 3 2" xfId="164"/>
    <cellStyle name="Standard 3 2 2" xfId="178"/>
    <cellStyle name="Standard 3 3" xfId="177"/>
    <cellStyle name="Standard 4" xfId="165"/>
    <cellStyle name="Standard 4 2" xfId="179"/>
    <cellStyle name="Title 2" xfId="140"/>
    <cellStyle name="Total 2" xfId="141"/>
    <cellStyle name="User input" xfId="166"/>
    <cellStyle name="User input 2" xfId="167"/>
    <cellStyle name="User input 2 2" xfId="168"/>
    <cellStyle name="Warning Text 2" xfId="142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2480605943875"/>
          <c:y val="2.2555843332919757E-2"/>
          <c:w val="0.86437463586316776"/>
          <c:h val="0.675655460629835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TULEMUSED!$E$163:$R$163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TULEMUSED!$E$162:$R$162</c:f>
              <c:numCache>
                <c:formatCode>0.000</c:formatCode>
                <c:ptCount val="14"/>
                <c:pt idx="0">
                  <c:v>1.1014872083659346</c:v>
                </c:pt>
                <c:pt idx="1">
                  <c:v>1.5327582857008553</c:v>
                </c:pt>
                <c:pt idx="2">
                  <c:v>2.3218487900911895</c:v>
                </c:pt>
                <c:pt idx="3">
                  <c:v>4.8828091856298155</c:v>
                </c:pt>
                <c:pt idx="4">
                  <c:v>0.81140673943470754</c:v>
                </c:pt>
                <c:pt idx="5">
                  <c:v>1.6529044935836064</c:v>
                </c:pt>
                <c:pt idx="6">
                  <c:v>-8.0390039843941143E-4</c:v>
                </c:pt>
                <c:pt idx="7">
                  <c:v>0.67529350356720552</c:v>
                </c:pt>
                <c:pt idx="8">
                  <c:v>5.0629429943410278</c:v>
                </c:pt>
                <c:pt idx="9">
                  <c:v>0.6326726894143242</c:v>
                </c:pt>
                <c:pt idx="10">
                  <c:v>5.8945169106540844E-2</c:v>
                </c:pt>
                <c:pt idx="11">
                  <c:v>0.125036694084981</c:v>
                </c:pt>
                <c:pt idx="12">
                  <c:v>0.1853383362861476</c:v>
                </c:pt>
                <c:pt idx="13">
                  <c:v>-5.9194614470293283E-2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1461328"/>
        <c:axId val="431462504"/>
      </c:barChart>
      <c:catAx>
        <c:axId val="43146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31462504"/>
        <c:crosses val="autoZero"/>
        <c:auto val="1"/>
        <c:lblAlgn val="ctr"/>
        <c:lblOffset val="100"/>
        <c:noMultiLvlLbl val="0"/>
      </c:catAx>
      <c:valAx>
        <c:axId val="431462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Indeksi väärtus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crossAx val="431461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j-lt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5515592229249"/>
          <c:y val="3.8227633304260628E-2"/>
          <c:w val="0.881030709150183"/>
          <c:h val="0.90201567891534251"/>
        </c:manualLayout>
      </c:layout>
      <c:lineChart>
        <c:grouping val="standard"/>
        <c:varyColors val="0"/>
        <c:ser>
          <c:idx val="0"/>
          <c:order val="0"/>
          <c:tx>
            <c:strRef>
              <c:f>TULEMUSED!$B$183</c:f>
              <c:strCache>
                <c:ptCount val="1"/>
                <c:pt idx="0">
                  <c:v>BAU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TULEMUSED!$C$183:$J$183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TULEMUSED!$B$184</c:f>
              <c:strCache>
                <c:ptCount val="1"/>
                <c:pt idx="0">
                  <c:v>Hooned/ Soojus 2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TULEMUSED!$C$184:$J$184</c:f>
              <c:numCache>
                <c:formatCode>0.00%</c:formatCode>
                <c:ptCount val="8"/>
                <c:pt idx="0">
                  <c:v>-1.8041152253603051E-3</c:v>
                </c:pt>
                <c:pt idx="1">
                  <c:v>-8.2420325041698145E-4</c:v>
                </c:pt>
                <c:pt idx="2">
                  <c:v>-9.0393289182911878E-4</c:v>
                </c:pt>
                <c:pt idx="3">
                  <c:v>1.8496975650407862E-4</c:v>
                </c:pt>
                <c:pt idx="4">
                  <c:v>5.0404777901428925E-4</c:v>
                </c:pt>
                <c:pt idx="5">
                  <c:v>7.4371329456901427E-4</c:v>
                </c:pt>
                <c:pt idx="6">
                  <c:v>1.0482346811242704E-3</c:v>
                </c:pt>
                <c:pt idx="7">
                  <c:v>1.2036055000805607E-3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TULEMUSED!$B$185</c:f>
              <c:strCache>
                <c:ptCount val="1"/>
                <c:pt idx="0">
                  <c:v>Hooned/ Soojus 3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TULEMUSED!$C$185:$J$185</c:f>
              <c:numCache>
                <c:formatCode>0.00%</c:formatCode>
                <c:ptCount val="8"/>
                <c:pt idx="0">
                  <c:v>-3.5973673437628491E-3</c:v>
                </c:pt>
                <c:pt idx="1">
                  <c:v>-2.3087408272735432E-3</c:v>
                </c:pt>
                <c:pt idx="2">
                  <c:v>-1.1330955350305615E-3</c:v>
                </c:pt>
                <c:pt idx="3">
                  <c:v>2.700176186520816E-4</c:v>
                </c:pt>
                <c:pt idx="4">
                  <c:v>1.2914141738303167E-3</c:v>
                </c:pt>
                <c:pt idx="5">
                  <c:v>1.7119969449864306E-3</c:v>
                </c:pt>
                <c:pt idx="6">
                  <c:v>1.3884805036997727E-3</c:v>
                </c:pt>
                <c:pt idx="7">
                  <c:v>1.4115512398324933E-3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TULEMUSED!$B$186</c:f>
              <c:strCache>
                <c:ptCount val="1"/>
                <c:pt idx="0">
                  <c:v>Transport 2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TULEMUSED!$C$186:$J$186</c:f>
              <c:numCache>
                <c:formatCode>0.00%</c:formatCode>
                <c:ptCount val="8"/>
                <c:pt idx="0">
                  <c:v>2.3398311381779837E-4</c:v>
                </c:pt>
                <c:pt idx="1">
                  <c:v>5.0696567837026675E-3</c:v>
                </c:pt>
                <c:pt idx="2">
                  <c:v>7.2930032717441595E-3</c:v>
                </c:pt>
                <c:pt idx="3">
                  <c:v>8.8985130642648212E-3</c:v>
                </c:pt>
                <c:pt idx="4">
                  <c:v>8.1944244522922961E-3</c:v>
                </c:pt>
                <c:pt idx="5">
                  <c:v>7.7063023683146166E-3</c:v>
                </c:pt>
                <c:pt idx="6">
                  <c:v>7.3265906366219401E-3</c:v>
                </c:pt>
                <c:pt idx="7">
                  <c:v>7.1982784250711378E-3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TULEMUSED!$B$187</c:f>
              <c:strCache>
                <c:ptCount val="1"/>
                <c:pt idx="0">
                  <c:v>Transport 3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TULEMUSED!$C$187:$J$187</c:f>
              <c:numCache>
                <c:formatCode>0.00%</c:formatCode>
                <c:ptCount val="8"/>
                <c:pt idx="0">
                  <c:v>2.4418174453557821E-4</c:v>
                </c:pt>
                <c:pt idx="1">
                  <c:v>8.68849412869558E-3</c:v>
                </c:pt>
                <c:pt idx="2">
                  <c:v>1.4679623391523115E-2</c:v>
                </c:pt>
                <c:pt idx="3">
                  <c:v>1.9370418331567187E-2</c:v>
                </c:pt>
                <c:pt idx="4">
                  <c:v>1.9532888050776326E-2</c:v>
                </c:pt>
                <c:pt idx="5">
                  <c:v>1.9070189682809172E-2</c:v>
                </c:pt>
                <c:pt idx="6">
                  <c:v>1.8290036441539204E-2</c:v>
                </c:pt>
                <c:pt idx="7">
                  <c:v>1.8944361013326669E-2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TULEMUSED!$B$188</c:f>
              <c:strCache>
                <c:ptCount val="1"/>
                <c:pt idx="0">
                  <c:v>Kütused 2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TULEMUSED!$C$188:$J$188</c:f>
              <c:numCache>
                <c:formatCode>0.00%</c:formatCode>
                <c:ptCount val="8"/>
                <c:pt idx="0">
                  <c:v>-2.7422365652209246E-3</c:v>
                </c:pt>
                <c:pt idx="1">
                  <c:v>-4.1994703187853023E-3</c:v>
                </c:pt>
                <c:pt idx="2">
                  <c:v>-1.8793501944368237E-3</c:v>
                </c:pt>
                <c:pt idx="3">
                  <c:v>-1.9511543192194029E-3</c:v>
                </c:pt>
                <c:pt idx="4">
                  <c:v>-5.9169017220915294E-4</c:v>
                </c:pt>
                <c:pt idx="5">
                  <c:v>-4.7773899426918073E-4</c:v>
                </c:pt>
                <c:pt idx="6">
                  <c:v>-3.7359630529004814E-4</c:v>
                </c:pt>
                <c:pt idx="7">
                  <c:v>-3.1246731300169593E-4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TULEMUSED!$B$189</c:f>
              <c:strCache>
                <c:ptCount val="1"/>
                <c:pt idx="0">
                  <c:v>Kütused 3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TULEMUSED!$C$189:$J$189</c:f>
              <c:numCache>
                <c:formatCode>0.00%</c:formatCode>
                <c:ptCount val="8"/>
                <c:pt idx="0">
                  <c:v>-5.1217545021482371E-3</c:v>
                </c:pt>
                <c:pt idx="1">
                  <c:v>-3.6785878107232642E-3</c:v>
                </c:pt>
                <c:pt idx="2">
                  <c:v>2.4279268699483627E-4</c:v>
                </c:pt>
                <c:pt idx="3">
                  <c:v>-2.1635988636202414E-3</c:v>
                </c:pt>
                <c:pt idx="4">
                  <c:v>3.8732191965882732E-3</c:v>
                </c:pt>
                <c:pt idx="5">
                  <c:v>4.9239525808030945E-3</c:v>
                </c:pt>
                <c:pt idx="6">
                  <c:v>5.5609317999974527E-3</c:v>
                </c:pt>
                <c:pt idx="7">
                  <c:v>6.6914911521381909E-3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TULEMUSED!$B$190</c:f>
              <c:strCache>
                <c:ptCount val="1"/>
                <c:pt idx="0">
                  <c:v>Elekter 2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TULEMUSED!$C$190:$J$190</c:f>
              <c:numCache>
                <c:formatCode>0.00%</c:formatCode>
                <c:ptCount val="8"/>
                <c:pt idx="0">
                  <c:v>0</c:v>
                </c:pt>
                <c:pt idx="1">
                  <c:v>2.6082909282157918E-8</c:v>
                </c:pt>
                <c:pt idx="2">
                  <c:v>-1.0289155136814282E-4</c:v>
                </c:pt>
                <c:pt idx="3">
                  <c:v>-1.8500686747660023E-5</c:v>
                </c:pt>
                <c:pt idx="4">
                  <c:v>-1.1929543056763729E-5</c:v>
                </c:pt>
                <c:pt idx="5">
                  <c:v>-2.3289425634196684E-5</c:v>
                </c:pt>
                <c:pt idx="6">
                  <c:v>2.4283184711618882E-4</c:v>
                </c:pt>
                <c:pt idx="7">
                  <c:v>3.5933963243517348E-5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TULEMUSED!$B$191</c:f>
              <c:strCache>
                <c:ptCount val="1"/>
                <c:pt idx="0">
                  <c:v>Elekter 3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TULEMUSED!$C$191:$J$191</c:f>
              <c:numCache>
                <c:formatCode>0.00%</c:formatCode>
                <c:ptCount val="8"/>
                <c:pt idx="0">
                  <c:v>0</c:v>
                </c:pt>
                <c:pt idx="1">
                  <c:v>7.7018184451585624E-7</c:v>
                </c:pt>
                <c:pt idx="2">
                  <c:v>-7.3011038302176335E-4</c:v>
                </c:pt>
                <c:pt idx="3">
                  <c:v>-2.5585177490557529E-3</c:v>
                </c:pt>
                <c:pt idx="4">
                  <c:v>2.7780571938825576E-3</c:v>
                </c:pt>
                <c:pt idx="5">
                  <c:v>8.1534875389920741E-3</c:v>
                </c:pt>
                <c:pt idx="6">
                  <c:v>2.4537966461941727E-3</c:v>
                </c:pt>
                <c:pt idx="7">
                  <c:v>2.4869031711415137E-3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TULEMUSED!$B$192</c:f>
              <c:strCache>
                <c:ptCount val="1"/>
                <c:pt idx="0">
                  <c:v>Elekter 4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TULEMUSED!$C$192:$J$192</c:f>
              <c:numCache>
                <c:formatCode>0.00%</c:formatCode>
                <c:ptCount val="8"/>
                <c:pt idx="0">
                  <c:v>0</c:v>
                </c:pt>
                <c:pt idx="1">
                  <c:v>-1.3932306402027717E-3</c:v>
                </c:pt>
                <c:pt idx="2">
                  <c:v>-7.1007185489714087E-4</c:v>
                </c:pt>
                <c:pt idx="3">
                  <c:v>-7.6948723168191163E-4</c:v>
                </c:pt>
                <c:pt idx="4">
                  <c:v>-7.3401185135579361E-4</c:v>
                </c:pt>
                <c:pt idx="5">
                  <c:v>-7.7579283322253261E-4</c:v>
                </c:pt>
                <c:pt idx="6">
                  <c:v>-3.6957880248333458E-4</c:v>
                </c:pt>
                <c:pt idx="7">
                  <c:v>-1.1059899728494049E-3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TULEMUSED!$B$193</c:f>
              <c:strCache>
                <c:ptCount val="1"/>
                <c:pt idx="0">
                  <c:v>Elekter 5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TULEMUSED!$C$193:$J$193</c:f>
              <c:numCache>
                <c:formatCode>0.00%</c:formatCode>
                <c:ptCount val="8"/>
                <c:pt idx="0">
                  <c:v>0</c:v>
                </c:pt>
                <c:pt idx="1">
                  <c:v>7.0498303662822216E-3</c:v>
                </c:pt>
                <c:pt idx="2">
                  <c:v>1.2454964428982853E-2</c:v>
                </c:pt>
                <c:pt idx="3">
                  <c:v>1.0939829383412897E-2</c:v>
                </c:pt>
                <c:pt idx="4">
                  <c:v>1.1420549908027974E-2</c:v>
                </c:pt>
                <c:pt idx="5">
                  <c:v>6.3267614995444199E-3</c:v>
                </c:pt>
                <c:pt idx="6">
                  <c:v>7.3077864559765379E-3</c:v>
                </c:pt>
                <c:pt idx="7">
                  <c:v>3.8018116990116467E-3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TULEMUSED!$B$194</c:f>
              <c:strCache>
                <c:ptCount val="1"/>
                <c:pt idx="0">
                  <c:v>BAU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4"/>
            <c:spPr>
              <a:solidFill>
                <a:srgbClr val="FF0000"/>
              </a:solidFill>
            </c:spPr>
          </c:marker>
          <c:cat>
            <c:numRef>
              <c:f>TULEMUSED!$C$182:$J$182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TULEMUSED!$C$194:$J$194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488232"/>
        <c:axId val="476488624"/>
      </c:lineChart>
      <c:catAx>
        <c:axId val="47648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t-EE"/>
          </a:p>
        </c:txPr>
        <c:crossAx val="476488624"/>
        <c:crosses val="autoZero"/>
        <c:auto val="1"/>
        <c:lblAlgn val="ctr"/>
        <c:lblOffset val="100"/>
        <c:noMultiLvlLbl val="0"/>
      </c:catAx>
      <c:valAx>
        <c:axId val="4764886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76488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TULEMUSED!$K$168</c:f>
              <c:strCache>
                <c:ptCount val="1"/>
                <c:pt idx="0">
                  <c:v>sts2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TULEMUSED!$C$168:$J$168</c:f>
              <c:numCache>
                <c:formatCode>0.00%</c:formatCode>
                <c:ptCount val="8"/>
                <c:pt idx="0">
                  <c:v>-1.8041152253603051E-3</c:v>
                </c:pt>
                <c:pt idx="1">
                  <c:v>-8.2420325041698145E-4</c:v>
                </c:pt>
                <c:pt idx="2">
                  <c:v>-9.0393289182911878E-4</c:v>
                </c:pt>
                <c:pt idx="3">
                  <c:v>1.8496975650407862E-4</c:v>
                </c:pt>
                <c:pt idx="4">
                  <c:v>5.0404777901428925E-4</c:v>
                </c:pt>
                <c:pt idx="5">
                  <c:v>7.4371329456901427E-4</c:v>
                </c:pt>
                <c:pt idx="6">
                  <c:v>1.0482346811242704E-3</c:v>
                </c:pt>
                <c:pt idx="7">
                  <c:v>1.2036055000805607E-3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TULEMUSED!$K$169</c:f>
              <c:strCache>
                <c:ptCount val="1"/>
                <c:pt idx="0">
                  <c:v>sts3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TULEMUSED!$C$169:$J$169</c:f>
              <c:numCache>
                <c:formatCode>0.00%</c:formatCode>
                <c:ptCount val="8"/>
                <c:pt idx="0">
                  <c:v>-3.5973673437628491E-3</c:v>
                </c:pt>
                <c:pt idx="1">
                  <c:v>-2.3087408272735432E-3</c:v>
                </c:pt>
                <c:pt idx="2">
                  <c:v>-1.1330955350305615E-3</c:v>
                </c:pt>
                <c:pt idx="3">
                  <c:v>2.700176186520816E-4</c:v>
                </c:pt>
                <c:pt idx="4">
                  <c:v>1.2914141738303167E-3</c:v>
                </c:pt>
                <c:pt idx="5">
                  <c:v>1.7119969449864306E-3</c:v>
                </c:pt>
                <c:pt idx="6">
                  <c:v>1.3884805036997727E-3</c:v>
                </c:pt>
                <c:pt idx="7">
                  <c:v>1.4115512398324933E-3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TULEMUSED!$K$170</c:f>
              <c:strCache>
                <c:ptCount val="1"/>
                <c:pt idx="0">
                  <c:v>sts4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TULEMUSED!$C$170:$J$170</c:f>
              <c:numCache>
                <c:formatCode>0.00%</c:formatCode>
                <c:ptCount val="8"/>
                <c:pt idx="0">
                  <c:v>2.3398311381779837E-4</c:v>
                </c:pt>
                <c:pt idx="1">
                  <c:v>5.0696567837026675E-3</c:v>
                </c:pt>
                <c:pt idx="2">
                  <c:v>7.2930032717441595E-3</c:v>
                </c:pt>
                <c:pt idx="3">
                  <c:v>8.8985130642648212E-3</c:v>
                </c:pt>
                <c:pt idx="4">
                  <c:v>8.1944244522922961E-3</c:v>
                </c:pt>
                <c:pt idx="5">
                  <c:v>7.7063023683146166E-3</c:v>
                </c:pt>
                <c:pt idx="6">
                  <c:v>7.3265906366219401E-3</c:v>
                </c:pt>
                <c:pt idx="7">
                  <c:v>7.1982784250711378E-3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TULEMUSED!$K$171</c:f>
              <c:strCache>
                <c:ptCount val="1"/>
                <c:pt idx="0">
                  <c:v>sts5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TULEMUSED!$C$171:$J$171</c:f>
              <c:numCache>
                <c:formatCode>0.00%</c:formatCode>
                <c:ptCount val="8"/>
                <c:pt idx="0">
                  <c:v>2.4418174453557821E-4</c:v>
                </c:pt>
                <c:pt idx="1">
                  <c:v>8.68849412869558E-3</c:v>
                </c:pt>
                <c:pt idx="2">
                  <c:v>1.4679623391523115E-2</c:v>
                </c:pt>
                <c:pt idx="3">
                  <c:v>1.9370418331567187E-2</c:v>
                </c:pt>
                <c:pt idx="4">
                  <c:v>1.9532888050776326E-2</c:v>
                </c:pt>
                <c:pt idx="5">
                  <c:v>1.9070189682809172E-2</c:v>
                </c:pt>
                <c:pt idx="6">
                  <c:v>1.8290036441539204E-2</c:v>
                </c:pt>
                <c:pt idx="7">
                  <c:v>1.8944361013326669E-2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TULEMUSED!$K$172</c:f>
              <c:strCache>
                <c:ptCount val="1"/>
                <c:pt idx="0">
                  <c:v>sts6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TULEMUSED!$C$172:$J$172</c:f>
              <c:numCache>
                <c:formatCode>0.00%</c:formatCode>
                <c:ptCount val="8"/>
                <c:pt idx="0">
                  <c:v>-2.7422365652209246E-3</c:v>
                </c:pt>
                <c:pt idx="1">
                  <c:v>-4.1994703187853023E-3</c:v>
                </c:pt>
                <c:pt idx="2">
                  <c:v>-1.8793501944368237E-3</c:v>
                </c:pt>
                <c:pt idx="3">
                  <c:v>-1.9511543192194029E-3</c:v>
                </c:pt>
                <c:pt idx="4">
                  <c:v>-5.9169017220915294E-4</c:v>
                </c:pt>
                <c:pt idx="5">
                  <c:v>-4.7773899426918073E-4</c:v>
                </c:pt>
                <c:pt idx="6">
                  <c:v>-3.7359630529004814E-4</c:v>
                </c:pt>
                <c:pt idx="7">
                  <c:v>-3.1246731300169593E-4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TULEMUSED!$K$173</c:f>
              <c:strCache>
                <c:ptCount val="1"/>
                <c:pt idx="0">
                  <c:v>sts7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TULEMUSED!$C$173:$J$173</c:f>
              <c:numCache>
                <c:formatCode>0.00%</c:formatCode>
                <c:ptCount val="8"/>
                <c:pt idx="0">
                  <c:v>-5.1217545021482371E-3</c:v>
                </c:pt>
                <c:pt idx="1">
                  <c:v>-3.6785878107232642E-3</c:v>
                </c:pt>
                <c:pt idx="2">
                  <c:v>2.4279268699483627E-4</c:v>
                </c:pt>
                <c:pt idx="3">
                  <c:v>-2.1635988636202414E-3</c:v>
                </c:pt>
                <c:pt idx="4">
                  <c:v>3.8732191965882732E-3</c:v>
                </c:pt>
                <c:pt idx="5">
                  <c:v>4.9239525808030945E-3</c:v>
                </c:pt>
                <c:pt idx="6">
                  <c:v>5.5609317999974527E-3</c:v>
                </c:pt>
                <c:pt idx="7">
                  <c:v>6.6914911521381909E-3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TULEMUSED!$K$174</c:f>
              <c:strCache>
                <c:ptCount val="1"/>
                <c:pt idx="0">
                  <c:v>sts8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TULEMUSED!$C$174:$J$174</c:f>
              <c:numCache>
                <c:formatCode>0.00%</c:formatCode>
                <c:ptCount val="8"/>
                <c:pt idx="0">
                  <c:v>0</c:v>
                </c:pt>
                <c:pt idx="1">
                  <c:v>2.6082909282157918E-8</c:v>
                </c:pt>
                <c:pt idx="2">
                  <c:v>-1.0289155136814282E-4</c:v>
                </c:pt>
                <c:pt idx="3">
                  <c:v>-1.8500686747660023E-5</c:v>
                </c:pt>
                <c:pt idx="4">
                  <c:v>-1.1929543056763729E-5</c:v>
                </c:pt>
                <c:pt idx="5">
                  <c:v>-2.3289425634196684E-5</c:v>
                </c:pt>
                <c:pt idx="6">
                  <c:v>2.4283184711618882E-4</c:v>
                </c:pt>
                <c:pt idx="7">
                  <c:v>3.5933963243517348E-5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TULEMUSED!$K$175</c:f>
              <c:strCache>
                <c:ptCount val="1"/>
                <c:pt idx="0">
                  <c:v>sts9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TULEMUSED!$C$175:$J$175</c:f>
              <c:numCache>
                <c:formatCode>0.00%</c:formatCode>
                <c:ptCount val="8"/>
                <c:pt idx="0">
                  <c:v>0</c:v>
                </c:pt>
                <c:pt idx="1">
                  <c:v>7.7018184451585624E-7</c:v>
                </c:pt>
                <c:pt idx="2">
                  <c:v>-7.3011038302176335E-4</c:v>
                </c:pt>
                <c:pt idx="3">
                  <c:v>-2.5585177490557529E-3</c:v>
                </c:pt>
                <c:pt idx="4">
                  <c:v>2.7780571938825576E-3</c:v>
                </c:pt>
                <c:pt idx="5">
                  <c:v>8.1534875389920741E-3</c:v>
                </c:pt>
                <c:pt idx="6">
                  <c:v>2.4537966461941727E-3</c:v>
                </c:pt>
                <c:pt idx="7">
                  <c:v>2.4869031711415137E-3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TULEMUSED!$K$176</c:f>
              <c:strCache>
                <c:ptCount val="1"/>
                <c:pt idx="0">
                  <c:v>sts10</c:v>
                </c:pt>
              </c:strCache>
            </c:strRef>
          </c:tx>
          <c:marker>
            <c:symbol val="none"/>
          </c:marker>
          <c:cat>
            <c:numRef>
              <c:f>TULEMUSED!$C$166:$J$166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TULEMUSED!$C$176:$J$176</c:f>
              <c:numCache>
                <c:formatCode>0.00%</c:formatCode>
                <c:ptCount val="8"/>
                <c:pt idx="0">
                  <c:v>0</c:v>
                </c:pt>
                <c:pt idx="1">
                  <c:v>-1.3932306402027717E-3</c:v>
                </c:pt>
                <c:pt idx="2">
                  <c:v>-7.1007185489714087E-4</c:v>
                </c:pt>
                <c:pt idx="3">
                  <c:v>-7.6948723168191163E-4</c:v>
                </c:pt>
                <c:pt idx="4">
                  <c:v>-7.3401185135579361E-4</c:v>
                </c:pt>
                <c:pt idx="5">
                  <c:v>-7.7579283322253261E-4</c:v>
                </c:pt>
                <c:pt idx="6">
                  <c:v>-3.6957880248333458E-4</c:v>
                </c:pt>
                <c:pt idx="7">
                  <c:v>-1.1059899728494049E-3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489408"/>
        <c:axId val="476489800"/>
      </c:lineChart>
      <c:catAx>
        <c:axId val="4764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t-EE"/>
          </a:p>
        </c:txPr>
        <c:crossAx val="476489800"/>
        <c:crosses val="autoZero"/>
        <c:auto val="1"/>
        <c:lblAlgn val="ctr"/>
        <c:lblOffset val="100"/>
        <c:noMultiLvlLbl val="0"/>
      </c:catAx>
      <c:valAx>
        <c:axId val="4764898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7648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34282113529894"/>
          <c:y val="2.2529120680588627E-2"/>
          <c:w val="0.89266875159827364"/>
          <c:h val="0.675655460629835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TULEMUSED!$E$163:$R$163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TULEMUSED!$E$159:$R$159</c:f>
              <c:numCache>
                <c:formatCode>0.00%</c:formatCode>
                <c:ptCount val="14"/>
                <c:pt idx="0">
                  <c:v>-1.0954640059978458E-2</c:v>
                </c:pt>
                <c:pt idx="1">
                  <c:v>-1.8627306350600378E-2</c:v>
                </c:pt>
                <c:pt idx="2">
                  <c:v>-2.0789962137892092E-2</c:v>
                </c:pt>
                <c:pt idx="3">
                  <c:v>-4.0800981783396348E-2</c:v>
                </c:pt>
                <c:pt idx="4">
                  <c:v>1.3336122196355611E-3</c:v>
                </c:pt>
                <c:pt idx="5">
                  <c:v>2.5927721359240083E-3</c:v>
                </c:pt>
                <c:pt idx="6">
                  <c:v>2.0794216062047449E-5</c:v>
                </c:pt>
                <c:pt idx="7">
                  <c:v>-3.1158306941380526E-4</c:v>
                </c:pt>
                <c:pt idx="8">
                  <c:v>-0.14018616807588472</c:v>
                </c:pt>
                <c:pt idx="9">
                  <c:v>8.820364857878267E-2</c:v>
                </c:pt>
                <c:pt idx="10">
                  <c:v>0</c:v>
                </c:pt>
                <c:pt idx="11">
                  <c:v>0</c:v>
                </c:pt>
                <c:pt idx="12">
                  <c:v>-7.5406557743025168E-2</c:v>
                </c:pt>
                <c:pt idx="13">
                  <c:v>3.7232886105357813E-2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1070552"/>
        <c:axId val="431070944"/>
      </c:barChart>
      <c:catAx>
        <c:axId val="431070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31070944"/>
        <c:crosses val="autoZero"/>
        <c:auto val="1"/>
        <c:lblAlgn val="ctr"/>
        <c:lblOffset val="100"/>
        <c:noMultiLvlLbl val="0"/>
      </c:catAx>
      <c:valAx>
        <c:axId val="431070944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crossAx val="431070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5515592229249"/>
          <c:y val="3.8227633304260628E-2"/>
          <c:w val="0.881030709150183"/>
          <c:h val="0.9020156789153425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TULEMUSED!$C$201:$J$201</c:f>
              <c:numCache>
                <c:formatCode>#,##0</c:formatCode>
                <c:ptCount val="8"/>
                <c:pt idx="0">
                  <c:v>-4.4289941176470601E-2</c:v>
                </c:pt>
                <c:pt idx="1">
                  <c:v>-0.28627707097435007</c:v>
                </c:pt>
                <c:pt idx="2">
                  <c:v>-0.5654031336058214</c:v>
                </c:pt>
                <c:pt idx="3">
                  <c:v>-0.88706906851637157</c:v>
                </c:pt>
                <c:pt idx="4">
                  <c:v>-0.67871862696932173</c:v>
                </c:pt>
                <c:pt idx="5">
                  <c:v>-0.56121962286648053</c:v>
                </c:pt>
                <c:pt idx="6">
                  <c:v>-0.42150516945725069</c:v>
                </c:pt>
                <c:pt idx="7">
                  <c:v>-0.25684326907997068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TULEMUSED!$C$202:$J$202</c:f>
              <c:numCache>
                <c:formatCode>#,##0</c:formatCode>
                <c:ptCount val="8"/>
                <c:pt idx="0">
                  <c:v>-0.1234414117647059</c:v>
                </c:pt>
                <c:pt idx="1">
                  <c:v>-0.79788874986613267</c:v>
                </c:pt>
                <c:pt idx="2">
                  <c:v>-1.5758467763684902</c:v>
                </c:pt>
                <c:pt idx="3">
                  <c:v>-2.4665240098522077</c:v>
                </c:pt>
                <c:pt idx="4">
                  <c:v>-1.7072971160089607</c:v>
                </c:pt>
                <c:pt idx="5">
                  <c:v>-1.3180245083033775</c:v>
                </c:pt>
                <c:pt idx="6">
                  <c:v>-0.85838543546949708</c:v>
                </c:pt>
                <c:pt idx="7">
                  <c:v>-0.31982854732745736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TULEMUSED!$C$203:$J$203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TULEMUSED!$C$204:$J$204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TULEMUSED!$C$205:$J$205</c:f>
              <c:numCache>
                <c:formatCode>#,##0</c:formatCode>
                <c:ptCount val="8"/>
                <c:pt idx="0">
                  <c:v>1.4534002419913505</c:v>
                </c:pt>
                <c:pt idx="1">
                  <c:v>9.652633360695031</c:v>
                </c:pt>
                <c:pt idx="2">
                  <c:v>13.938279623804114</c:v>
                </c:pt>
                <c:pt idx="3">
                  <c:v>18.223925886913197</c:v>
                </c:pt>
                <c:pt idx="4">
                  <c:v>18.504686603770711</c:v>
                </c:pt>
                <c:pt idx="5">
                  <c:v>18.785447320628222</c:v>
                </c:pt>
                <c:pt idx="6">
                  <c:v>18.925827679056979</c:v>
                </c:pt>
                <c:pt idx="7">
                  <c:v>19.346968754343244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TULEMUSED!$C$206:$J$206</c:f>
              <c:numCache>
                <c:formatCode>#,##0</c:formatCode>
                <c:ptCount val="8"/>
                <c:pt idx="0">
                  <c:v>2.4750000000000001</c:v>
                </c:pt>
                <c:pt idx="1">
                  <c:v>19.533332876712329</c:v>
                </c:pt>
                <c:pt idx="2">
                  <c:v>23.245832876712331</c:v>
                </c:pt>
                <c:pt idx="3">
                  <c:v>36.538332328767126</c:v>
                </c:pt>
                <c:pt idx="4">
                  <c:v>39.590832328767121</c:v>
                </c:pt>
                <c:pt idx="5">
                  <c:v>41.570832328767132</c:v>
                </c:pt>
                <c:pt idx="6">
                  <c:v>43.715832328767121</c:v>
                </c:pt>
                <c:pt idx="7">
                  <c:v>45.431832328767129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TULEMUSED!$C$207:$J$207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7"/>
          <c:order val="7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TULEMUSED!$C$208:$J$208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8"/>
          <c:order val="8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TULEMUSED!$C$209:$J$209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9"/>
          <c:order val="9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TULEMUSED!$C$210:$J$210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0"/>
          <c:order val="10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TULEMUSED!$C$211:$J$211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1"/>
          <c:order val="11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TULEMUSED!$C$212:$J$212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2"/>
          <c:order val="12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TULEMUSED!$C$213:$J$213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3"/>
          <c:order val="13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TULEMUSED!$C$214:$J$214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4"/>
          <c:order val="14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TULEMUSED!$C$215:$J$215</c:f>
              <c:numCache>
                <c:formatCode>#,##0</c:formatCode>
                <c:ptCount val="8"/>
                <c:pt idx="0">
                  <c:v>2.3515585882352941</c:v>
                </c:pt>
                <c:pt idx="1">
                  <c:v>18.735444126846197</c:v>
                </c:pt>
                <c:pt idx="2">
                  <c:v>21.669986100343841</c:v>
                </c:pt>
                <c:pt idx="3">
                  <c:v>34.071808318914918</c:v>
                </c:pt>
                <c:pt idx="4">
                  <c:v>37.883535212758161</c:v>
                </c:pt>
                <c:pt idx="5">
                  <c:v>40.252807820463758</c:v>
                </c:pt>
                <c:pt idx="6">
                  <c:v>42.85744689329762</c:v>
                </c:pt>
                <c:pt idx="7">
                  <c:v>45.112003781439668</c:v>
                </c:pt>
              </c:numCache>
            </c:numRef>
          </c:val>
          <c:smooth val="0"/>
        </c:ser>
        <c:ser>
          <c:idx val="15"/>
          <c:order val="15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TULEMUSED!$C$216:$J$216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16"/>
          <c:order val="16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TULEMUSED!$C$217:$J$217</c:f>
              <c:numCache>
                <c:formatCode>#,##0</c:formatCode>
                <c:ptCount val="8"/>
                <c:pt idx="0">
                  <c:v>2.4750000000000001</c:v>
                </c:pt>
                <c:pt idx="1">
                  <c:v>19.533332876712329</c:v>
                </c:pt>
                <c:pt idx="2">
                  <c:v>23.245832876712331</c:v>
                </c:pt>
                <c:pt idx="3">
                  <c:v>36.538332328767126</c:v>
                </c:pt>
                <c:pt idx="4">
                  <c:v>39.590832328767121</c:v>
                </c:pt>
                <c:pt idx="5">
                  <c:v>41.570832328767132</c:v>
                </c:pt>
                <c:pt idx="6">
                  <c:v>43.715832328767121</c:v>
                </c:pt>
                <c:pt idx="7">
                  <c:v>45.431832328767129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71728"/>
        <c:axId val="476417576"/>
      </c:lineChart>
      <c:catAx>
        <c:axId val="43107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t-EE"/>
          </a:p>
        </c:txPr>
        <c:crossAx val="476417576"/>
        <c:crosses val="autoZero"/>
        <c:auto val="1"/>
        <c:lblAlgn val="ctr"/>
        <c:lblOffset val="100"/>
        <c:noMultiLvlLbl val="0"/>
      </c:catAx>
      <c:valAx>
        <c:axId val="476417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3107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96784944291184E-2"/>
          <c:y val="2.2674172648105336E-2"/>
          <c:w val="0.9197956191644584"/>
          <c:h val="0.75044279322214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TULEMUSED!$B$304</c:f>
              <c:strCache>
                <c:ptCount val="1"/>
                <c:pt idx="0">
                  <c:v>Majanduse seisund</c:v>
                </c:pt>
              </c:strCache>
            </c:strRef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TULEMUSED!$C$306:$Q$306</c:f>
              <c:strCache>
                <c:ptCount val="15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  <c:pt idx="14">
                  <c:v>Sts. 16</c:v>
                </c:pt>
              </c:strCache>
            </c:strRef>
          </c:cat>
          <c:val>
            <c:numRef>
              <c:f>TULEMUSED!$C$304:$Q$304</c:f>
              <c:numCache>
                <c:formatCode>0.00</c:formatCode>
                <c:ptCount val="15"/>
                <c:pt idx="0">
                  <c:v>0.14949194009478434</c:v>
                </c:pt>
                <c:pt idx="1">
                  <c:v>0.14135127985831331</c:v>
                </c:pt>
                <c:pt idx="2">
                  <c:v>0.43319896402459229</c:v>
                </c:pt>
                <c:pt idx="3">
                  <c:v>0.94904117093317808</c:v>
                </c:pt>
                <c:pt idx="4">
                  <c:v>0.33275266844918489</c:v>
                </c:pt>
                <c:pt idx="5">
                  <c:v>0.66030913212739806</c:v>
                </c:pt>
                <c:pt idx="6">
                  <c:v>1.2893422317138196E-4</c:v>
                </c:pt>
                <c:pt idx="7">
                  <c:v>0.22313441478650681</c:v>
                </c:pt>
                <c:pt idx="8">
                  <c:v>5.4356077799636499E-2</c:v>
                </c:pt>
                <c:pt idx="9">
                  <c:v>1.4419975358467361</c:v>
                </c:pt>
                <c:pt idx="10">
                  <c:v>1.9648389702180281E-2</c:v>
                </c:pt>
                <c:pt idx="11">
                  <c:v>4.1678898028326999E-2</c:v>
                </c:pt>
                <c:pt idx="12">
                  <c:v>-0.95178780951331499</c:v>
                </c:pt>
                <c:pt idx="13">
                  <c:v>0.48199414240790583</c:v>
                </c:pt>
                <c:pt idx="14">
                  <c:v>3.5898546059856007</c:v>
                </c:pt>
              </c:numCache>
            </c:numRef>
          </c:val>
        </c:ser>
        <c:ser>
          <c:idx val="1"/>
          <c:order val="1"/>
          <c:tx>
            <c:strRef>
              <c:f>TULEMUSED!$B$305</c:f>
              <c:strCache>
                <c:ptCount val="1"/>
                <c:pt idx="0">
                  <c:v>Ressursikasutus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3.9009838158317895E-3"/>
                  <c:y val="-2.60087991073334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TULEMUSED!$C$306:$Q$306</c:f>
              <c:strCache>
                <c:ptCount val="15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  <c:pt idx="14">
                  <c:v>Sts. 16</c:v>
                </c:pt>
              </c:strCache>
            </c:strRef>
          </c:cat>
          <c:val>
            <c:numRef>
              <c:f>TULEMUSED!$C$305:$Q$305</c:f>
              <c:numCache>
                <c:formatCode>0.00</c:formatCode>
                <c:ptCount val="15"/>
                <c:pt idx="0">
                  <c:v>0.65301138808158155</c:v>
                </c:pt>
                <c:pt idx="1">
                  <c:v>1.1087044461259152</c:v>
                </c:pt>
                <c:pt idx="2">
                  <c:v>1.0222518980174127</c:v>
                </c:pt>
                <c:pt idx="3">
                  <c:v>2.0356856728302808</c:v>
                </c:pt>
                <c:pt idx="4">
                  <c:v>-0.18685126591284715</c:v>
                </c:pt>
                <c:pt idx="5">
                  <c:v>-0.32802290279858759</c:v>
                </c:pt>
                <c:pt idx="6">
                  <c:v>-1.1907030679535573E-3</c:v>
                </c:pt>
                <c:pt idx="7">
                  <c:v>5.8902592076851583E-3</c:v>
                </c:pt>
                <c:pt idx="8">
                  <c:v>4.8998747609421187</c:v>
                </c:pt>
                <c:pt idx="9">
                  <c:v>-3.6933199181258836</c:v>
                </c:pt>
                <c:pt idx="10">
                  <c:v>0</c:v>
                </c:pt>
                <c:pt idx="11">
                  <c:v>0</c:v>
                </c:pt>
                <c:pt idx="12">
                  <c:v>3.0407017648260926</c:v>
                </c:pt>
                <c:pt idx="13">
                  <c:v>-1.5051770416940109</c:v>
                </c:pt>
                <c:pt idx="14">
                  <c:v>-2.3395426100458088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76418360"/>
        <c:axId val="476418752"/>
      </c:barChart>
      <c:catAx>
        <c:axId val="47641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2700000" vert="horz"/>
          <a:lstStyle/>
          <a:p>
            <a:pPr>
              <a:defRPr sz="900"/>
            </a:pPr>
            <a:endParaRPr lang="et-EE"/>
          </a:p>
        </c:txPr>
        <c:crossAx val="476418752"/>
        <c:crosses val="autoZero"/>
        <c:auto val="1"/>
        <c:lblAlgn val="ctr"/>
        <c:lblOffset val="100"/>
        <c:noMultiLvlLbl val="0"/>
      </c:catAx>
      <c:valAx>
        <c:axId val="476418752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crossAx val="476418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6388172892496439"/>
          <c:y val="0.62199805446047851"/>
          <c:w val="0.33517374659377769"/>
          <c:h val="6.507570246978404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t-EE" sz="1400"/>
              <a:t>Konkurentsivõime</a:t>
            </a:r>
            <a:r>
              <a:rPr lang="et-EE" sz="1400" baseline="0"/>
              <a:t> indeks</a:t>
            </a:r>
            <a:endParaRPr lang="et-EE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3904561826987"/>
          <c:y val="0.10099996362566177"/>
          <c:w val="0.74554713962090235"/>
          <c:h val="0.6535716293388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TULEMUSED!$Y$142</c:f>
              <c:strCache>
                <c:ptCount val="1"/>
                <c:pt idx="0">
                  <c:v>2015-2050</c:v>
                </c:pt>
              </c:strCache>
            </c:strRef>
          </c:tx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t-E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TULEMUSED!$AA$142:$AN$142</c:f>
              <c:numCache>
                <c:formatCode>0.000</c:formatCode>
                <c:ptCount val="14"/>
                <c:pt idx="0">
                  <c:v>3.3579868278380021</c:v>
                </c:pt>
                <c:pt idx="1">
                  <c:v>5.1249809774981223</c:v>
                </c:pt>
                <c:pt idx="2">
                  <c:v>5.8050438063868146</c:v>
                </c:pt>
                <c:pt idx="3">
                  <c:v>10.788318452689133</c:v>
                </c:pt>
                <c:pt idx="4">
                  <c:v>2.5301065347092226</c:v>
                </c:pt>
                <c:pt idx="5">
                  <c:v>7.1138347719700752</c:v>
                </c:pt>
                <c:pt idx="6">
                  <c:v>-0.94681420881187917</c:v>
                </c:pt>
                <c:pt idx="7">
                  <c:v>3.6686299197804231</c:v>
                </c:pt>
                <c:pt idx="8">
                  <c:v>8.5480150425528514</c:v>
                </c:pt>
                <c:pt idx="9">
                  <c:v>-2.1089681420124595</c:v>
                </c:pt>
                <c:pt idx="10">
                  <c:v>-6.1475469489739892E-2</c:v>
                </c:pt>
                <c:pt idx="11">
                  <c:v>-9.3547436759826075E-2</c:v>
                </c:pt>
                <c:pt idx="12">
                  <c:v>0.59997438297483185</c:v>
                </c:pt>
                <c:pt idx="13">
                  <c:v>-0.58343324787476281</c:v>
                </c:pt>
              </c:numCache>
            </c:numRef>
          </c:val>
        </c:ser>
        <c:ser>
          <c:idx val="1"/>
          <c:order val="1"/>
          <c:tx>
            <c:strRef>
              <c:f>TULEMUSED!$Y$143</c:f>
              <c:strCache>
                <c:ptCount val="1"/>
                <c:pt idx="0">
                  <c:v>2015-2030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t-E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TULEMUSED!$AA$143:$AN$143</c:f>
              <c:numCache>
                <c:formatCode>0.000</c:formatCode>
                <c:ptCount val="14"/>
                <c:pt idx="0">
                  <c:v>0.92137079643536957</c:v>
                </c:pt>
                <c:pt idx="1">
                  <c:v>1.2116666107882137</c:v>
                </c:pt>
                <c:pt idx="2">
                  <c:v>2.2664191614856808</c:v>
                </c:pt>
                <c:pt idx="3">
                  <c:v>3.6170353074031838</c:v>
                </c:pt>
                <c:pt idx="4">
                  <c:v>0.94338740897595186</c:v>
                </c:pt>
                <c:pt idx="5">
                  <c:v>2.5415717587118416</c:v>
                </c:pt>
                <c:pt idx="6">
                  <c:v>3.224179179452006E-3</c:v>
                </c:pt>
                <c:pt idx="7">
                  <c:v>0.68792636810016661</c:v>
                </c:pt>
                <c:pt idx="8">
                  <c:v>5.0543555011999999</c:v>
                </c:pt>
                <c:pt idx="9">
                  <c:v>-0.63998906376555365</c:v>
                </c:pt>
                <c:pt idx="10">
                  <c:v>5.8945169106540844E-2</c:v>
                </c:pt>
                <c:pt idx="11">
                  <c:v>0.125036694084981</c:v>
                </c:pt>
                <c:pt idx="12">
                  <c:v>-0.4408150839713687</c:v>
                </c:pt>
                <c:pt idx="13">
                  <c:v>0.24931359072144565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74826480"/>
        <c:axId val="474826872"/>
      </c:barChart>
      <c:catAx>
        <c:axId val="47482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74826872"/>
        <c:crosses val="autoZero"/>
        <c:auto val="1"/>
        <c:lblAlgn val="ctr"/>
        <c:lblOffset val="100"/>
        <c:noMultiLvlLbl val="0"/>
      </c:catAx>
      <c:valAx>
        <c:axId val="474826872"/>
        <c:scaling>
          <c:orientation val="minMax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crossAx val="474826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25587802237752"/>
          <c:y val="0.39290157147859039"/>
          <c:w val="0.12744122408348196"/>
          <c:h val="0.1151082322410561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j-lt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t-EE" sz="1400"/>
              <a:t>Majanduse</a:t>
            </a:r>
            <a:r>
              <a:rPr lang="et-EE" sz="1400" baseline="0"/>
              <a:t> seisundi indeks</a:t>
            </a:r>
            <a:endParaRPr lang="et-EE" sz="1400"/>
          </a:p>
        </c:rich>
      </c:tx>
      <c:layout>
        <c:manualLayout>
          <c:xMode val="edge"/>
          <c:yMode val="edge"/>
          <c:x val="1.2648964850019619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3904561826987"/>
          <c:y val="8.7228070175438599E-2"/>
          <c:w val="0.74554713962090235"/>
          <c:h val="0.66670396463599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TULEMUSED!$Y$146</c:f>
              <c:strCache>
                <c:ptCount val="1"/>
                <c:pt idx="0">
                  <c:v>2015-2050</c:v>
                </c:pt>
              </c:strCache>
            </c:strRef>
          </c:tx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t-E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TULEMUSED!$AA$146:$AN$146</c:f>
              <c:numCache>
                <c:formatCode>0.000</c:formatCode>
                <c:ptCount val="14"/>
                <c:pt idx="0">
                  <c:v>0.14712537470571932</c:v>
                </c:pt>
                <c:pt idx="1">
                  <c:v>0.19439292374901534</c:v>
                </c:pt>
                <c:pt idx="2">
                  <c:v>0.55898207408274692</c:v>
                </c:pt>
                <c:pt idx="3">
                  <c:v>0.86488639038260073</c:v>
                </c:pt>
                <c:pt idx="4">
                  <c:v>0.48932158669158449</c:v>
                </c:pt>
                <c:pt idx="5">
                  <c:v>1.3257221609179164</c:v>
                </c:pt>
                <c:pt idx="6">
                  <c:v>-4.6218520800697209E-2</c:v>
                </c:pt>
                <c:pt idx="7">
                  <c:v>0.62528588183190448</c:v>
                </c:pt>
                <c:pt idx="8">
                  <c:v>0.22004852995055385</c:v>
                </c:pt>
                <c:pt idx="9">
                  <c:v>0.9345749687621433</c:v>
                </c:pt>
                <c:pt idx="10">
                  <c:v>-1.0245911581623315E-2</c:v>
                </c:pt>
                <c:pt idx="11">
                  <c:v>-1.5591239459971012E-2</c:v>
                </c:pt>
                <c:pt idx="12">
                  <c:v>-1.366592103542565</c:v>
                </c:pt>
                <c:pt idx="13">
                  <c:v>0.98128873730797561</c:v>
                </c:pt>
              </c:numCache>
            </c:numRef>
          </c:val>
        </c:ser>
        <c:ser>
          <c:idx val="1"/>
          <c:order val="1"/>
          <c:tx>
            <c:strRef>
              <c:f>TULEMUSED!$Y$147</c:f>
              <c:strCache>
                <c:ptCount val="1"/>
                <c:pt idx="0">
                  <c:v>2015-2030</c:v>
                </c:pt>
              </c:strCache>
            </c:strRef>
          </c:tx>
          <c:invertIfNegative val="0"/>
          <c:dLbls>
            <c:delete val="1"/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TULEMUSED!$AA$147:$AN$147</c:f>
              <c:numCache>
                <c:formatCode>0.000</c:formatCode>
                <c:ptCount val="14"/>
                <c:pt idx="0">
                  <c:v>0.13227862010837502</c:v>
                </c:pt>
                <c:pt idx="1">
                  <c:v>0.10626084319250614</c:v>
                </c:pt>
                <c:pt idx="2">
                  <c:v>0.45122724453625346</c:v>
                </c:pt>
                <c:pt idx="3">
                  <c:v>0.58746316062525983</c:v>
                </c:pt>
                <c:pt idx="4">
                  <c:v>0.43231223028242383</c:v>
                </c:pt>
                <c:pt idx="5">
                  <c:v>1.0878967302905527</c:v>
                </c:pt>
                <c:pt idx="6">
                  <c:v>1.4102032267779535E-3</c:v>
                </c:pt>
                <c:pt idx="7">
                  <c:v>0.22720678524416105</c:v>
                </c:pt>
                <c:pt idx="8">
                  <c:v>0.1167482650002056</c:v>
                </c:pt>
                <c:pt idx="9">
                  <c:v>0.99001679021900624</c:v>
                </c:pt>
                <c:pt idx="10">
                  <c:v>1.9648389702180281E-2</c:v>
                </c:pt>
                <c:pt idx="11">
                  <c:v>4.1678898028326999E-2</c:v>
                </c:pt>
                <c:pt idx="12">
                  <c:v>-0.95178780951331499</c:v>
                </c:pt>
                <c:pt idx="13">
                  <c:v>0.48199414240790583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74827656"/>
        <c:axId val="474828048"/>
      </c:barChart>
      <c:catAx>
        <c:axId val="474827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74828048"/>
        <c:crosses val="autoZero"/>
        <c:auto val="1"/>
        <c:lblAlgn val="ctr"/>
        <c:lblOffset val="100"/>
        <c:noMultiLvlLbl val="0"/>
      </c:catAx>
      <c:valAx>
        <c:axId val="474828048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crossAx val="47482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25587802237752"/>
          <c:y val="0.39290157147859039"/>
          <c:w val="0.12744122408348196"/>
          <c:h val="0.1151082322410561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j-lt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t-EE" sz="1400" baseline="0"/>
              <a:t>Ressursikasutuse indeks</a:t>
            </a:r>
            <a:endParaRPr lang="et-EE" sz="1400"/>
          </a:p>
        </c:rich>
      </c:tx>
      <c:layout>
        <c:manualLayout>
          <c:xMode val="edge"/>
          <c:yMode val="edge"/>
          <c:x val="3.9019547292441898E-3"/>
          <c:y val="3.381641997543916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3904561826987"/>
          <c:y val="0.12002845696919465"/>
          <c:w val="0.74554713962090235"/>
          <c:h val="0.63390357784224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TULEMUSED!$Y$150</c:f>
              <c:strCache>
                <c:ptCount val="1"/>
                <c:pt idx="0">
                  <c:v>2015-2050</c:v>
                </c:pt>
              </c:strCache>
            </c:strRef>
          </c:tx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t-E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TULEMUSED!$AA$150:$AN$150</c:f>
              <c:numCache>
                <c:formatCode>0.000</c:formatCode>
                <c:ptCount val="14"/>
                <c:pt idx="0">
                  <c:v>1.2376172898018432</c:v>
                </c:pt>
                <c:pt idx="1">
                  <c:v>1.9793117175020154</c:v>
                </c:pt>
                <c:pt idx="2">
                  <c:v>1.2255756809451668</c:v>
                </c:pt>
                <c:pt idx="3">
                  <c:v>2.7995000551967637</c:v>
                </c:pt>
                <c:pt idx="4">
                  <c:v>-5.0479915862831654E-2</c:v>
                </c:pt>
                <c:pt idx="5">
                  <c:v>-0.10810699930673731</c:v>
                </c:pt>
                <c:pt idx="6">
                  <c:v>-0.33475154200384794</c:v>
                </c:pt>
                <c:pt idx="7">
                  <c:v>-4.1542685605501797E-2</c:v>
                </c:pt>
                <c:pt idx="8">
                  <c:v>3.6138619314247644</c:v>
                </c:pt>
                <c:pt idx="9">
                  <c:v>-3.8582089772926595</c:v>
                </c:pt>
                <c:pt idx="10">
                  <c:v>0</c:v>
                </c:pt>
                <c:pt idx="11">
                  <c:v>0</c:v>
                </c:pt>
                <c:pt idx="12">
                  <c:v>4.3997635021151105</c:v>
                </c:pt>
                <c:pt idx="13">
                  <c:v>-3.2355828358613081</c:v>
                </c:pt>
              </c:numCache>
            </c:numRef>
          </c:val>
        </c:ser>
        <c:ser>
          <c:idx val="1"/>
          <c:order val="1"/>
          <c:tx>
            <c:strRef>
              <c:f>TULEMUSED!$Y$151</c:f>
              <c:strCache>
                <c:ptCount val="1"/>
                <c:pt idx="0">
                  <c:v>2015-2030</c:v>
                </c:pt>
              </c:strCache>
            </c:strRef>
          </c:tx>
          <c:invertIfNegative val="0"/>
          <c:dLbls>
            <c:delete val="1"/>
          </c:dLbls>
          <c:cat>
            <c:strRef>
              <c:f>TULEMUSED!$AA$141:$AN$141</c:f>
              <c:strCache>
                <c:ptCount val="14"/>
                <c:pt idx="0">
                  <c:v>Hooned/ Soojus 2</c:v>
                </c:pt>
                <c:pt idx="1">
                  <c:v>Hooned/ Soojus 3</c:v>
                </c:pt>
                <c:pt idx="2">
                  <c:v>Transport 2</c:v>
                </c:pt>
                <c:pt idx="3">
                  <c:v>Transport 3</c:v>
                </c:pt>
                <c:pt idx="4">
                  <c:v>Kütused 2</c:v>
                </c:pt>
                <c:pt idx="5">
                  <c:v>Kütused 3</c:v>
                </c:pt>
                <c:pt idx="6">
                  <c:v>Elekter 2</c:v>
                </c:pt>
                <c:pt idx="7">
                  <c:v>Elekter 3</c:v>
                </c:pt>
                <c:pt idx="8">
                  <c:v>Elekter 4</c:v>
                </c:pt>
                <c:pt idx="9">
                  <c:v>Elekter 5</c:v>
                </c:pt>
                <c:pt idx="10">
                  <c:v>Võrgud2</c:v>
                </c:pt>
                <c:pt idx="11">
                  <c:v>Võrgud 3</c:v>
                </c:pt>
                <c:pt idx="12">
                  <c:v>Põlevkivi 2</c:v>
                </c:pt>
                <c:pt idx="13">
                  <c:v>Põlevkivi 3</c:v>
                </c:pt>
              </c:strCache>
            </c:strRef>
          </c:cat>
          <c:val>
            <c:numRef>
              <c:f>TULEMUSED!$AA$151:$AN$151</c:f>
              <c:numCache>
                <c:formatCode>0.000</c:formatCode>
                <c:ptCount val="14"/>
                <c:pt idx="0">
                  <c:v>0.52453493611024449</c:v>
                </c:pt>
                <c:pt idx="1">
                  <c:v>0.89288408121069529</c:v>
                </c:pt>
                <c:pt idx="2">
                  <c:v>0.91273742787692036</c:v>
                </c:pt>
                <c:pt idx="3">
                  <c:v>1.8546458255274043</c:v>
                </c:pt>
                <c:pt idx="4">
                  <c:v>-5.0535196975118206E-2</c:v>
                </c:pt>
                <c:pt idx="5">
                  <c:v>-0.10275459599497216</c:v>
                </c:pt>
                <c:pt idx="6">
                  <c:v>-1.0064305008818542E-3</c:v>
                </c:pt>
                <c:pt idx="7">
                  <c:v>6.3060123676834147E-3</c:v>
                </c:pt>
                <c:pt idx="8">
                  <c:v>4.7041107061993834</c:v>
                </c:pt>
                <c:pt idx="9">
                  <c:v>-3.6100394344225721</c:v>
                </c:pt>
                <c:pt idx="10">
                  <c:v>0</c:v>
                </c:pt>
                <c:pt idx="11">
                  <c:v>0</c:v>
                </c:pt>
                <c:pt idx="12">
                  <c:v>2.4145483445685763</c:v>
                </c:pt>
                <c:pt idx="13">
                  <c:v>-1.196668836502272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78638048"/>
        <c:axId val="478638440"/>
      </c:barChart>
      <c:catAx>
        <c:axId val="47863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78638440"/>
        <c:crosses val="autoZero"/>
        <c:auto val="1"/>
        <c:lblAlgn val="ctr"/>
        <c:lblOffset val="100"/>
        <c:noMultiLvlLbl val="0"/>
      </c:catAx>
      <c:valAx>
        <c:axId val="47863844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crossAx val="47863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25587802237752"/>
          <c:y val="0.39290157147859039"/>
          <c:w val="0.12744122408348196"/>
          <c:h val="0.1151082322410561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j-lt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Radio" firstButton="1" fmlaLink="$M$122" lockText="1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Scroll" dx="16" fmlaLink="$I$139" max="3" min="1" page="0"/>
</file>

<file path=xl/ctrlProps/ctrlProp12.xml><?xml version="1.0" encoding="utf-8"?>
<formControlPr xmlns="http://schemas.microsoft.com/office/spreadsheetml/2009/9/main" objectType="Drop" dropLines="16" dropStyle="combo" dx="16" fmlaLink="$B$126" fmlaRange="$D$138:$D$157" noThreeD="1" sel="7" val="4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Radio" checked="Checked" firstButton="1" fmlaLink="G7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Scroll" dx="16" fmlaLink="$B$180" max="11" min="1" page="0"/>
</file>

<file path=xl/ctrlProps/ctrlProp4.xml><?xml version="1.0" encoding="utf-8"?>
<formControlPr xmlns="http://schemas.microsoft.com/office/spreadsheetml/2009/9/main" objectType="Scroll" dx="16" fmlaLink="$N$36" max="6" min="1" page="0" val="2"/>
</file>

<file path=xl/ctrlProps/ctrlProp5.xml><?xml version="1.0" encoding="utf-8"?>
<formControlPr xmlns="http://schemas.microsoft.com/office/spreadsheetml/2009/9/main" objectType="Scroll" dx="16" fmlaLink="$J$139" max="7" min="1" page="0" val="6"/>
</file>

<file path=xl/ctrlProps/ctrlProp6.xml><?xml version="1.0" encoding="utf-8"?>
<formControlPr xmlns="http://schemas.microsoft.com/office/spreadsheetml/2009/9/main" objectType="Scroll" dx="16" fmlaLink="$K$198" max="17" min="1" page="0"/>
</file>

<file path=xl/ctrlProps/ctrlProp7.xml><?xml version="1.0" encoding="utf-8"?>
<formControlPr xmlns="http://schemas.microsoft.com/office/spreadsheetml/2009/9/main" objectType="Scroll" dx="16" fmlaLink="$B$198" max="28" min="1" page="0" val="7"/>
</file>

<file path=xl/ctrlProps/ctrlProp8.xml><?xml version="1.0" encoding="utf-8"?>
<formControlPr xmlns="http://schemas.microsoft.com/office/spreadsheetml/2009/9/main" objectType="Drop" dropLines="16" dropStyle="combo" dx="16" fmlaLink="$B$126" fmlaRange="$D$138:$D$157" noThreeD="1" sel="7" val="2"/>
</file>

<file path=xl/ctrlProps/ctrlProp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2017058</xdr:colOff>
      <xdr:row>3</xdr:row>
      <xdr:rowOff>78441</xdr:rowOff>
    </xdr:from>
    <xdr:to>
      <xdr:col>2</xdr:col>
      <xdr:colOff>4343698</xdr:colOff>
      <xdr:row>9</xdr:row>
      <xdr:rowOff>67572</xdr:rowOff>
    </xdr:to>
    <xdr:pic>
      <xdr:nvPicPr>
        <xdr:cNvPr id="2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7029" y="582706"/>
          <a:ext cx="2326640" cy="106489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1</xdr:col>
      <xdr:colOff>11206</xdr:colOff>
      <xdr:row>27</xdr:row>
      <xdr:rowOff>33618</xdr:rowOff>
    </xdr:from>
    <xdr:to>
      <xdr:col>3</xdr:col>
      <xdr:colOff>0</xdr:colOff>
      <xdr:row>49</xdr:row>
      <xdr:rowOff>100852</xdr:rowOff>
    </xdr:to>
    <xdr:sp macro="" textlink="">
      <xdr:nvSpPr>
        <xdr:cNvPr id="3" name="TextBox 2"/>
        <xdr:cNvSpPr txBox="1"/>
      </xdr:nvSpPr>
      <xdr:spPr>
        <a:xfrm>
          <a:off x="358588" y="5658971"/>
          <a:ext cx="6275294" cy="40117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100" b="1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Uuring:</a:t>
          </a:r>
          <a:endParaRPr lang="et-EE" sz="1100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„Energiamajanduse arengukava aastani 2030“ stsenaariumide majandusmõju analüüs</a:t>
          </a:r>
        </a:p>
        <a:p>
          <a:endParaRPr lang="et-EE" sz="1100" b="1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 b="1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Uuringu autorid:</a:t>
          </a:r>
          <a:endParaRPr lang="et-EE" sz="1100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Olavi Grünvald</a:t>
          </a: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Aivo Lokk</a:t>
          </a:r>
        </a:p>
        <a:p>
          <a:endParaRPr lang="et-EE" sz="1100" b="1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 b="1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Uuringu teostajad:</a:t>
          </a:r>
          <a:endParaRPr lang="et-EE" sz="1100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Finantsakadeemia OÜ</a:t>
          </a: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Väärtusinsener OÜ</a:t>
          </a:r>
        </a:p>
        <a:p>
          <a:endParaRPr lang="et-EE" sz="1100" b="1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 b="1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Tellija:</a:t>
          </a:r>
          <a:endParaRPr lang="et-EE" sz="1100">
            <a:solidFill>
              <a:schemeClr val="dk1"/>
            </a:solidFill>
            <a:effectLst/>
            <a:latin typeface="+mj-lt"/>
            <a:ea typeface="+mn-ea"/>
            <a:cs typeface="+mn-cs"/>
          </a:endParaRP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Riigikantselei</a:t>
          </a:r>
        </a:p>
        <a:p>
          <a:endParaRPr lang="et-EE" sz="1100">
            <a:latin typeface="+mj-lt"/>
          </a:endParaRPr>
        </a:p>
        <a:p>
          <a:endParaRPr lang="et-EE" sz="1100">
            <a:latin typeface="+mj-lt"/>
          </a:endParaRP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Uuringu algatasid Eesti Arengufond ning Majandus- ja Kommunikatsiooniministeerium. Uuring viidi läbi Riigikantselei tarkade otsuste fondi toel, mida rahastatakse Euroopa Sotsiaalfondist. Töö tegemisele aitasid kaasa Kiel Economics Research &amp; Forecasting GmbH &amp; Co, Tartu Ülikooli majanduse modelleerimise õppetooli ja Eesti Rakendusuuringute Keskus CentAR OÜ eksperdid. </a:t>
          </a: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 </a:t>
          </a: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 </a:t>
          </a:r>
        </a:p>
        <a:p>
          <a:r>
            <a:rPr lang="et-EE" sz="1100">
              <a:solidFill>
                <a:schemeClr val="dk1"/>
              </a:solidFill>
              <a:effectLst/>
              <a:latin typeface="+mj-lt"/>
              <a:ea typeface="+mn-ea"/>
              <a:cs typeface="+mn-cs"/>
            </a:rPr>
            <a:t>Tallinn, Aprill 2014</a:t>
          </a:r>
        </a:p>
        <a:p>
          <a:endParaRPr lang="et-EE" sz="1100">
            <a:latin typeface="+mj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1226820</xdr:colOff>
          <xdr:row>3</xdr:row>
          <xdr:rowOff>152400</xdr:rowOff>
        </xdr:from>
        <xdr:to>
          <xdr:col>3</xdr:col>
          <xdr:colOff>304800</xdr:colOff>
          <xdr:row>5</xdr:row>
          <xdr:rowOff>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7283</xdr:colOff>
          <xdr:row>5</xdr:row>
          <xdr:rowOff>95250</xdr:rowOff>
        </xdr:from>
        <xdr:to>
          <xdr:col>1</xdr:col>
          <xdr:colOff>1243853</xdr:colOff>
          <xdr:row>8</xdr:row>
          <xdr:rowOff>66675</xdr:rowOff>
        </xdr:to>
        <xdr:grpSp>
          <xdr:nvGrpSpPr>
            <xdr:cNvPr id="2" name="Rühm 1"/>
            <xdr:cNvGrpSpPr/>
          </xdr:nvGrpSpPr>
          <xdr:grpSpPr>
            <a:xfrm>
              <a:off x="177612" y="1090332"/>
              <a:ext cx="1236570" cy="509308"/>
              <a:chOff x="257175" y="914351"/>
              <a:chExt cx="1152525" cy="457243"/>
            </a:xfrm>
            <a:solidFill>
              <a:schemeClr val="bg2">
                <a:lumMod val="50000"/>
              </a:schemeClr>
            </a:solidFill>
          </xdr:grpSpPr>
          <xdr:sp macro="" textlink="">
            <xdr:nvSpPr>
              <xdr:cNvPr id="21513" name="Option Button 9" hidden="1">
                <a:extLst>
                  <a:ext uri="{63B3BB69-23CF-44E3-9099-C40C66FF867C}">
                    <a14:compatExt spid="_x0000_s21513"/>
                  </a:ext>
                </a:extLst>
              </xdr:cNvPr>
              <xdr:cNvSpPr/>
            </xdr:nvSpPr>
            <xdr:spPr bwMode="auto">
              <a:xfrm>
                <a:off x="257175" y="914351"/>
                <a:ext cx="1152525" cy="238119"/>
              </a:xfrm>
              <a:prstGeom prst="rect">
                <a:avLst/>
              </a:prstGeom>
              <a:solidFill>
                <a:srgbClr val="938953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E6E6CE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et-EE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Nominaalmudel</a:t>
                </a:r>
              </a:p>
            </xdr:txBody>
          </xdr:sp>
          <xdr:sp macro="" textlink="">
            <xdr:nvSpPr>
              <xdr:cNvPr id="21514" name="Option Button 10" hidden="1">
                <a:extLst>
                  <a:ext uri="{63B3BB69-23CF-44E3-9099-C40C66FF867C}">
                    <a14:compatExt spid="_x0000_s21514"/>
                  </a:ext>
                </a:extLst>
              </xdr:cNvPr>
              <xdr:cNvSpPr/>
            </xdr:nvSpPr>
            <xdr:spPr bwMode="auto">
              <a:xfrm>
                <a:off x="257175" y="1162042"/>
                <a:ext cx="1152525" cy="209552"/>
              </a:xfrm>
              <a:prstGeom prst="rect">
                <a:avLst/>
              </a:prstGeom>
              <a:solidFill>
                <a:srgbClr val="938953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et-EE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Reaalmudel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175260</xdr:rowOff>
        </xdr:from>
        <xdr:to>
          <xdr:col>4</xdr:col>
          <xdr:colOff>0</xdr:colOff>
          <xdr:row>9</xdr:row>
          <xdr:rowOff>30480</xdr:rowOff>
        </xdr:to>
        <xdr:sp macro="" textlink="">
          <xdr:nvSpPr>
            <xdr:cNvPr id="21515" name="Group Box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t-E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Juhtpaneel</a:t>
              </a:r>
            </a:p>
          </xdr:txBody>
        </xdr:sp>
        <xdr:clientData/>
      </xdr:twoCellAnchor>
    </mc:Choice>
    <mc:Fallback/>
  </mc:AlternateContent>
  <xdr:twoCellAnchor>
    <xdr:from>
      <xdr:col>7</xdr:col>
      <xdr:colOff>7927</xdr:colOff>
      <xdr:row>14</xdr:row>
      <xdr:rowOff>316364</xdr:rowOff>
    </xdr:from>
    <xdr:to>
      <xdr:col>18</xdr:col>
      <xdr:colOff>0</xdr:colOff>
      <xdr:row>32</xdr:row>
      <xdr:rowOff>54427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</xdr:row>
          <xdr:rowOff>114300</xdr:rowOff>
        </xdr:from>
        <xdr:to>
          <xdr:col>12</xdr:col>
          <xdr:colOff>579120</xdr:colOff>
          <xdr:row>11</xdr:row>
          <xdr:rowOff>45720</xdr:rowOff>
        </xdr:to>
        <xdr:sp macro="" textlink="">
          <xdr:nvSpPr>
            <xdr:cNvPr id="21523" name="Group Box 19" hidden="1">
              <a:extLst>
                <a:ext uri="{63B3BB69-23CF-44E3-9099-C40C66FF867C}">
                  <a14:compatExt spid="_x0000_s2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t-E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Valitud stsenaarium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600076</xdr:colOff>
      <xdr:row>40</xdr:row>
      <xdr:rowOff>11641</xdr:rowOff>
    </xdr:from>
    <xdr:to>
      <xdr:col>23</xdr:col>
      <xdr:colOff>479426</xdr:colOff>
      <xdr:row>55</xdr:row>
      <xdr:rowOff>49740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335280</xdr:colOff>
          <xdr:row>38</xdr:row>
          <xdr:rowOff>0</xdr:rowOff>
        </xdr:from>
        <xdr:to>
          <xdr:col>14</xdr:col>
          <xdr:colOff>579120</xdr:colOff>
          <xdr:row>55</xdr:row>
          <xdr:rowOff>38100</xdr:rowOff>
        </xdr:to>
        <xdr:sp macro="" textlink="">
          <xdr:nvSpPr>
            <xdr:cNvPr id="21524" name="Scroll Bar 20" hidden="1">
              <a:extLst>
                <a:ext uri="{63B3BB69-23CF-44E3-9099-C40C66FF867C}">
                  <a14:compatExt spid="_x0000_s2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0</xdr:colOff>
      <xdr:row>40</xdr:row>
      <xdr:rowOff>10390</xdr:rowOff>
    </xdr:from>
    <xdr:to>
      <xdr:col>39</xdr:col>
      <xdr:colOff>9525</xdr:colOff>
      <xdr:row>54</xdr:row>
      <xdr:rowOff>122092</xdr:rowOff>
    </xdr:to>
    <xdr:graphicFrame macro="">
      <xdr:nvGraphicFramePr>
        <xdr:cNvPr id="13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457200</xdr:colOff>
          <xdr:row>37</xdr:row>
          <xdr:rowOff>175260</xdr:rowOff>
        </xdr:from>
        <xdr:to>
          <xdr:col>24</xdr:col>
          <xdr:colOff>220980</xdr:colOff>
          <xdr:row>55</xdr:row>
          <xdr:rowOff>38100</xdr:rowOff>
        </xdr:to>
        <xdr:sp macro="" textlink="">
          <xdr:nvSpPr>
            <xdr:cNvPr id="21534" name="Scroll Bar 30" hidden="1">
              <a:extLst>
                <a:ext uri="{63B3BB69-23CF-44E3-9099-C40C66FF867C}">
                  <a14:compatExt spid="_x0000_s2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411480</xdr:colOff>
          <xdr:row>13</xdr:row>
          <xdr:rowOff>152400</xdr:rowOff>
        </xdr:from>
        <xdr:to>
          <xdr:col>7</xdr:col>
          <xdr:colOff>22860</xdr:colOff>
          <xdr:row>32</xdr:row>
          <xdr:rowOff>60960</xdr:rowOff>
        </xdr:to>
        <xdr:sp macro="" textlink="">
          <xdr:nvSpPr>
            <xdr:cNvPr id="21545" name="Scroll Bar 41" hidden="1">
              <a:extLst>
                <a:ext uri="{63B3BB69-23CF-44E3-9099-C40C66FF867C}">
                  <a14:compatExt spid="_x0000_s2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18</xdr:col>
      <xdr:colOff>106464</xdr:colOff>
      <xdr:row>13</xdr:row>
      <xdr:rowOff>96863</xdr:rowOff>
    </xdr:from>
    <xdr:to>
      <xdr:col>36</xdr:col>
      <xdr:colOff>90323</xdr:colOff>
      <xdr:row>32</xdr:row>
      <xdr:rowOff>38100</xdr:rowOff>
    </xdr:to>
    <xdr:sp macro="" textlink="">
      <xdr:nvSpPr>
        <xdr:cNvPr id="3" name="TextBox 2"/>
        <xdr:cNvSpPr txBox="1"/>
      </xdr:nvSpPr>
      <xdr:spPr>
        <a:xfrm>
          <a:off x="11707914" y="2420963"/>
          <a:ext cx="9099284" cy="38179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800" b="1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STSENAARIUM	SELGITUS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BAU</a:t>
          </a:r>
          <a:r>
            <a:rPr lang="et-EE" sz="800" i="1"/>
            <a:t> 	- Kõik Valdkonnad BAU  =&gt;</a:t>
          </a:r>
          <a:r>
            <a:rPr lang="et-EE" sz="800" i="1" baseline="0"/>
            <a:t>  </a:t>
          </a:r>
          <a:r>
            <a:rPr lang="et-EE" sz="800" i="1"/>
            <a:t> täiendavaid</a:t>
          </a:r>
          <a:r>
            <a:rPr lang="et-EE" sz="800" i="1" baseline="0"/>
            <a:t> strateegilisi tegevusi ei toimu;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Hooned 2</a:t>
          </a:r>
          <a:r>
            <a:rPr lang="et-EE" sz="800" i="1"/>
            <a:t> 	- Minimaalselt sekkuv  </a:t>
          </a:r>
          <a:r>
            <a:rPr lang="et-EE" sz="800" i="1" baseline="0"/>
            <a:t> =&gt;    minimaalses mahus 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toetusi </a:t>
          </a:r>
          <a:r>
            <a:rPr lang="et-EE" sz="800" i="1" baseline="0"/>
            <a:t>ja meetmeid energiatõhususe kasvatamiseks;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Hooned 3</a:t>
          </a:r>
          <a:r>
            <a:rPr lang="et-EE" sz="800" i="1"/>
            <a:t> 	-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Teadmistepõhine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=&gt;    mahukad toetused ja meetmed energiatõhususe kasvatamiseks;</a:t>
          </a:r>
          <a:endParaRPr lang="et-EE" sz="800" i="1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Soojus 2	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 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Reaalne    =&gt;     </a:t>
          </a:r>
          <a:r>
            <a:rPr lang="et-EE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aktiivne riigipoolne sekkumine energiamajanduse efektiivsuse tõstmiseks;</a:t>
          </a:r>
          <a:endParaRPr lang="et-EE" sz="800" b="0" i="1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Soojus 3	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Energiaühistud   =&gt;    </a:t>
          </a:r>
          <a:r>
            <a:rPr lang="et-EE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eeldatakse eelkõige riigi panustamist teadmistepõhisesse majandusse;</a:t>
          </a:r>
          <a:endParaRPr lang="et-EE" sz="800" b="0" i="1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 2</a:t>
          </a:r>
          <a:r>
            <a:rPr lang="et-EE" sz="800" i="1"/>
            <a:t> 	- Transport_VS_TAK </a:t>
          </a:r>
          <a:r>
            <a:rPr lang="et-EE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osalises mahus meetmete pakett energiatarbimise vähendamiseks transpordis;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Transport_EE   =&gt;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täismahus meetmete pakett energiatarbimise vähendamiseks transpordis;</a:t>
          </a:r>
          <a:endParaRPr lang="et-EE" sz="800" i="1"/>
        </a:p>
        <a:p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Kütus 2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	- Kütused_Vähesekkuv   =&gt;    biometaani tootmine 40% potentsiaalist, üks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bioetanooli tehas;</a:t>
          </a:r>
          <a:endParaRPr lang="et-EE" sz="800">
            <a:effectLst/>
          </a:endParaRPr>
        </a:p>
        <a:p>
          <a:pPr eaLnBrk="1" fontAlgn="auto" latinLnBrk="0" hangingPunct="1"/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Kütus 3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	- Kütused_Maksimaalne = &gt;   biometaani tootmine 100% potentsiaalist a. 2050, kaks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bioetanooli tehast;</a:t>
          </a:r>
          <a:endParaRPr lang="et-EE" sz="800">
            <a:effectLst/>
          </a:endParaRP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Elekter 2</a:t>
          </a:r>
          <a:r>
            <a:rPr lang="et-EE" sz="800" i="1"/>
            <a:t> 	- Elekter_Liberal+  =&gt;   kehtestatakse suuremad energiajulgeoleku</a:t>
          </a:r>
          <a:r>
            <a:rPr lang="et-EE" sz="800" i="1" baseline="0"/>
            <a:t> nõuded (N-1-1 reegel)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Elekter 3</a:t>
          </a:r>
          <a:r>
            <a:rPr lang="et-EE" sz="800" i="1"/>
            <a:t> 	- Elekter_RE   = &gt;  taastuvenergia</a:t>
          </a:r>
          <a:r>
            <a:rPr lang="et-EE" sz="800" i="1" baseline="0"/>
            <a:t> järk-järguline suurendamine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Elekter 4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Elekter_RE++  =&gt;        tugevalt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taastuvenergiale rõhuv stsenaarium;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Elekter 5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Elekter_OilShale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BAU  =&gt;    </a:t>
          </a:r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minnakse järk-järgult üle põlevkivist elektri tootmiselt põlevkivist põlevkiviõli tootmisele ja uttegaasi kasutamisele elektritootmises. </a:t>
          </a:r>
        </a:p>
        <a:p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 On kooskõlas</a:t>
          </a:r>
          <a:r>
            <a:rPr lang="et-EE" sz="8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t-EE" sz="8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põlevkivi stsenaariumite baas-stsenaariumiga;</a:t>
          </a:r>
          <a:endParaRPr lang="et-EE" sz="800" b="0" i="1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Võrgud2</a:t>
          </a:r>
          <a:r>
            <a:rPr lang="et-EE" sz="800" i="1"/>
            <a:t> 	- Võrgud_Reaalne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võrkude mõõdukas renoveerimine/uuendamine;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Võrgud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Võrgud_Panustav =&gt;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võrkude ulatuslik renoveerimine/uuendamine;</a:t>
          </a:r>
          <a:endParaRPr lang="et-EE" sz="800" i="1"/>
        </a:p>
        <a:p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Põlevkivi 2	- Põlevkivi 15 miljonit tonni  =&gt; põlevkiviõli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 uttegaasi (elektri) tootmine baseerub 15 miljonil tonnil põlevkivil aastas;</a:t>
          </a:r>
          <a:endParaRPr lang="et-EE" sz="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Põlevkivi 3	- Põlevkivi 25 miljonit tonni =&gt; põlevkiviõli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 uttegaasi (elektri) tootmine baseerub 25 miljonil tonnil põlevkivil aastas;</a:t>
          </a:r>
          <a:endParaRPr lang="et-EE" sz="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t-EE" sz="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t-EE" sz="800" b="1" i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Stsenaariumite kombineerimid:</a:t>
          </a:r>
        </a:p>
        <a:p>
          <a:r>
            <a:rPr lang="et-EE" sz="8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Koos tuleb vaadata järgmisi stsenaariume:</a:t>
          </a:r>
        </a:p>
        <a:p>
          <a:r>
            <a:rPr lang="et-EE" sz="8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1. Hooned 2 ja Soojus 2</a:t>
          </a:r>
        </a:p>
        <a:p>
          <a:r>
            <a:rPr lang="et-EE" sz="8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2. Hooned 3 ja Soojus 3</a:t>
          </a:r>
        </a:p>
        <a:p>
          <a:r>
            <a:rPr lang="et-EE" sz="8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3. Transport 2 ja Kütused 2</a:t>
          </a:r>
        </a:p>
        <a:p>
          <a:r>
            <a:rPr lang="et-EE" sz="8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4. </a:t>
          </a:r>
          <a:r>
            <a:rPr lang="et-EE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Transport 3 ja Kütused 3</a:t>
          </a:r>
        </a:p>
        <a:p>
          <a:r>
            <a:rPr lang="et-EE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Elekter 5 ja  Põlevkivi stsenaariumid. NB! Elektristsenaariumeid 1-4 ei saa vaadelda koos Põlevkivi stsenaariumitega 2 ja 3, sest nad ei ole sisuliselt kombineeritavad</a:t>
          </a:r>
          <a:endParaRPr lang="et-EE" sz="800" b="0" i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71121</xdr:colOff>
      <xdr:row>167</xdr:row>
      <xdr:rowOff>280</xdr:rowOff>
    </xdr:from>
    <xdr:to>
      <xdr:col>23</xdr:col>
      <xdr:colOff>470648</xdr:colOff>
      <xdr:row>187</xdr:row>
      <xdr:rowOff>106611</xdr:rowOff>
    </xdr:to>
    <xdr:graphicFrame macro="">
      <xdr:nvGraphicFramePr>
        <xdr:cNvPr id="17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441960</xdr:colOff>
          <xdr:row>165</xdr:row>
          <xdr:rowOff>144780</xdr:rowOff>
        </xdr:from>
        <xdr:to>
          <xdr:col>13</xdr:col>
          <xdr:colOff>68580</xdr:colOff>
          <xdr:row>187</xdr:row>
          <xdr:rowOff>30480</xdr:rowOff>
        </xdr:to>
        <xdr:sp macro="" textlink="">
          <xdr:nvSpPr>
            <xdr:cNvPr id="21546" name="Scroll Bar 42" hidden="1">
              <a:extLst>
                <a:ext uri="{63B3BB69-23CF-44E3-9099-C40C66FF867C}">
                  <a14:compatExt spid="_x0000_s2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25</xdr:col>
      <xdr:colOff>160901</xdr:colOff>
      <xdr:row>175</xdr:row>
      <xdr:rowOff>51158</xdr:rowOff>
    </xdr:from>
    <xdr:to>
      <xdr:col>35</xdr:col>
      <xdr:colOff>380391</xdr:colOff>
      <xdr:row>192</xdr:row>
      <xdr:rowOff>105335</xdr:rowOff>
    </xdr:to>
    <xdr:sp macro="" textlink="">
      <xdr:nvSpPr>
        <xdr:cNvPr id="19" name="TextBox 18"/>
        <xdr:cNvSpPr txBox="1"/>
      </xdr:nvSpPr>
      <xdr:spPr>
        <a:xfrm>
          <a:off x="15456930" y="30744070"/>
          <a:ext cx="5038020" cy="27211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800" b="1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STSENAARIUM		SELGITUS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 BAU</a:t>
          </a:r>
          <a:r>
            <a:rPr lang="et-EE" sz="800" i="1"/>
            <a:t> 		- Kõik Valdkonnad BAU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Sts.2 Hooned/ Soojus 2</a:t>
          </a:r>
          <a:r>
            <a:rPr lang="et-EE" sz="800" i="1"/>
            <a:t> 	- Hooned_Minimaalselt sekkuv</a:t>
          </a:r>
          <a:r>
            <a:rPr lang="et-EE" sz="800" i="1" baseline="0"/>
            <a:t> / Soojus_Reaalne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Sts.3 Hooned/ Soojus 3</a:t>
          </a:r>
          <a:r>
            <a:rPr lang="et-EE" sz="800" i="1"/>
            <a:t> 	-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Hooned_Teadmistepõhine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/ Soojus_Energiaühistud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Sts.4 Transport/ Kütus 2</a:t>
          </a:r>
          <a:r>
            <a:rPr lang="et-EE" sz="800" i="1"/>
            <a:t> 	- Transport_VS_TAK / Kütused_Vähesekkuv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Sts.5 Transport/ Kütus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Transport_EE / Kütused_Maksimaalne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Sts.6 Elekter 2</a:t>
          </a:r>
          <a:r>
            <a:rPr lang="et-EE" sz="800" i="1"/>
            <a:t> 		- Elekter_Liberal+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Sts.7 Elekter 3</a:t>
          </a:r>
          <a:r>
            <a:rPr lang="et-EE" sz="800" i="1"/>
            <a:t> 		- Elekter_RE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Sts.8 Elekter 4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Elekter_RE++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Sts.9 Elekter 5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Elekter_OilShale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BAU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Sts.10 Võrgud2</a:t>
          </a:r>
          <a:r>
            <a:rPr lang="et-EE" sz="800" i="1"/>
            <a:t> 		- Võrgud_Reaalne</a:t>
          </a:r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Sts.11 Võrgud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Võrgud_Panustav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Sts.12 Kõik 2</a:t>
          </a:r>
          <a:r>
            <a:rPr lang="et-EE" sz="800" i="1"/>
            <a:t> 		-</a:t>
          </a:r>
          <a:r>
            <a:rPr lang="et-EE" sz="800" i="1" baseline="0"/>
            <a:t> Kõik valdkonnad stsenaarium nr 2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Sts.13 Kõik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Kõik valdkonnad stsenaarium nr 3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Sts.14 Hooned 2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Hooned_Minimaalselt sekkuv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Sts.15 Hooned 3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Hooned_Teadmistepõhine</a:t>
          </a:r>
          <a:r>
            <a:rPr lang="et-EE" sz="8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Sts.16 Kütus 2</a:t>
          </a:r>
          <a:r>
            <a:rPr lang="et-EE" sz="800" i="1"/>
            <a:t>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- Kütused_Vähesekkuv</a:t>
          </a:r>
          <a:endParaRPr lang="et-EE" sz="800" i="1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Sts.17 Kütus 3</a:t>
          </a:r>
          <a:r>
            <a:rPr lang="et-EE" sz="800" i="1"/>
            <a:t> 		- 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Kütused_Maksimaalne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Sts.18 Transport 2</a:t>
          </a:r>
          <a:r>
            <a:rPr lang="et-EE" sz="800" i="1"/>
            <a:t> 		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Transport_VS_TAK </a:t>
          </a:r>
          <a:endParaRPr lang="et-EE" sz="800" i="1"/>
        </a:p>
        <a:p>
          <a:r>
            <a:rPr lang="et-EE" sz="8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Sts.19 Transport 3</a:t>
          </a:r>
          <a:r>
            <a:rPr lang="et-EE" sz="800" i="1"/>
            <a:t> 		</a:t>
          </a:r>
          <a:r>
            <a:rPr lang="et-EE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Transport_EE </a:t>
          </a:r>
          <a:endParaRPr lang="et-EE" sz="800" i="1"/>
        </a:p>
      </xdr:txBody>
    </xdr:sp>
    <xdr:clientData/>
  </xdr:twoCellAnchor>
  <xdr:twoCellAnchor>
    <xdr:from>
      <xdr:col>13</xdr:col>
      <xdr:colOff>600075</xdr:colOff>
      <xdr:row>201</xdr:row>
      <xdr:rowOff>1058</xdr:rowOff>
    </xdr:from>
    <xdr:to>
      <xdr:col>22</xdr:col>
      <xdr:colOff>338667</xdr:colOff>
      <xdr:row>219</xdr:row>
      <xdr:rowOff>10584</xdr:rowOff>
    </xdr:to>
    <xdr:graphicFrame macro="">
      <xdr:nvGraphicFramePr>
        <xdr:cNvPr id="2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365760</xdr:colOff>
          <xdr:row>199</xdr:row>
          <xdr:rowOff>0</xdr:rowOff>
        </xdr:from>
        <xdr:to>
          <xdr:col>14</xdr:col>
          <xdr:colOff>0</xdr:colOff>
          <xdr:row>218</xdr:row>
          <xdr:rowOff>68580</xdr:rowOff>
        </xdr:to>
        <xdr:sp macro="" textlink="">
          <xdr:nvSpPr>
            <xdr:cNvPr id="21547" name="Scroll Bar 43" hidden="1">
              <a:extLst>
                <a:ext uri="{63B3BB69-23CF-44E3-9099-C40C66FF867C}">
                  <a14:compatExt spid="_x0000_s2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327660</xdr:colOff>
          <xdr:row>199</xdr:row>
          <xdr:rowOff>0</xdr:rowOff>
        </xdr:from>
        <xdr:to>
          <xdr:col>23</xdr:col>
          <xdr:colOff>83820</xdr:colOff>
          <xdr:row>218</xdr:row>
          <xdr:rowOff>99060</xdr:rowOff>
        </xdr:to>
        <xdr:sp macro="" textlink="">
          <xdr:nvSpPr>
            <xdr:cNvPr id="21548" name="Scroll Bar 44" hidden="1">
              <a:extLst>
                <a:ext uri="{63B3BB69-23CF-44E3-9099-C40C66FF867C}">
                  <a14:compatExt spid="_x0000_s2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121920</xdr:colOff>
          <xdr:row>1</xdr:row>
          <xdr:rowOff>22860</xdr:rowOff>
        </xdr:from>
        <xdr:to>
          <xdr:col>14</xdr:col>
          <xdr:colOff>342900</xdr:colOff>
          <xdr:row>1</xdr:row>
          <xdr:rowOff>220980</xdr:rowOff>
        </xdr:to>
        <xdr:sp macro="" textlink="">
          <xdr:nvSpPr>
            <xdr:cNvPr id="21550" name="Drop Down 46" hidden="1">
              <a:extLst>
                <a:ext uri="{63B3BB69-23CF-44E3-9099-C40C66FF867C}">
                  <a14:compatExt spid="_x0000_s2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447675</xdr:colOff>
      <xdr:row>306</xdr:row>
      <xdr:rowOff>42861</xdr:rowOff>
    </xdr:from>
    <xdr:to>
      <xdr:col>15</xdr:col>
      <xdr:colOff>437030</xdr:colOff>
      <xdr:row>328</xdr:row>
      <xdr:rowOff>9524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260068</xdr:colOff>
          <xdr:row>0</xdr:row>
          <xdr:rowOff>-22510</xdr:rowOff>
        </xdr:from>
        <xdr:to>
          <xdr:col>2</xdr:col>
          <xdr:colOff>260068</xdr:colOff>
          <xdr:row>0</xdr:row>
          <xdr:rowOff>-22510</xdr:rowOff>
        </xdr:to>
        <xdr:grpSp>
          <xdr:nvGrpSpPr>
            <xdr:cNvPr id="10" name="Rühm 9"/>
            <xdr:cNvGrpSpPr/>
          </xdr:nvGrpSpPr>
          <xdr:grpSpPr>
            <a:xfrm>
              <a:off x="2250233" y="-22510"/>
              <a:ext cx="0" cy="0"/>
              <a:chOff x="2250233" y="-22510"/>
              <a:chExt cx="0" cy="0"/>
            </a:xfrm>
            <a:solidFill>
              <a:schemeClr val="accent2">
                <a:lumMod val="75000"/>
              </a:schemeClr>
            </a:solidFill>
          </xdr:grpSpPr>
        </xdr:grpSp>
        <xdr:clientData/>
      </xdr:twoCellAnchor>
    </mc:Choice>
    <mc:Fallback/>
  </mc:AlternateContent>
  <xdr:twoCellAnchor>
    <xdr:from>
      <xdr:col>22</xdr:col>
      <xdr:colOff>88043</xdr:colOff>
      <xdr:row>136</xdr:row>
      <xdr:rowOff>116861</xdr:rowOff>
    </xdr:from>
    <xdr:to>
      <xdr:col>34</xdr:col>
      <xdr:colOff>446631</xdr:colOff>
      <xdr:row>157</xdr:row>
      <xdr:rowOff>22412</xdr:rowOff>
    </xdr:to>
    <xdr:graphicFrame macro="">
      <xdr:nvGraphicFramePr>
        <xdr:cNvPr id="43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</xdr:row>
          <xdr:rowOff>175260</xdr:rowOff>
        </xdr:from>
        <xdr:to>
          <xdr:col>7</xdr:col>
          <xdr:colOff>533400</xdr:colOff>
          <xdr:row>9</xdr:row>
          <xdr:rowOff>30480</xdr:rowOff>
        </xdr:to>
        <xdr:sp macro="" textlink="">
          <xdr:nvSpPr>
            <xdr:cNvPr id="21570" name="Group Box 66" descr="Perioodi valik" hidden="1">
              <a:extLst>
                <a:ext uri="{63B3BB69-23CF-44E3-9099-C40C66FF867C}">
                  <a14:compatExt spid="_x0000_s2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t-E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Perioodi valik</a:t>
              </a:r>
            </a:p>
          </xdr:txBody>
        </xdr:sp>
        <xdr:clientData/>
      </xdr:twoCellAnchor>
    </mc:Choice>
    <mc:Fallback/>
  </mc:AlternateContent>
  <xdr:twoCellAnchor>
    <xdr:from>
      <xdr:col>34</xdr:col>
      <xdr:colOff>480251</xdr:colOff>
      <xdr:row>136</xdr:row>
      <xdr:rowOff>128069</xdr:rowOff>
    </xdr:from>
    <xdr:to>
      <xdr:col>47</xdr:col>
      <xdr:colOff>356986</xdr:colOff>
      <xdr:row>156</xdr:row>
      <xdr:rowOff>123265</xdr:rowOff>
    </xdr:to>
    <xdr:graphicFrame macro="">
      <xdr:nvGraphicFramePr>
        <xdr:cNvPr id="41" name="Diagram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424221</xdr:colOff>
      <xdr:row>136</xdr:row>
      <xdr:rowOff>126388</xdr:rowOff>
    </xdr:from>
    <xdr:to>
      <xdr:col>60</xdr:col>
      <xdr:colOff>300956</xdr:colOff>
      <xdr:row>156</xdr:row>
      <xdr:rowOff>121584</xdr:rowOff>
    </xdr:to>
    <xdr:graphicFrame macro="">
      <xdr:nvGraphicFramePr>
        <xdr:cNvPr id="42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152400</xdr:colOff>
          <xdr:row>5</xdr:row>
          <xdr:rowOff>57150</xdr:rowOff>
        </xdr:from>
        <xdr:to>
          <xdr:col>7</xdr:col>
          <xdr:colOff>323850</xdr:colOff>
          <xdr:row>8</xdr:row>
          <xdr:rowOff>38100</xdr:rowOff>
        </xdr:to>
        <xdr:grpSp>
          <xdr:nvGrpSpPr>
            <xdr:cNvPr id="21598" name="Group 94"/>
            <xdr:cNvGrpSpPr>
              <a:grpSpLocks/>
            </xdr:cNvGrpSpPr>
          </xdr:nvGrpSpPr>
          <xdr:grpSpPr bwMode="auto">
            <a:xfrm>
              <a:off x="3944471" y="1052232"/>
              <a:ext cx="1417544" cy="518833"/>
              <a:chOff x="16626" y="10901"/>
              <a:chExt cx="12603" cy="4701"/>
            </a:xfrm>
          </xdr:grpSpPr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132288</xdr:colOff>
          <xdr:row>4</xdr:row>
          <xdr:rowOff>133350</xdr:rowOff>
        </xdr:from>
        <xdr:to>
          <xdr:col>7</xdr:col>
          <xdr:colOff>398785</xdr:colOff>
          <xdr:row>8</xdr:row>
          <xdr:rowOff>84805</xdr:rowOff>
        </xdr:to>
        <xdr:grpSp>
          <xdr:nvGrpSpPr>
            <xdr:cNvPr id="7" name="Rühm 6"/>
            <xdr:cNvGrpSpPr/>
          </xdr:nvGrpSpPr>
          <xdr:grpSpPr>
            <a:xfrm>
              <a:off x="3924359" y="940174"/>
              <a:ext cx="1512591" cy="677596"/>
              <a:chOff x="3844243" y="933435"/>
              <a:chExt cx="1361872" cy="627733"/>
            </a:xfrm>
            <a:solidFill>
              <a:schemeClr val="bg2">
                <a:lumMod val="50000"/>
              </a:schemeClr>
            </a:solidFill>
          </xdr:grpSpPr>
          <xdr:sp macro="" textlink="">
            <xdr:nvSpPr>
              <xdr:cNvPr id="21571" name="Option Button 67" hidden="1">
                <a:extLst>
                  <a:ext uri="{63B3BB69-23CF-44E3-9099-C40C66FF867C}">
                    <a14:compatExt spid="_x0000_s21571"/>
                  </a:ext>
                </a:extLst>
              </xdr:cNvPr>
              <xdr:cNvSpPr/>
            </xdr:nvSpPr>
            <xdr:spPr bwMode="auto">
              <a:xfrm>
                <a:off x="3844243" y="933435"/>
                <a:ext cx="1361872" cy="335718"/>
              </a:xfrm>
              <a:prstGeom prst="rect">
                <a:avLst/>
              </a:prstGeom>
              <a:solidFill>
                <a:srgbClr val="938953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et-EE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Periood 2015-2030</a:t>
                </a:r>
              </a:p>
            </xdr:txBody>
          </xdr:sp>
          <xdr:sp macro="" textlink="">
            <xdr:nvSpPr>
              <xdr:cNvPr id="21573" name="Option Button 69" hidden="1">
                <a:extLst>
                  <a:ext uri="{63B3BB69-23CF-44E3-9099-C40C66FF867C}">
                    <a14:compatExt spid="_x0000_s21573"/>
                  </a:ext>
                </a:extLst>
              </xdr:cNvPr>
              <xdr:cNvSpPr/>
            </xdr:nvSpPr>
            <xdr:spPr bwMode="auto">
              <a:xfrm>
                <a:off x="3845568" y="1271746"/>
                <a:ext cx="1360217" cy="289422"/>
              </a:xfrm>
              <a:prstGeom prst="rect">
                <a:avLst/>
              </a:prstGeom>
              <a:solidFill>
                <a:srgbClr val="938953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et-EE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Periood 2015-2050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391451</xdr:colOff>
      <xdr:row>74</xdr:row>
      <xdr:rowOff>0</xdr:rowOff>
    </xdr:from>
    <xdr:to>
      <xdr:col>37</xdr:col>
      <xdr:colOff>83502</xdr:colOff>
      <xdr:row>82</xdr:row>
      <xdr:rowOff>187191</xdr:rowOff>
    </xdr:to>
    <xdr:sp macro="" textlink="">
      <xdr:nvSpPr>
        <xdr:cNvPr id="2" name="TextBox 1"/>
        <xdr:cNvSpPr txBox="1"/>
      </xdr:nvSpPr>
      <xdr:spPr>
        <a:xfrm>
          <a:off x="16673598" y="14459003"/>
          <a:ext cx="5451875" cy="41394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2.1.1	Mõju majanduse seisundile hinnata nt järgmiste näitajate alusel: </a:t>
          </a:r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SKP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SKP inimese kohta (ostujõu pariteedi alusel)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SKP reaalkasv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investeeringute osakaal SKP-st 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valitsuse lõpptarbimise kulutuste (% SKP-st) tase  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kaubavahetusbilanss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eratarbimise kulutused väljendatuna %-na SKP-st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t-EE" sz="1000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hõivatute osakaal</a:t>
          </a:r>
        </a:p>
        <a:p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2.1.2 Mõju äritegevuse </a:t>
          </a:r>
          <a:r>
            <a:rPr lang="et-EE" sz="1000" b="1" u="sng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efektiivsusele</a:t>
          </a:r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hinnata nt järgmiste näitajate alusel:</a:t>
          </a:r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tootlikkus SKP ostujõu pariteedi (PPP) alusel ühe töötaja kohta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tootlikkuse reaalkasv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tööstussektori palgatase</a:t>
          </a:r>
        </a:p>
        <a:p>
          <a:pPr lvl="0"/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töötundide arv töötaja kohta.</a:t>
          </a:r>
        </a:p>
        <a:p>
          <a:r>
            <a:rPr lang="et-EE" sz="10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2.1.3 Mõju hindamine ressursikasutuse </a:t>
          </a:r>
          <a:r>
            <a:rPr lang="et-EE" sz="1000" b="1" u="sng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efektiivsuse</a:t>
          </a:r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muutusele</a:t>
          </a:r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t-EE" sz="105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 </a:t>
          </a:r>
          <a:r>
            <a:rPr lang="et-EE" sz="1050" b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primaarenergiaressursside kasutusefektiivsus (SKP energiamahukus), MWh/EURSKP;</a:t>
          </a:r>
        </a:p>
        <a:p>
          <a:pPr lvl="0"/>
          <a:r>
            <a:rPr lang="et-EE" sz="1050" b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t-EE" sz="1050" b="0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t-EE" sz="1050" b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loodusressursside kasutusefektiivsus </a:t>
          </a:r>
          <a:r>
            <a:rPr lang="et-EE" sz="105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(maakasutus, bioressursid, fossiilsed maavarad, kütuseta tehnoloogiad), kg/EURSKP, ha/EURSKP.</a:t>
          </a:r>
        </a:p>
        <a:p>
          <a:pPr lvl="0"/>
          <a:endParaRPr lang="et-EE" sz="105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t-EE" sz="105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145676</xdr:colOff>
      <xdr:row>56</xdr:row>
      <xdr:rowOff>89648</xdr:rowOff>
    </xdr:from>
    <xdr:to>
      <xdr:col>12</xdr:col>
      <xdr:colOff>145676</xdr:colOff>
      <xdr:row>62</xdr:row>
      <xdr:rowOff>11208</xdr:rowOff>
    </xdr:to>
    <xdr:sp macro="" textlink="">
      <xdr:nvSpPr>
        <xdr:cNvPr id="3" name="Kõver vasaknool 2"/>
        <xdr:cNvSpPr/>
      </xdr:nvSpPr>
      <xdr:spPr>
        <a:xfrm>
          <a:off x="8001000" y="8886266"/>
          <a:ext cx="537882" cy="1042148"/>
        </a:xfrm>
        <a:prstGeom prst="curvedLeftArrow">
          <a:avLst>
            <a:gd name="adj1" fmla="val 16532"/>
            <a:gd name="adj2" fmla="val 962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148133</xdr:colOff>
      <xdr:row>77</xdr:row>
      <xdr:rowOff>164521</xdr:rowOff>
    </xdr:from>
    <xdr:to>
      <xdr:col>9</xdr:col>
      <xdr:colOff>323676</xdr:colOff>
      <xdr:row>78</xdr:row>
      <xdr:rowOff>61977</xdr:rowOff>
    </xdr:to>
    <xdr:sp macro="" textlink="">
      <xdr:nvSpPr>
        <xdr:cNvPr id="5" name="Kõver vasaknool 4"/>
        <xdr:cNvSpPr/>
      </xdr:nvSpPr>
      <xdr:spPr>
        <a:xfrm rot="2278820">
          <a:off x="6667466" y="15012938"/>
          <a:ext cx="175543" cy="934622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34738</xdr:colOff>
      <xdr:row>2</xdr:row>
      <xdr:rowOff>616324</xdr:rowOff>
    </xdr:from>
    <xdr:to>
      <xdr:col>32</xdr:col>
      <xdr:colOff>409575</xdr:colOff>
      <xdr:row>2</xdr:row>
      <xdr:rowOff>1613649</xdr:rowOff>
    </xdr:to>
    <xdr:sp macro="" textlink="">
      <xdr:nvSpPr>
        <xdr:cNvPr id="2" name="TextBox 1"/>
        <xdr:cNvSpPr txBox="1"/>
      </xdr:nvSpPr>
      <xdr:spPr>
        <a:xfrm>
          <a:off x="19880356" y="974912"/>
          <a:ext cx="5215778" cy="99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0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Täiendavad küsimused</a:t>
          </a:r>
        </a:p>
        <a:p>
          <a:pPr lvl="0"/>
          <a:r>
            <a:rPr lang="et-EE" sz="105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* Miks on BAU-s kütuse müügi</a:t>
          </a:r>
          <a:r>
            <a:rPr lang="et-EE" sz="1050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tulu</a:t>
          </a:r>
          <a:r>
            <a:rPr lang="et-EE" sz="105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?</a:t>
          </a:r>
        </a:p>
        <a:p>
          <a:pPr lvl="0"/>
          <a:endParaRPr lang="et-EE" sz="105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et-EE" sz="1000">
            <a:solidFill>
              <a:schemeClr val="bg2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500593</xdr:colOff>
      <xdr:row>52</xdr:row>
      <xdr:rowOff>122766</xdr:rowOff>
    </xdr:from>
    <xdr:to>
      <xdr:col>90</xdr:col>
      <xdr:colOff>557742</xdr:colOff>
      <xdr:row>70</xdr:row>
      <xdr:rowOff>94191</xdr:rowOff>
    </xdr:to>
    <xdr:sp macro="" textlink="">
      <xdr:nvSpPr>
        <xdr:cNvPr id="2" name="TextBox 1"/>
        <xdr:cNvSpPr txBox="1"/>
      </xdr:nvSpPr>
      <xdr:spPr>
        <a:xfrm>
          <a:off x="41119426" y="9277349"/>
          <a:ext cx="4353983" cy="282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Neto-tootemaksud</a:t>
          </a:r>
          <a:r>
            <a:rPr lang="et-E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 tootemaksud </a:t>
          </a:r>
          <a:r>
            <a:rPr lang="et-E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miinus</a:t>
          </a:r>
          <a:r>
            <a:rPr lang="et-E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tootesubsiidiumid.</a:t>
          </a:r>
        </a:p>
        <a:p>
          <a:r>
            <a:rPr lang="et-E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Tootemaksud</a:t>
          </a:r>
          <a:r>
            <a:rPr lang="et-E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kohustuslikud, tagastamatud maksed majandusüksuselt valitsemissektorile toodetud </a:t>
          </a:r>
          <a:r>
            <a:rPr lang="et-EE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kauba- või teenuseühiku kohta</a:t>
          </a:r>
          <a:r>
            <a:rPr lang="et-E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kui tootja on selle tootnud, väljastanud, müünud, üle andnud või mõnel muul viisil seda käsutanud.</a:t>
          </a:r>
          <a:endParaRPr lang="et-EE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90270</xdr:colOff>
      <xdr:row>131</xdr:row>
      <xdr:rowOff>110189</xdr:rowOff>
    </xdr:from>
    <xdr:to>
      <xdr:col>7</xdr:col>
      <xdr:colOff>296334</xdr:colOff>
      <xdr:row>141</xdr:row>
      <xdr:rowOff>102721</xdr:rowOff>
    </xdr:to>
    <xdr:sp macro="" textlink="">
      <xdr:nvSpPr>
        <xdr:cNvPr id="2" name="TextBox 1"/>
        <xdr:cNvSpPr txBox="1"/>
      </xdr:nvSpPr>
      <xdr:spPr>
        <a:xfrm>
          <a:off x="314388" y="21087601"/>
          <a:ext cx="6918387" cy="15613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Tööealine rahvastik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rahvastiku majandusliku aktiivsuse uurimisel aluseks võetavas ehk tööjõu-uuringu objektiks olevas vanusevahemikus rahvastik (15–74-aastased).</a:t>
          </a:r>
        </a:p>
        <a:p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Tööhõive määr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hõivatute osatähtsus tööealises rahvastikus.</a:t>
          </a:r>
        </a:p>
        <a:p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(Tööga) hõivatu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isik, kes uuritaval perioodil</a:t>
          </a:r>
        </a:p>
        <a:p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töötas ja sai selle eest tasu kas palgatöötajana, ettevõtjana või vabakutselisena;</a:t>
          </a:r>
        </a:p>
        <a:p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töötas otsese tasuta pereettevõttes või oma talus;</a:t>
          </a:r>
        </a:p>
        <a:p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ajutiselt ei töötanud.</a:t>
          </a:r>
        </a:p>
        <a:p>
          <a:endParaRPr lang="et-EE" sz="1000"/>
        </a:p>
      </xdr:txBody>
    </xdr:sp>
    <xdr:clientData/>
  </xdr:twoCellAnchor>
  <xdr:twoCellAnchor>
    <xdr:from>
      <xdr:col>0</xdr:col>
      <xdr:colOff>196725</xdr:colOff>
      <xdr:row>109</xdr:row>
      <xdr:rowOff>47936</xdr:rowOff>
    </xdr:from>
    <xdr:to>
      <xdr:col>4</xdr:col>
      <xdr:colOff>4359</xdr:colOff>
      <xdr:row>120</xdr:row>
      <xdr:rowOff>63500</xdr:rowOff>
    </xdr:to>
    <xdr:sp macro="" textlink="">
      <xdr:nvSpPr>
        <xdr:cNvPr id="3" name="TextBox 2"/>
        <xdr:cNvSpPr txBox="1"/>
      </xdr:nvSpPr>
      <xdr:spPr>
        <a:xfrm>
          <a:off x="196725" y="18547603"/>
          <a:ext cx="5279217" cy="17618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t-EE" sz="1000" b="1"/>
            <a:t>SKP energiamahukus</a:t>
          </a:r>
          <a:r>
            <a:rPr lang="et-EE" sz="1000"/>
            <a:t> – sisemajanduse koguprodukti (</a:t>
          </a:r>
          <a:r>
            <a:rPr lang="et-EE" sz="1000" u="sng"/>
            <a:t>SKP) tootmiseks </a:t>
          </a:r>
          <a:r>
            <a:rPr lang="et-EE" sz="1000"/>
            <a:t>vajalik primaarenergia kulu ehk </a:t>
          </a:r>
          <a:r>
            <a:rPr lang="et-EE" sz="1000" b="1" i="0">
              <a:solidFill>
                <a:sysClr val="windowText" lastClr="000000"/>
              </a:solidFill>
            </a:rPr>
            <a:t>primaarenergiaga varustatuse</a:t>
          </a:r>
          <a:r>
            <a:rPr lang="et-EE" sz="1000" i="0">
              <a:solidFill>
                <a:sysClr val="windowText" lastClr="000000"/>
              </a:solidFill>
            </a:rPr>
            <a:t> </a:t>
          </a:r>
          <a:r>
            <a:rPr lang="et-EE" sz="1000"/>
            <a:t>suhe SKP-sse. Energiamahukus näitab energia kulu SKP ühe euro kohta. Arvutuse aluseks on võetud SKP püsivhindades.</a:t>
          </a:r>
        </a:p>
        <a:p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Primaarenergiaga varustatus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</a:t>
          </a:r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võrdne kogutarbimisega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kaasa arvatud kadu hoidmisel ja vedamisel; saadakse primaarenergia ressurssidest ekspordi ja aasta lõpu varu lahutamise teel.</a:t>
          </a:r>
        </a:p>
        <a:p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Primaarenergia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– looduslikust allikast saadud energia, mida </a:t>
          </a:r>
          <a:r>
            <a:rPr lang="et-EE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tarbitakse teisteks energialiikideks muundamata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Eestis toodetavatest kütustest kuuluvad siia </a:t>
          </a:r>
          <a:r>
            <a:rPr lang="et-EE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põlevkivi, kütteturvas, küttepuud, puidujäätmed ja biogaas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 imporditavatest kütustest </a:t>
          </a:r>
          <a:r>
            <a:rPr lang="et-EE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kivisüsi, maagaas, vedelgaas, raske ja kerge kütteõli, diislikütus, autobensiin ja lennukipetrool</a:t>
          </a:r>
          <a:r>
            <a:rPr lang="et-EE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t-EE" sz="10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342900</xdr:colOff>
      <xdr:row>61</xdr:row>
      <xdr:rowOff>142875</xdr:rowOff>
    </xdr:from>
    <xdr:to>
      <xdr:col>31</xdr:col>
      <xdr:colOff>490171</xdr:colOff>
      <xdr:row>91</xdr:row>
      <xdr:rowOff>140677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5450" y="6238875"/>
          <a:ext cx="8072071" cy="4998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2"/>
  <dimension ref="B1:C25"/>
  <sheetViews>
    <sheetView topLeftCell="A4" zoomScale="85" zoomScaleNormal="85" workbookViewId="0">
      <selection activeCell="C10" sqref="C10"/>
    </sheetView>
  </sheetViews>
  <sheetFormatPr defaultColWidth="9.109375" defaultRowHeight="13.8" x14ac:dyDescent="0.25"/>
  <cols>
    <col min="1" max="1" width="5.33203125" style="15" customWidth="1"/>
    <col min="2" max="2" width="28.33203125" style="15" customWidth="1"/>
    <col min="3" max="3" width="66" style="15" customWidth="1"/>
    <col min="4" max="16384" width="9.109375" style="15"/>
  </cols>
  <sheetData>
    <row r="1" spans="2:3" ht="7.5" customHeight="1" x14ac:dyDescent="0.25"/>
    <row r="2" spans="2:3" ht="17.399999999999999" x14ac:dyDescent="0.25">
      <c r="B2" s="869" t="s">
        <v>536</v>
      </c>
    </row>
    <row r="3" spans="2:3" x14ac:dyDescent="0.25">
      <c r="B3" s="1148" t="s">
        <v>924</v>
      </c>
    </row>
    <row r="5" spans="2:3" x14ac:dyDescent="0.25">
      <c r="B5" s="295" t="s">
        <v>329</v>
      </c>
    </row>
    <row r="6" spans="2:3" x14ac:dyDescent="0.25">
      <c r="B6" s="1122" t="s">
        <v>330</v>
      </c>
    </row>
    <row r="7" spans="2:3" x14ac:dyDescent="0.25">
      <c r="B7" s="1122" t="s">
        <v>331</v>
      </c>
    </row>
    <row r="12" spans="2:3" ht="21.75" customHeight="1" x14ac:dyDescent="0.25">
      <c r="B12" s="1123" t="s">
        <v>339</v>
      </c>
      <c r="C12" s="1123" t="s">
        <v>479</v>
      </c>
    </row>
    <row r="13" spans="2:3" ht="27.6" x14ac:dyDescent="0.25">
      <c r="B13" s="1131" t="s">
        <v>386</v>
      </c>
      <c r="C13" s="1150" t="s">
        <v>906</v>
      </c>
    </row>
    <row r="14" spans="2:3" ht="17.25" customHeight="1" x14ac:dyDescent="0.25">
      <c r="B14" s="1132" t="s">
        <v>476</v>
      </c>
      <c r="C14" s="1151" t="s">
        <v>876</v>
      </c>
    </row>
    <row r="15" spans="2:3" ht="17.25" customHeight="1" x14ac:dyDescent="0.25">
      <c r="B15" s="1131" t="s">
        <v>477</v>
      </c>
      <c r="C15" s="1150" t="s">
        <v>905</v>
      </c>
    </row>
    <row r="16" spans="2:3" ht="17.25" customHeight="1" x14ac:dyDescent="0.25">
      <c r="B16" s="1133" t="s">
        <v>728</v>
      </c>
      <c r="C16" s="1167" t="s">
        <v>908</v>
      </c>
    </row>
    <row r="17" spans="2:3" ht="17.25" customHeight="1" x14ac:dyDescent="0.25">
      <c r="B17" s="1134" t="s">
        <v>729</v>
      </c>
      <c r="C17" s="1167"/>
    </row>
    <row r="18" spans="2:3" ht="17.25" customHeight="1" x14ac:dyDescent="0.25">
      <c r="B18" s="1133" t="s">
        <v>730</v>
      </c>
      <c r="C18" s="1167"/>
    </row>
    <row r="19" spans="2:3" ht="17.25" customHeight="1" x14ac:dyDescent="0.25">
      <c r="B19" s="1134" t="s">
        <v>731</v>
      </c>
      <c r="C19" s="1167"/>
    </row>
    <row r="20" spans="2:3" ht="17.25" customHeight="1" x14ac:dyDescent="0.25">
      <c r="B20" s="1133" t="s">
        <v>732</v>
      </c>
      <c r="C20" s="1167"/>
    </row>
    <row r="21" spans="2:3" ht="17.25" customHeight="1" x14ac:dyDescent="0.25">
      <c r="B21" s="1134" t="s">
        <v>733</v>
      </c>
      <c r="C21" s="1167"/>
    </row>
    <row r="22" spans="2:3" ht="17.25" customHeight="1" x14ac:dyDescent="0.25">
      <c r="B22" s="1132" t="s">
        <v>478</v>
      </c>
      <c r="C22" s="1151" t="s">
        <v>744</v>
      </c>
    </row>
    <row r="23" spans="2:3" ht="17.25" customHeight="1" x14ac:dyDescent="0.25">
      <c r="B23" s="1131" t="s">
        <v>727</v>
      </c>
      <c r="C23" s="1150" t="s">
        <v>907</v>
      </c>
    </row>
    <row r="24" spans="2:3" ht="17.25" customHeight="1" x14ac:dyDescent="0.25">
      <c r="B24" s="1132" t="s">
        <v>741</v>
      </c>
      <c r="C24" s="1151" t="s">
        <v>742</v>
      </c>
    </row>
    <row r="25" spans="2:3" ht="17.25" customHeight="1" x14ac:dyDescent="0.25">
      <c r="B25" s="1131" t="s">
        <v>745</v>
      </c>
      <c r="C25" s="1150" t="s">
        <v>749</v>
      </c>
    </row>
  </sheetData>
  <mergeCells count="1">
    <mergeCell ref="C16:C21"/>
  </mergeCells>
  <hyperlinks>
    <hyperlink ref="B13" location="TULEMUSED!A1" display="Tulemused"/>
    <hyperlink ref="B14" location="ARVUTUS!A1" display="ARVUTUS"/>
    <hyperlink ref="B23" location="'I-O 2010'!A1" display="I-O 2010"/>
    <hyperlink ref="B24" location="PROGNOOS!A1" display="PROGNOOS"/>
    <hyperlink ref="B22" location="ABITABELID!A1" display="ABITABELID"/>
    <hyperlink ref="B21" location="Transport!A1" display="TRANSPORT"/>
    <hyperlink ref="B20" location="Soojus!A1" display="SOOJUS"/>
    <hyperlink ref="B19" location="Elektrivõrgud!A1" display="ELEKTRIVÕRGUD"/>
    <hyperlink ref="B18" location="Elekter!A1" display="ELEKTER"/>
    <hyperlink ref="B17" location="Hooned!A1" display="HOONED"/>
    <hyperlink ref="B16" location="Kütused!A1" display="KÜTUS"/>
    <hyperlink ref="B15" location="VALDKONNAD!A1" display="VALDKONNAD"/>
    <hyperlink ref="B25" location="JUHEND!A1" display="JUHEND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5">
    <tabColor theme="5" tint="-0.249977111117893"/>
  </sheetPr>
  <dimension ref="A1:AR149"/>
  <sheetViews>
    <sheetView topLeftCell="A71" zoomScale="85" zoomScaleNormal="85" workbookViewId="0">
      <pane xSplit="2" topLeftCell="C1" activePane="topRight" state="frozen"/>
      <selection pane="topRight" activeCell="M111" sqref="M111"/>
    </sheetView>
  </sheetViews>
  <sheetFormatPr defaultColWidth="9.109375" defaultRowHeight="13.8" x14ac:dyDescent="0.3"/>
  <cols>
    <col min="1" max="1" width="3.5546875" style="181" customWidth="1"/>
    <col min="2" max="2" width="33.109375" style="181" customWidth="1"/>
    <col min="3" max="3" width="7.5546875" style="181" customWidth="1"/>
    <col min="4" max="5" width="11.44140625" style="181" bestFit="1" customWidth="1"/>
    <col min="6" max="11" width="9.109375" style="181"/>
    <col min="12" max="12" width="9.109375" style="188"/>
    <col min="13" max="13" width="33.33203125" style="181" customWidth="1"/>
    <col min="14" max="14" width="9.109375" style="181"/>
    <col min="15" max="15" width="10.6640625" style="181" customWidth="1"/>
    <col min="16" max="25" width="9.109375" style="181"/>
    <col min="26" max="26" width="9.109375" style="188"/>
    <col min="27" max="27" width="9.109375" style="181"/>
    <col min="28" max="28" width="9.109375" style="181" customWidth="1"/>
    <col min="29" max="36" width="9.109375" style="181"/>
    <col min="37" max="37" width="11.6640625" style="181" bestFit="1" customWidth="1"/>
    <col min="38" max="16384" width="9.109375" style="181"/>
  </cols>
  <sheetData>
    <row r="1" spans="1:26" x14ac:dyDescent="0.3">
      <c r="A1" s="801" t="s">
        <v>338</v>
      </c>
    </row>
    <row r="2" spans="1:26" ht="15.6" x14ac:dyDescent="0.3">
      <c r="B2" s="192" t="s">
        <v>619</v>
      </c>
      <c r="F2" s="628"/>
      <c r="M2" s="245" t="s">
        <v>314</v>
      </c>
      <c r="N2" s="180"/>
      <c r="O2" s="180"/>
      <c r="P2" s="180"/>
      <c r="Q2" s="180"/>
      <c r="R2" s="180"/>
      <c r="S2" s="180"/>
      <c r="T2" s="180"/>
      <c r="U2" s="180"/>
      <c r="V2" s="180"/>
      <c r="W2" s="245"/>
    </row>
    <row r="4" spans="1:26" ht="97.5" customHeight="1" x14ac:dyDescent="0.3">
      <c r="B4" s="179" t="s">
        <v>292</v>
      </c>
      <c r="C4" s="180"/>
      <c r="D4" s="180"/>
      <c r="E4" s="180"/>
      <c r="F4" s="180"/>
      <c r="G4" s="180"/>
      <c r="H4" s="180"/>
      <c r="I4" s="180"/>
      <c r="J4" s="180"/>
      <c r="K4" s="180"/>
      <c r="M4" s="286" t="s">
        <v>210</v>
      </c>
      <c r="N4" s="287" t="s">
        <v>231</v>
      </c>
      <c r="O4" s="287" t="s">
        <v>133</v>
      </c>
      <c r="P4" s="287" t="s">
        <v>285</v>
      </c>
      <c r="Q4" s="287" t="s">
        <v>315</v>
      </c>
      <c r="R4" s="287" t="s">
        <v>38</v>
      </c>
      <c r="S4" s="287" t="s">
        <v>136</v>
      </c>
      <c r="T4" s="287" t="s">
        <v>360</v>
      </c>
      <c r="U4" s="287" t="s">
        <v>361</v>
      </c>
      <c r="V4" s="287" t="s">
        <v>362</v>
      </c>
      <c r="W4" s="287" t="s">
        <v>363</v>
      </c>
      <c r="X4" s="502" t="s">
        <v>25</v>
      </c>
      <c r="Y4" s="681" t="s">
        <v>365</v>
      </c>
    </row>
    <row r="5" spans="1:26" x14ac:dyDescent="0.3">
      <c r="B5" s="182"/>
      <c r="C5" s="183" t="s">
        <v>293</v>
      </c>
      <c r="D5" s="183">
        <v>2015</v>
      </c>
      <c r="E5" s="183">
        <v>2020</v>
      </c>
      <c r="F5" s="183">
        <v>2025</v>
      </c>
      <c r="G5" s="183">
        <v>2030</v>
      </c>
      <c r="H5" s="183">
        <v>2035</v>
      </c>
      <c r="I5" s="183">
        <v>2040</v>
      </c>
      <c r="J5" s="183">
        <v>2045</v>
      </c>
      <c r="K5" s="183">
        <v>2050</v>
      </c>
      <c r="M5" s="288" t="s">
        <v>318</v>
      </c>
      <c r="N5" s="249">
        <v>2</v>
      </c>
      <c r="O5" s="249">
        <v>23</v>
      </c>
      <c r="P5" s="249">
        <v>24</v>
      </c>
      <c r="Q5" s="249">
        <v>26</v>
      </c>
      <c r="R5" s="249">
        <v>29</v>
      </c>
      <c r="S5" s="249">
        <v>30</v>
      </c>
      <c r="T5" s="249">
        <v>31</v>
      </c>
      <c r="U5" s="249">
        <v>32</v>
      </c>
      <c r="V5" s="249">
        <v>33</v>
      </c>
      <c r="W5" s="249">
        <v>55</v>
      </c>
      <c r="X5" s="251">
        <v>103</v>
      </c>
      <c r="Y5" s="252"/>
    </row>
    <row r="6" spans="1:26" x14ac:dyDescent="0.3">
      <c r="B6" s="184" t="s">
        <v>294</v>
      </c>
      <c r="C6" s="99" t="s">
        <v>75</v>
      </c>
      <c r="D6" s="690">
        <v>0</v>
      </c>
      <c r="E6" s="690">
        <v>0</v>
      </c>
      <c r="F6" s="690">
        <v>0</v>
      </c>
      <c r="G6" s="690">
        <v>0</v>
      </c>
      <c r="H6" s="690">
        <v>0</v>
      </c>
      <c r="I6" s="690">
        <v>0</v>
      </c>
      <c r="J6" s="690">
        <v>0</v>
      </c>
      <c r="K6" s="690">
        <v>0</v>
      </c>
      <c r="M6" s="184" t="s">
        <v>294</v>
      </c>
      <c r="N6" s="691"/>
      <c r="O6" s="691"/>
      <c r="P6" s="691"/>
      <c r="Q6" s="691"/>
      <c r="R6" s="691"/>
      <c r="S6" s="691"/>
      <c r="T6" s="691"/>
      <c r="U6" s="691"/>
      <c r="V6" s="691"/>
      <c r="W6" s="692"/>
      <c r="X6" s="692"/>
      <c r="Y6" s="190"/>
    </row>
    <row r="7" spans="1:26" x14ac:dyDescent="0.3">
      <c r="B7" s="186" t="s">
        <v>295</v>
      </c>
      <c r="C7" s="99" t="s">
        <v>296</v>
      </c>
      <c r="D7" s="690">
        <v>0</v>
      </c>
      <c r="E7" s="690">
        <v>0</v>
      </c>
      <c r="F7" s="690">
        <v>0</v>
      </c>
      <c r="G7" s="690">
        <v>0</v>
      </c>
      <c r="H7" s="690">
        <v>0</v>
      </c>
      <c r="I7" s="690">
        <v>0</v>
      </c>
      <c r="J7" s="690">
        <v>0</v>
      </c>
      <c r="K7" s="690">
        <v>0</v>
      </c>
      <c r="M7" s="186" t="s">
        <v>295</v>
      </c>
      <c r="N7" s="691"/>
      <c r="O7" s="691"/>
      <c r="P7" s="691"/>
      <c r="Q7" s="691"/>
      <c r="R7" s="691"/>
      <c r="S7" s="691"/>
      <c r="T7" s="691"/>
      <c r="U7" s="691"/>
      <c r="V7" s="691"/>
      <c r="W7" s="692"/>
      <c r="X7" s="692"/>
      <c r="Y7" s="190"/>
    </row>
    <row r="8" spans="1:26" x14ac:dyDescent="0.3">
      <c r="B8" s="187" t="s">
        <v>664</v>
      </c>
      <c r="C8" s="99" t="s">
        <v>296</v>
      </c>
      <c r="D8" s="690">
        <v>0</v>
      </c>
      <c r="E8" s="690">
        <v>0</v>
      </c>
      <c r="F8" s="690">
        <v>0</v>
      </c>
      <c r="G8" s="690">
        <v>0</v>
      </c>
      <c r="H8" s="690">
        <v>0</v>
      </c>
      <c r="I8" s="690">
        <v>0</v>
      </c>
      <c r="J8" s="690">
        <v>0</v>
      </c>
      <c r="K8" s="690">
        <v>0</v>
      </c>
      <c r="M8" s="693" t="s">
        <v>664</v>
      </c>
      <c r="N8" s="694"/>
      <c r="O8" s="694"/>
      <c r="P8" s="694">
        <v>0.45</v>
      </c>
      <c r="Q8" s="694">
        <v>0.55000000000000004</v>
      </c>
      <c r="R8" s="694"/>
      <c r="S8" s="694"/>
      <c r="T8" s="694"/>
      <c r="U8" s="694"/>
      <c r="V8" s="694"/>
      <c r="W8" s="695"/>
      <c r="X8" s="695"/>
      <c r="Y8" s="190">
        <f>SUM(N8:X8)</f>
        <v>1</v>
      </c>
    </row>
    <row r="9" spans="1:26" x14ac:dyDescent="0.3">
      <c r="B9" s="187" t="s">
        <v>718</v>
      </c>
      <c r="C9" s="99" t="s">
        <v>296</v>
      </c>
      <c r="D9" s="690">
        <v>0</v>
      </c>
      <c r="E9" s="690">
        <v>0</v>
      </c>
      <c r="F9" s="690">
        <v>0</v>
      </c>
      <c r="G9" s="690">
        <v>0</v>
      </c>
      <c r="H9" s="690">
        <v>0</v>
      </c>
      <c r="I9" s="690">
        <v>0</v>
      </c>
      <c r="J9" s="690">
        <v>0</v>
      </c>
      <c r="K9" s="690">
        <v>0</v>
      </c>
      <c r="M9" s="187" t="s">
        <v>718</v>
      </c>
      <c r="N9" s="691"/>
      <c r="O9" s="691"/>
      <c r="P9" s="691"/>
      <c r="Q9" s="691"/>
      <c r="R9" s="691"/>
      <c r="S9" s="691"/>
      <c r="T9" s="691"/>
      <c r="U9" s="691"/>
      <c r="V9" s="691"/>
      <c r="W9" s="692"/>
      <c r="X9" s="692"/>
      <c r="Y9" s="190"/>
    </row>
    <row r="10" spans="1:26" x14ac:dyDescent="0.3">
      <c r="B10" s="187" t="s">
        <v>912</v>
      </c>
      <c r="C10" s="99" t="s">
        <v>296</v>
      </c>
      <c r="D10" s="690">
        <v>0</v>
      </c>
      <c r="E10" s="690">
        <v>0</v>
      </c>
      <c r="F10" s="690">
        <v>0</v>
      </c>
      <c r="G10" s="690">
        <v>0</v>
      </c>
      <c r="H10" s="690">
        <v>0</v>
      </c>
      <c r="I10" s="690">
        <v>0</v>
      </c>
      <c r="J10" s="690">
        <v>0</v>
      </c>
      <c r="K10" s="690">
        <v>0</v>
      </c>
      <c r="M10" s="693" t="s">
        <v>912</v>
      </c>
      <c r="N10" s="694">
        <v>0.95</v>
      </c>
      <c r="O10" s="694"/>
      <c r="P10" s="694"/>
      <c r="Q10" s="694"/>
      <c r="R10" s="694"/>
      <c r="S10" s="694"/>
      <c r="T10" s="694"/>
      <c r="U10" s="694"/>
      <c r="V10" s="694">
        <v>0.05</v>
      </c>
      <c r="W10" s="695"/>
      <c r="X10" s="695"/>
      <c r="Y10" s="190">
        <f>SUM(N10:X10)</f>
        <v>1</v>
      </c>
      <c r="Z10" s="188" t="s">
        <v>719</v>
      </c>
    </row>
    <row r="11" spans="1:26" x14ac:dyDescent="0.3">
      <c r="B11" s="187" t="s">
        <v>665</v>
      </c>
      <c r="C11" s="99" t="s">
        <v>296</v>
      </c>
      <c r="D11" s="690">
        <v>0</v>
      </c>
      <c r="E11" s="690">
        <v>0</v>
      </c>
      <c r="F11" s="690">
        <v>0</v>
      </c>
      <c r="G11" s="690">
        <v>0</v>
      </c>
      <c r="H11" s="690">
        <v>0</v>
      </c>
      <c r="I11" s="690">
        <v>0</v>
      </c>
      <c r="J11" s="690">
        <v>0</v>
      </c>
      <c r="K11" s="690">
        <v>0</v>
      </c>
      <c r="M11" s="693" t="s">
        <v>665</v>
      </c>
      <c r="N11" s="694"/>
      <c r="O11" s="694">
        <v>0.75</v>
      </c>
      <c r="P11" s="694"/>
      <c r="Q11" s="694"/>
      <c r="R11" s="694">
        <v>0.25</v>
      </c>
      <c r="S11" s="694"/>
      <c r="T11" s="694"/>
      <c r="U11" s="694"/>
      <c r="V11" s="694"/>
      <c r="W11" s="695"/>
      <c r="X11" s="695"/>
      <c r="Y11" s="190">
        <f>SUM(N11:X11)</f>
        <v>1</v>
      </c>
    </row>
    <row r="12" spans="1:26" x14ac:dyDescent="0.3">
      <c r="B12" s="187" t="s">
        <v>666</v>
      </c>
      <c r="C12" s="99" t="s">
        <v>296</v>
      </c>
      <c r="D12" s="690">
        <v>0</v>
      </c>
      <c r="E12" s="690">
        <v>0</v>
      </c>
      <c r="F12" s="690">
        <v>0</v>
      </c>
      <c r="G12" s="690">
        <v>0</v>
      </c>
      <c r="H12" s="690">
        <v>0</v>
      </c>
      <c r="I12" s="690">
        <v>0</v>
      </c>
      <c r="J12" s="690">
        <v>0</v>
      </c>
      <c r="K12" s="690">
        <v>0</v>
      </c>
      <c r="M12" s="187" t="s">
        <v>666</v>
      </c>
      <c r="N12" s="691"/>
      <c r="O12" s="691"/>
      <c r="P12" s="691"/>
      <c r="Q12" s="691"/>
      <c r="R12" s="691"/>
      <c r="S12" s="691"/>
      <c r="T12" s="691"/>
      <c r="U12" s="691"/>
      <c r="V12" s="691"/>
      <c r="W12" s="692"/>
      <c r="X12" s="692"/>
      <c r="Y12" s="190"/>
    </row>
    <row r="13" spans="1:26" x14ac:dyDescent="0.3">
      <c r="B13" s="187" t="s">
        <v>297</v>
      </c>
      <c r="C13" s="99" t="s">
        <v>296</v>
      </c>
      <c r="D13" s="690">
        <v>0</v>
      </c>
      <c r="E13" s="690">
        <v>0</v>
      </c>
      <c r="F13" s="690">
        <v>0</v>
      </c>
      <c r="G13" s="690">
        <v>0</v>
      </c>
      <c r="H13" s="690">
        <v>0</v>
      </c>
      <c r="I13" s="690">
        <v>0</v>
      </c>
      <c r="J13" s="690">
        <v>0</v>
      </c>
      <c r="K13" s="690">
        <v>0</v>
      </c>
      <c r="M13" s="693" t="s">
        <v>297</v>
      </c>
      <c r="N13" s="694"/>
      <c r="O13" s="694"/>
      <c r="P13" s="694"/>
      <c r="Q13" s="694"/>
      <c r="R13" s="694"/>
      <c r="S13" s="694"/>
      <c r="T13" s="694"/>
      <c r="U13" s="694"/>
      <c r="V13" s="694">
        <v>1</v>
      </c>
      <c r="W13" s="695"/>
      <c r="X13" s="695"/>
      <c r="Y13" s="190">
        <f>SUM(N13:X13)</f>
        <v>1</v>
      </c>
    </row>
    <row r="14" spans="1:26" x14ac:dyDescent="0.3">
      <c r="B14" s="187" t="s">
        <v>298</v>
      </c>
      <c r="C14" s="99" t="s">
        <v>296</v>
      </c>
      <c r="D14" s="690">
        <v>0</v>
      </c>
      <c r="E14" s="690">
        <v>0</v>
      </c>
      <c r="F14" s="690">
        <v>0</v>
      </c>
      <c r="G14" s="690">
        <v>0</v>
      </c>
      <c r="H14" s="690">
        <v>0</v>
      </c>
      <c r="I14" s="690">
        <v>0</v>
      </c>
      <c r="J14" s="690">
        <v>0</v>
      </c>
      <c r="K14" s="690">
        <v>0</v>
      </c>
      <c r="M14" s="187" t="s">
        <v>298</v>
      </c>
      <c r="N14" s="691"/>
      <c r="O14" s="691"/>
      <c r="P14" s="691"/>
      <c r="Q14" s="691"/>
      <c r="R14" s="691"/>
      <c r="S14" s="691"/>
      <c r="T14" s="691"/>
      <c r="U14" s="691"/>
      <c r="V14" s="691"/>
      <c r="W14" s="692"/>
      <c r="X14" s="691"/>
      <c r="Y14" s="190"/>
    </row>
    <row r="15" spans="1:26" x14ac:dyDescent="0.3">
      <c r="B15" s="184" t="s">
        <v>299</v>
      </c>
      <c r="C15" s="99" t="s">
        <v>296</v>
      </c>
      <c r="D15" s="690">
        <v>0</v>
      </c>
      <c r="E15" s="690">
        <v>0</v>
      </c>
      <c r="F15" s="690">
        <v>0</v>
      </c>
      <c r="G15" s="690">
        <v>0</v>
      </c>
      <c r="H15" s="690">
        <v>0</v>
      </c>
      <c r="I15" s="690">
        <v>0</v>
      </c>
      <c r="J15" s="690">
        <v>0</v>
      </c>
      <c r="K15" s="690">
        <v>0</v>
      </c>
      <c r="M15" s="184" t="s">
        <v>299</v>
      </c>
      <c r="N15" s="691"/>
      <c r="O15" s="691"/>
      <c r="P15" s="691"/>
      <c r="Q15" s="691"/>
      <c r="R15" s="691"/>
      <c r="S15" s="691"/>
      <c r="T15" s="691"/>
      <c r="U15" s="691"/>
      <c r="V15" s="691"/>
      <c r="W15" s="691"/>
      <c r="X15" s="691"/>
      <c r="Y15" s="190"/>
    </row>
    <row r="16" spans="1:26" x14ac:dyDescent="0.3">
      <c r="B16" s="186" t="s">
        <v>670</v>
      </c>
      <c r="C16" s="99" t="s">
        <v>296</v>
      </c>
      <c r="D16" s="690">
        <v>0</v>
      </c>
      <c r="E16" s="690">
        <v>0</v>
      </c>
      <c r="F16" s="690">
        <v>0</v>
      </c>
      <c r="G16" s="690">
        <v>0</v>
      </c>
      <c r="H16" s="690">
        <v>0</v>
      </c>
      <c r="I16" s="690">
        <v>0</v>
      </c>
      <c r="J16" s="690">
        <v>0</v>
      </c>
      <c r="K16" s="690">
        <v>0</v>
      </c>
      <c r="M16" s="186" t="s">
        <v>300</v>
      </c>
      <c r="N16" s="691"/>
      <c r="O16" s="691"/>
      <c r="P16" s="691"/>
      <c r="Q16" s="691"/>
      <c r="R16" s="691"/>
      <c r="S16" s="691"/>
      <c r="T16" s="691"/>
      <c r="U16" s="691"/>
      <c r="V16" s="691"/>
      <c r="W16" s="691"/>
      <c r="X16" s="691"/>
      <c r="Y16" s="190"/>
    </row>
    <row r="17" spans="2:25" x14ac:dyDescent="0.3">
      <c r="B17" s="186" t="s">
        <v>45</v>
      </c>
      <c r="C17" s="99" t="s">
        <v>296</v>
      </c>
      <c r="D17" s="690">
        <v>0</v>
      </c>
      <c r="E17" s="690">
        <v>0</v>
      </c>
      <c r="F17" s="690">
        <v>0</v>
      </c>
      <c r="G17" s="690">
        <v>0</v>
      </c>
      <c r="H17" s="690">
        <v>0</v>
      </c>
      <c r="I17" s="690">
        <v>0</v>
      </c>
      <c r="J17" s="690">
        <v>0</v>
      </c>
      <c r="K17" s="690">
        <v>0</v>
      </c>
      <c r="M17" s="186" t="s">
        <v>45</v>
      </c>
      <c r="N17" s="691"/>
      <c r="O17" s="691"/>
      <c r="P17" s="691"/>
      <c r="Q17" s="691"/>
      <c r="R17" s="691"/>
      <c r="S17" s="691"/>
      <c r="T17" s="691"/>
      <c r="U17" s="691"/>
      <c r="V17" s="691"/>
      <c r="W17" s="691"/>
      <c r="X17" s="691"/>
      <c r="Y17" s="190"/>
    </row>
    <row r="18" spans="2:25" x14ac:dyDescent="0.3">
      <c r="B18" s="187" t="s">
        <v>38</v>
      </c>
      <c r="C18" s="99" t="s">
        <v>296</v>
      </c>
      <c r="D18" s="690">
        <v>0</v>
      </c>
      <c r="E18" s="690">
        <v>0</v>
      </c>
      <c r="F18" s="690">
        <v>0</v>
      </c>
      <c r="G18" s="690">
        <v>0</v>
      </c>
      <c r="H18" s="690">
        <v>0</v>
      </c>
      <c r="I18" s="690">
        <v>0</v>
      </c>
      <c r="J18" s="690">
        <v>0</v>
      </c>
      <c r="K18" s="690">
        <v>0</v>
      </c>
      <c r="M18" s="693" t="s">
        <v>38</v>
      </c>
      <c r="N18" s="694"/>
      <c r="O18" s="694"/>
      <c r="P18" s="694"/>
      <c r="Q18" s="694"/>
      <c r="R18" s="694">
        <v>1</v>
      </c>
      <c r="S18" s="694"/>
      <c r="T18" s="694"/>
      <c r="U18" s="694"/>
      <c r="V18" s="694"/>
      <c r="W18" s="694"/>
      <c r="X18" s="694"/>
      <c r="Y18" s="190">
        <f>SUM(N18:X18)</f>
        <v>1</v>
      </c>
    </row>
    <row r="19" spans="2:25" x14ac:dyDescent="0.3">
      <c r="B19" s="187" t="s">
        <v>301</v>
      </c>
      <c r="C19" s="99" t="s">
        <v>296</v>
      </c>
      <c r="D19" s="690">
        <v>0</v>
      </c>
      <c r="E19" s="690">
        <v>0</v>
      </c>
      <c r="F19" s="690">
        <v>0</v>
      </c>
      <c r="G19" s="690">
        <v>0</v>
      </c>
      <c r="H19" s="690">
        <v>0</v>
      </c>
      <c r="I19" s="690">
        <v>0</v>
      </c>
      <c r="J19" s="690">
        <v>0</v>
      </c>
      <c r="K19" s="690">
        <v>0</v>
      </c>
      <c r="M19" s="693" t="s">
        <v>301</v>
      </c>
      <c r="N19" s="694"/>
      <c r="O19" s="694">
        <v>0.1</v>
      </c>
      <c r="P19" s="694"/>
      <c r="Q19" s="694"/>
      <c r="R19" s="694"/>
      <c r="S19" s="694"/>
      <c r="T19" s="694"/>
      <c r="U19" s="694"/>
      <c r="V19" s="694"/>
      <c r="W19" s="694"/>
      <c r="X19" s="694">
        <v>0.9</v>
      </c>
      <c r="Y19" s="190">
        <f>SUM(N19:X19)</f>
        <v>1</v>
      </c>
    </row>
    <row r="20" spans="2:25" x14ac:dyDescent="0.3">
      <c r="B20" s="187" t="s">
        <v>302</v>
      </c>
      <c r="C20" s="99" t="s">
        <v>296</v>
      </c>
      <c r="D20" s="690">
        <v>0</v>
      </c>
      <c r="E20" s="690">
        <v>0</v>
      </c>
      <c r="F20" s="690">
        <v>0</v>
      </c>
      <c r="G20" s="690">
        <v>0</v>
      </c>
      <c r="H20" s="690">
        <v>0</v>
      </c>
      <c r="I20" s="690">
        <v>0</v>
      </c>
      <c r="J20" s="690">
        <v>0</v>
      </c>
      <c r="K20" s="690">
        <v>0</v>
      </c>
      <c r="M20" s="693" t="s">
        <v>302</v>
      </c>
      <c r="N20" s="694"/>
      <c r="O20" s="694"/>
      <c r="P20" s="694"/>
      <c r="Q20" s="694"/>
      <c r="R20" s="694">
        <v>0.3</v>
      </c>
      <c r="S20" s="694"/>
      <c r="T20" s="694"/>
      <c r="U20" s="694"/>
      <c r="V20" s="694"/>
      <c r="W20" s="694"/>
      <c r="X20" s="694">
        <v>0.7</v>
      </c>
      <c r="Y20" s="190">
        <f>SUM(N20:X20)</f>
        <v>1</v>
      </c>
    </row>
    <row r="21" spans="2:25" x14ac:dyDescent="0.3">
      <c r="B21" s="187" t="s">
        <v>303</v>
      </c>
      <c r="C21" s="99" t="s">
        <v>296</v>
      </c>
      <c r="D21" s="690">
        <v>0</v>
      </c>
      <c r="E21" s="690">
        <v>0</v>
      </c>
      <c r="F21" s="690">
        <v>0</v>
      </c>
      <c r="G21" s="690">
        <v>0</v>
      </c>
      <c r="H21" s="690">
        <v>0</v>
      </c>
      <c r="I21" s="690">
        <v>0</v>
      </c>
      <c r="J21" s="690">
        <v>0</v>
      </c>
      <c r="K21" s="690">
        <v>0</v>
      </c>
      <c r="M21" s="693" t="s">
        <v>303</v>
      </c>
      <c r="N21" s="694"/>
      <c r="O21" s="694">
        <v>0.8</v>
      </c>
      <c r="P21" s="694"/>
      <c r="Q21" s="694"/>
      <c r="R21" s="694"/>
      <c r="S21" s="694"/>
      <c r="T21" s="694"/>
      <c r="U21" s="694"/>
      <c r="V21" s="694"/>
      <c r="W21" s="694"/>
      <c r="X21" s="694">
        <v>0.2</v>
      </c>
      <c r="Y21" s="190">
        <f>SUM(N21:X21)</f>
        <v>1</v>
      </c>
    </row>
    <row r="22" spans="2:25" x14ac:dyDescent="0.3">
      <c r="B22" s="184" t="s">
        <v>671</v>
      </c>
      <c r="C22" s="99" t="s">
        <v>296</v>
      </c>
      <c r="D22" s="690">
        <f>-(Transport!D21+Transport!D23)</f>
        <v>-12.889595659473171</v>
      </c>
      <c r="E22" s="690">
        <f>-(Transport!E21+Transport!E23)</f>
        <v>-25.273938307765999</v>
      </c>
      <c r="F22" s="690">
        <f>-(Transport!F21+Transport!F23)</f>
        <v>-26.878236884814388</v>
      </c>
      <c r="G22" s="690">
        <f>-(Transport!G21+Transport!G23)</f>
        <v>-28.482535461862774</v>
      </c>
      <c r="H22" s="690">
        <f>-(Transport!H21+Transport!H23)</f>
        <v>-28.564355761505713</v>
      </c>
      <c r="I22" s="690">
        <f>-(Transport!I21+Transport!I23)</f>
        <v>-28.646176061148658</v>
      </c>
      <c r="J22" s="690">
        <f>-(Transport!J21+Transport!J23)</f>
        <v>-28.687086210970126</v>
      </c>
      <c r="K22" s="690">
        <f>-(Transport!K21+Transport!K23)</f>
        <v>-28.809816660434539</v>
      </c>
      <c r="M22" s="184" t="s">
        <v>668</v>
      </c>
      <c r="N22" s="691"/>
      <c r="O22" s="691"/>
      <c r="P22" s="691"/>
      <c r="Q22" s="691"/>
      <c r="R22" s="691"/>
      <c r="S22" s="691"/>
      <c r="T22" s="691"/>
      <c r="U22" s="691"/>
      <c r="V22" s="691"/>
      <c r="W22" s="691"/>
      <c r="X22" s="691"/>
      <c r="Y22" s="190"/>
    </row>
    <row r="23" spans="2:25" x14ac:dyDescent="0.3">
      <c r="B23" s="186" t="s">
        <v>304</v>
      </c>
      <c r="C23" s="99" t="s">
        <v>296</v>
      </c>
      <c r="D23" s="690">
        <v>0</v>
      </c>
      <c r="E23" s="690">
        <v>0</v>
      </c>
      <c r="F23" s="690">
        <v>0</v>
      </c>
      <c r="G23" s="690">
        <v>0</v>
      </c>
      <c r="H23" s="690">
        <v>0</v>
      </c>
      <c r="I23" s="690">
        <v>0</v>
      </c>
      <c r="J23" s="690">
        <v>0</v>
      </c>
      <c r="K23" s="690">
        <v>0</v>
      </c>
      <c r="M23" s="186" t="s">
        <v>304</v>
      </c>
      <c r="N23" s="691"/>
      <c r="O23" s="691"/>
      <c r="P23" s="691"/>
      <c r="Q23" s="691"/>
      <c r="R23" s="691"/>
      <c r="S23" s="691"/>
      <c r="T23" s="691"/>
      <c r="U23" s="691"/>
      <c r="V23" s="691"/>
      <c r="W23" s="691"/>
      <c r="X23" s="691"/>
      <c r="Y23" s="190"/>
    </row>
    <row r="24" spans="2:25" x14ac:dyDescent="0.3">
      <c r="B24" s="186" t="s">
        <v>54</v>
      </c>
      <c r="C24" s="99"/>
      <c r="D24" s="690">
        <v>0</v>
      </c>
      <c r="E24" s="690">
        <v>0</v>
      </c>
      <c r="F24" s="690">
        <v>0</v>
      </c>
      <c r="G24" s="690">
        <v>0</v>
      </c>
      <c r="H24" s="690">
        <v>0</v>
      </c>
      <c r="I24" s="690">
        <v>0</v>
      </c>
      <c r="J24" s="690">
        <v>0</v>
      </c>
      <c r="K24" s="690">
        <v>0</v>
      </c>
      <c r="M24" s="186" t="s">
        <v>54</v>
      </c>
      <c r="N24" s="691"/>
      <c r="O24" s="691"/>
      <c r="P24" s="691"/>
      <c r="Q24" s="691"/>
      <c r="R24" s="691"/>
      <c r="S24" s="691"/>
      <c r="T24" s="691"/>
      <c r="U24" s="691"/>
      <c r="V24" s="691"/>
      <c r="W24" s="691"/>
      <c r="X24" s="691"/>
      <c r="Y24" s="190"/>
    </row>
    <row r="25" spans="2:25" x14ac:dyDescent="0.3">
      <c r="B25" s="187" t="s">
        <v>305</v>
      </c>
      <c r="C25" s="99" t="s">
        <v>306</v>
      </c>
      <c r="D25" s="690">
        <v>0</v>
      </c>
      <c r="E25" s="690">
        <v>0</v>
      </c>
      <c r="F25" s="690">
        <v>0</v>
      </c>
      <c r="G25" s="690">
        <v>0</v>
      </c>
      <c r="H25" s="690">
        <v>0</v>
      </c>
      <c r="I25" s="690">
        <v>0</v>
      </c>
      <c r="J25" s="690">
        <v>0</v>
      </c>
      <c r="K25" s="690">
        <v>0</v>
      </c>
      <c r="M25" s="187" t="s">
        <v>305</v>
      </c>
      <c r="N25" s="691"/>
      <c r="O25" s="691"/>
      <c r="P25" s="691"/>
      <c r="Q25" s="691"/>
      <c r="R25" s="691"/>
      <c r="S25" s="691"/>
      <c r="T25" s="691"/>
      <c r="U25" s="691"/>
      <c r="V25" s="691"/>
      <c r="W25" s="691"/>
      <c r="X25" s="691"/>
      <c r="Y25" s="190"/>
    </row>
    <row r="26" spans="2:25" x14ac:dyDescent="0.3">
      <c r="B26" s="187" t="s">
        <v>307</v>
      </c>
      <c r="C26" s="99" t="s">
        <v>75</v>
      </c>
      <c r="D26" s="690">
        <v>0</v>
      </c>
      <c r="E26" s="690">
        <v>0</v>
      </c>
      <c r="F26" s="690">
        <v>0</v>
      </c>
      <c r="G26" s="690">
        <v>0</v>
      </c>
      <c r="H26" s="690">
        <v>0</v>
      </c>
      <c r="I26" s="690">
        <v>0</v>
      </c>
      <c r="J26" s="690">
        <v>0</v>
      </c>
      <c r="K26" s="690">
        <v>0</v>
      </c>
      <c r="M26" s="187" t="s">
        <v>307</v>
      </c>
      <c r="N26" s="691"/>
      <c r="O26" s="691"/>
      <c r="P26" s="691"/>
      <c r="Q26" s="691"/>
      <c r="R26" s="691"/>
      <c r="S26" s="691"/>
      <c r="T26" s="691"/>
      <c r="U26" s="691"/>
      <c r="V26" s="691"/>
      <c r="W26" s="691"/>
      <c r="X26" s="691"/>
      <c r="Y26" s="190"/>
    </row>
    <row r="27" spans="2:25" x14ac:dyDescent="0.3">
      <c r="B27" s="186" t="s">
        <v>308</v>
      </c>
      <c r="C27" s="99" t="s">
        <v>309</v>
      </c>
      <c r="D27" s="690">
        <v>0</v>
      </c>
      <c r="E27" s="690">
        <v>0</v>
      </c>
      <c r="F27" s="690">
        <v>0</v>
      </c>
      <c r="G27" s="690">
        <v>0</v>
      </c>
      <c r="H27" s="690">
        <v>0</v>
      </c>
      <c r="I27" s="690">
        <v>0</v>
      </c>
      <c r="J27" s="690">
        <v>0</v>
      </c>
      <c r="K27" s="690">
        <v>0</v>
      </c>
      <c r="M27" s="184" t="s">
        <v>308</v>
      </c>
      <c r="N27" s="691"/>
      <c r="O27" s="691"/>
      <c r="P27" s="691"/>
      <c r="Q27" s="691"/>
      <c r="R27" s="691"/>
      <c r="S27" s="691"/>
      <c r="T27" s="691"/>
      <c r="U27" s="691"/>
      <c r="V27" s="691"/>
      <c r="W27" s="691"/>
      <c r="X27" s="691"/>
      <c r="Y27" s="190"/>
    </row>
    <row r="30" spans="2:25" x14ac:dyDescent="0.3">
      <c r="E30" s="709">
        <f>E54/E33</f>
        <v>0.16584786775234023</v>
      </c>
    </row>
    <row r="31" spans="2:25" x14ac:dyDescent="0.3">
      <c r="B31" s="179" t="s">
        <v>310</v>
      </c>
      <c r="C31" s="180"/>
      <c r="D31" s="180"/>
      <c r="E31" s="180"/>
      <c r="F31" s="180"/>
      <c r="G31" s="180"/>
      <c r="H31" s="180"/>
      <c r="I31" s="180"/>
      <c r="J31" s="180"/>
      <c r="K31" s="180"/>
      <c r="M31" s="179" t="s">
        <v>311</v>
      </c>
      <c r="N31" s="180"/>
      <c r="O31" s="180"/>
      <c r="P31" s="180"/>
      <c r="Q31" s="180"/>
      <c r="R31" s="180"/>
      <c r="S31" s="180"/>
      <c r="T31" s="180"/>
      <c r="U31" s="180"/>
      <c r="V31" s="180"/>
    </row>
    <row r="32" spans="2:25" x14ac:dyDescent="0.3">
      <c r="B32" s="682"/>
      <c r="C32" s="683" t="s">
        <v>293</v>
      </c>
      <c r="D32" s="183">
        <v>2015</v>
      </c>
      <c r="E32" s="183">
        <v>2020</v>
      </c>
      <c r="F32" s="183">
        <v>2025</v>
      </c>
      <c r="G32" s="183">
        <v>2030</v>
      </c>
      <c r="H32" s="183">
        <v>2035</v>
      </c>
      <c r="I32" s="183">
        <v>2040</v>
      </c>
      <c r="J32" s="183">
        <v>2045</v>
      </c>
      <c r="K32" s="183">
        <v>2050</v>
      </c>
      <c r="M32" s="682"/>
      <c r="N32" s="683" t="s">
        <v>293</v>
      </c>
      <c r="O32" s="683">
        <v>2015</v>
      </c>
      <c r="P32" s="683">
        <v>2020</v>
      </c>
      <c r="Q32" s="683">
        <v>2025</v>
      </c>
      <c r="R32" s="683">
        <v>2030</v>
      </c>
      <c r="S32" s="683">
        <v>2035</v>
      </c>
      <c r="T32" s="683">
        <v>2040</v>
      </c>
      <c r="U32" s="683">
        <v>2045</v>
      </c>
      <c r="V32" s="683">
        <v>2050</v>
      </c>
    </row>
    <row r="33" spans="2:44" x14ac:dyDescent="0.3">
      <c r="B33" s="184" t="s">
        <v>294</v>
      </c>
      <c r="C33" s="685" t="s">
        <v>75</v>
      </c>
      <c r="D33" s="185">
        <f t="shared" ref="D33:K33" si="0">O33-D6</f>
        <v>224.18225798315322</v>
      </c>
      <c r="E33" s="185">
        <f t="shared" si="0"/>
        <v>1277.2645159663064</v>
      </c>
      <c r="F33" s="185">
        <f t="shared" si="0"/>
        <v>1938.3115066180212</v>
      </c>
      <c r="G33" s="185">
        <f t="shared" si="0"/>
        <v>2599.3584972697372</v>
      </c>
      <c r="H33" s="185">
        <f t="shared" si="0"/>
        <v>2642.6649242535718</v>
      </c>
      <c r="I33" s="185">
        <f t="shared" si="0"/>
        <v>2685.971351237406</v>
      </c>
      <c r="J33" s="185">
        <f t="shared" si="0"/>
        <v>2707.6245647293235</v>
      </c>
      <c r="K33" s="185">
        <f t="shared" si="0"/>
        <v>2772.5842052050748</v>
      </c>
      <c r="M33" s="684" t="s">
        <v>294</v>
      </c>
      <c r="N33" s="685" t="s">
        <v>75</v>
      </c>
      <c r="O33" s="690">
        <v>224.18225798315322</v>
      </c>
      <c r="P33" s="690">
        <v>1277.2645159663064</v>
      </c>
      <c r="Q33" s="690">
        <v>1938.3115066180212</v>
      </c>
      <c r="R33" s="690">
        <v>2599.3584972697372</v>
      </c>
      <c r="S33" s="690">
        <v>2642.6649242535718</v>
      </c>
      <c r="T33" s="690">
        <v>2685.971351237406</v>
      </c>
      <c r="U33" s="690">
        <v>2707.6245647293235</v>
      </c>
      <c r="V33" s="690">
        <v>2772.5842052050748</v>
      </c>
    </row>
    <row r="34" spans="2:44" x14ac:dyDescent="0.3">
      <c r="B34" s="186" t="s">
        <v>295</v>
      </c>
      <c r="C34" s="685" t="s">
        <v>296</v>
      </c>
      <c r="D34" s="185">
        <f t="shared" ref="D34:K34" si="1">O34-D7</f>
        <v>15.201096651983324</v>
      </c>
      <c r="E34" s="185">
        <f t="shared" si="1"/>
        <v>158.08174643751107</v>
      </c>
      <c r="F34" s="185">
        <f t="shared" si="1"/>
        <v>163.93063148747922</v>
      </c>
      <c r="G34" s="185">
        <f t="shared" si="1"/>
        <v>214.95026630196432</v>
      </c>
      <c r="H34" s="185">
        <f t="shared" si="1"/>
        <v>225.58178041820497</v>
      </c>
      <c r="I34" s="185">
        <f t="shared" si="1"/>
        <v>236.6862680803419</v>
      </c>
      <c r="J34" s="185">
        <f t="shared" si="1"/>
        <v>246.66951418228183</v>
      </c>
      <c r="K34" s="185">
        <f t="shared" si="1"/>
        <v>260.56770970532051</v>
      </c>
      <c r="M34" s="686" t="s">
        <v>295</v>
      </c>
      <c r="N34" s="685" t="s">
        <v>296</v>
      </c>
      <c r="O34" s="924">
        <v>15.201096651983324</v>
      </c>
      <c r="P34" s="924">
        <v>158.08174643751107</v>
      </c>
      <c r="Q34" s="924">
        <v>163.93063148747922</v>
      </c>
      <c r="R34" s="924">
        <v>214.95026630196432</v>
      </c>
      <c r="S34" s="924">
        <v>225.58178041820497</v>
      </c>
      <c r="T34" s="924">
        <v>236.6862680803419</v>
      </c>
      <c r="U34" s="924">
        <v>246.66951418228183</v>
      </c>
      <c r="V34" s="924">
        <v>260.56770970532051</v>
      </c>
    </row>
    <row r="35" spans="2:44" x14ac:dyDescent="0.3">
      <c r="B35" s="187" t="s">
        <v>664</v>
      </c>
      <c r="C35" s="685" t="s">
        <v>296</v>
      </c>
      <c r="D35" s="185">
        <f t="shared" ref="D35:K35" si="2">O35-D8</f>
        <v>2.6425458945297282</v>
      </c>
      <c r="E35" s="185">
        <f t="shared" si="2"/>
        <v>17.550242473990963</v>
      </c>
      <c r="F35" s="185">
        <f t="shared" si="2"/>
        <v>25.34232658873475</v>
      </c>
      <c r="G35" s="185">
        <f t="shared" si="2"/>
        <v>33.134410703478537</v>
      </c>
      <c r="H35" s="185">
        <f t="shared" si="2"/>
        <v>33.64488473412856</v>
      </c>
      <c r="I35" s="185">
        <f t="shared" si="2"/>
        <v>34.155358764778583</v>
      </c>
      <c r="J35" s="185">
        <f t="shared" si="2"/>
        <v>34.410595780103598</v>
      </c>
      <c r="K35" s="185">
        <f t="shared" si="2"/>
        <v>35.176306826078623</v>
      </c>
      <c r="M35" s="687" t="s">
        <v>664</v>
      </c>
      <c r="N35" s="685" t="s">
        <v>296</v>
      </c>
      <c r="O35" s="924">
        <v>2.6425458945297282</v>
      </c>
      <c r="P35" s="924">
        <v>17.550242473990963</v>
      </c>
      <c r="Q35" s="924">
        <v>25.34232658873475</v>
      </c>
      <c r="R35" s="924">
        <v>33.134410703478537</v>
      </c>
      <c r="S35" s="924">
        <v>33.64488473412856</v>
      </c>
      <c r="T35" s="924">
        <v>34.155358764778583</v>
      </c>
      <c r="U35" s="924">
        <v>34.410595780103598</v>
      </c>
      <c r="V35" s="924">
        <v>35.176306826078623</v>
      </c>
    </row>
    <row r="36" spans="2:44" x14ac:dyDescent="0.3">
      <c r="B36" s="187" t="s">
        <v>718</v>
      </c>
      <c r="C36" s="99" t="s">
        <v>296</v>
      </c>
      <c r="D36" s="185">
        <f t="shared" ref="D36:K36" si="3">O36-D9</f>
        <v>0</v>
      </c>
      <c r="E36" s="185">
        <f t="shared" si="3"/>
        <v>37.167123287671231</v>
      </c>
      <c r="F36" s="185">
        <f t="shared" si="3"/>
        <v>37.167123287671231</v>
      </c>
      <c r="G36" s="185">
        <f t="shared" si="3"/>
        <v>37.167123287671231</v>
      </c>
      <c r="H36" s="185">
        <f t="shared" si="3"/>
        <v>37.167123287671231</v>
      </c>
      <c r="I36" s="185">
        <f t="shared" si="3"/>
        <v>37.167123287671231</v>
      </c>
      <c r="J36" s="185">
        <f t="shared" si="3"/>
        <v>37.167123287671231</v>
      </c>
      <c r="K36" s="185">
        <f t="shared" si="3"/>
        <v>37.167123287671231</v>
      </c>
      <c r="M36" s="187" t="s">
        <v>718</v>
      </c>
      <c r="N36" s="99" t="s">
        <v>296</v>
      </c>
      <c r="O36" s="924">
        <v>0</v>
      </c>
      <c r="P36" s="924">
        <v>37.167123287671231</v>
      </c>
      <c r="Q36" s="924">
        <v>37.167123287671231</v>
      </c>
      <c r="R36" s="924">
        <v>37.167123287671231</v>
      </c>
      <c r="S36" s="924">
        <v>37.167123287671231</v>
      </c>
      <c r="T36" s="924">
        <v>37.167123287671231</v>
      </c>
      <c r="U36" s="924">
        <v>37.167123287671231</v>
      </c>
      <c r="V36" s="924">
        <v>37.167123287671231</v>
      </c>
    </row>
    <row r="37" spans="2:44" x14ac:dyDescent="0.3">
      <c r="B37" s="187" t="s">
        <v>912</v>
      </c>
      <c r="C37" s="99" t="s">
        <v>296</v>
      </c>
      <c r="D37" s="185">
        <f t="shared" ref="D37:K37" si="4">O37-D10</f>
        <v>2.4663761682277463</v>
      </c>
      <c r="E37" s="185">
        <f t="shared" si="4"/>
        <v>4.9327523364554926</v>
      </c>
      <c r="F37" s="185">
        <f t="shared" si="4"/>
        <v>12.205364176883025</v>
      </c>
      <c r="G37" s="185">
        <f t="shared" si="4"/>
        <v>19.477976017310567</v>
      </c>
      <c r="H37" s="185">
        <f t="shared" si="4"/>
        <v>19.954418445917256</v>
      </c>
      <c r="I37" s="185">
        <f t="shared" si="4"/>
        <v>20.430860874523937</v>
      </c>
      <c r="J37" s="185">
        <f t="shared" si="4"/>
        <v>20.669082088827285</v>
      </c>
      <c r="K37" s="185">
        <f t="shared" si="4"/>
        <v>21.38374573173731</v>
      </c>
      <c r="M37" s="187" t="s">
        <v>912</v>
      </c>
      <c r="N37" s="99" t="s">
        <v>296</v>
      </c>
      <c r="O37" s="924">
        <v>2.4663761682277463</v>
      </c>
      <c r="P37" s="924">
        <v>4.9327523364554926</v>
      </c>
      <c r="Q37" s="924">
        <v>12.205364176883025</v>
      </c>
      <c r="R37" s="924">
        <v>19.477976017310567</v>
      </c>
      <c r="S37" s="924">
        <v>19.954418445917256</v>
      </c>
      <c r="T37" s="924">
        <v>20.430860874523937</v>
      </c>
      <c r="U37" s="924">
        <v>20.669082088827285</v>
      </c>
      <c r="V37" s="924">
        <v>21.38374573173731</v>
      </c>
    </row>
    <row r="38" spans="2:44" x14ac:dyDescent="0.3">
      <c r="B38" s="187" t="s">
        <v>665</v>
      </c>
      <c r="C38" s="685" t="s">
        <v>296</v>
      </c>
      <c r="D38" s="185">
        <f t="shared" ref="D38:K38" si="5">O38-D11</f>
        <v>3.1710550734356735</v>
      </c>
      <c r="E38" s="185">
        <f t="shared" si="5"/>
        <v>24.739836174268603</v>
      </c>
      <c r="F38" s="185">
        <f t="shared" si="5"/>
        <v>34.090337111961148</v>
      </c>
      <c r="G38" s="185">
        <f t="shared" si="5"/>
        <v>43.440838049653692</v>
      </c>
      <c r="H38" s="185">
        <f t="shared" si="5"/>
        <v>44.05340688643372</v>
      </c>
      <c r="I38" s="185">
        <f t="shared" si="5"/>
        <v>44.665975723213748</v>
      </c>
      <c r="J38" s="185">
        <f t="shared" si="5"/>
        <v>44.972260141603762</v>
      </c>
      <c r="K38" s="185">
        <f t="shared" si="5"/>
        <v>45.891113396773797</v>
      </c>
      <c r="M38" s="687" t="s">
        <v>665</v>
      </c>
      <c r="N38" s="685" t="s">
        <v>296</v>
      </c>
      <c r="O38" s="924">
        <v>3.1710550734356735</v>
      </c>
      <c r="P38" s="924">
        <v>24.739836174268603</v>
      </c>
      <c r="Q38" s="924">
        <v>34.090337111961148</v>
      </c>
      <c r="R38" s="924">
        <v>43.440838049653692</v>
      </c>
      <c r="S38" s="924">
        <v>44.05340688643372</v>
      </c>
      <c r="T38" s="924">
        <v>44.665975723213748</v>
      </c>
      <c r="U38" s="924">
        <v>44.972260141603762</v>
      </c>
      <c r="V38" s="924">
        <v>45.891113396773797</v>
      </c>
    </row>
    <row r="39" spans="2:44" x14ac:dyDescent="0.3">
      <c r="B39" s="187" t="s">
        <v>666</v>
      </c>
      <c r="C39" s="685" t="s">
        <v>296</v>
      </c>
      <c r="D39" s="185">
        <f t="shared" ref="D39:K39" si="6">O39-D12</f>
        <v>2.8187156208317101</v>
      </c>
      <c r="E39" s="185">
        <f t="shared" si="6"/>
        <v>10.03743124166342</v>
      </c>
      <c r="F39" s="185">
        <f t="shared" si="6"/>
        <v>18.348987630723457</v>
      </c>
      <c r="G39" s="185">
        <f t="shared" si="6"/>
        <v>26.660544019783501</v>
      </c>
      <c r="H39" s="185">
        <f t="shared" si="6"/>
        <v>27.205049652476859</v>
      </c>
      <c r="I39" s="185">
        <f t="shared" si="6"/>
        <v>27.749555285170217</v>
      </c>
      <c r="J39" s="185">
        <f t="shared" si="6"/>
        <v>28.021808101516896</v>
      </c>
      <c r="K39" s="185">
        <f t="shared" si="6"/>
        <v>28.838566550556926</v>
      </c>
      <c r="M39" s="687" t="s">
        <v>666</v>
      </c>
      <c r="N39" s="685" t="s">
        <v>296</v>
      </c>
      <c r="O39" s="924">
        <v>2.8187156208317101</v>
      </c>
      <c r="P39" s="924">
        <v>10.03743124166342</v>
      </c>
      <c r="Q39" s="924">
        <v>18.348987630723457</v>
      </c>
      <c r="R39" s="924">
        <v>26.660544019783501</v>
      </c>
      <c r="S39" s="924">
        <v>27.205049652476859</v>
      </c>
      <c r="T39" s="924">
        <v>27.749555285170217</v>
      </c>
      <c r="U39" s="924">
        <v>28.021808101516896</v>
      </c>
      <c r="V39" s="924">
        <v>28.838566550556926</v>
      </c>
    </row>
    <row r="40" spans="2:44" x14ac:dyDescent="0.3">
      <c r="B40" s="187" t="s">
        <v>297</v>
      </c>
      <c r="C40" s="685" t="s">
        <v>296</v>
      </c>
      <c r="D40" s="185">
        <f t="shared" ref="D40:K40" si="7">O40-D13</f>
        <v>1.2331880841138732</v>
      </c>
      <c r="E40" s="185">
        <f t="shared" si="7"/>
        <v>3.3955542504195271</v>
      </c>
      <c r="F40" s="185">
        <f t="shared" si="7"/>
        <v>7.0318601706332933</v>
      </c>
      <c r="G40" s="185">
        <f t="shared" si="7"/>
        <v>10.668166090847064</v>
      </c>
      <c r="H40" s="185">
        <f t="shared" si="7"/>
        <v>10.906387305150409</v>
      </c>
      <c r="I40" s="185">
        <f t="shared" si="7"/>
        <v>11.144608519453749</v>
      </c>
      <c r="J40" s="185">
        <f t="shared" si="7"/>
        <v>11.263719126605423</v>
      </c>
      <c r="K40" s="185">
        <f t="shared" si="7"/>
        <v>11.621050948060436</v>
      </c>
      <c r="M40" s="687" t="s">
        <v>297</v>
      </c>
      <c r="N40" s="685" t="s">
        <v>296</v>
      </c>
      <c r="O40" s="924">
        <v>1.2331880841138732</v>
      </c>
      <c r="P40" s="924">
        <v>3.3955542504195271</v>
      </c>
      <c r="Q40" s="924">
        <v>7.0318601706332933</v>
      </c>
      <c r="R40" s="924">
        <v>10.668166090847064</v>
      </c>
      <c r="S40" s="924">
        <v>10.906387305150409</v>
      </c>
      <c r="T40" s="924">
        <v>11.144608519453749</v>
      </c>
      <c r="U40" s="924">
        <v>11.263719126605423</v>
      </c>
      <c r="V40" s="924">
        <v>11.621050948060436</v>
      </c>
    </row>
    <row r="41" spans="2:44" x14ac:dyDescent="0.3">
      <c r="B41" s="187" t="s">
        <v>298</v>
      </c>
      <c r="C41" s="685" t="s">
        <v>296</v>
      </c>
      <c r="D41" s="185">
        <f t="shared" ref="D41:K41" si="8">O41-D14</f>
        <v>2.869215810844592</v>
      </c>
      <c r="E41" s="185">
        <f t="shared" si="8"/>
        <v>60.258806673041818</v>
      </c>
      <c r="F41" s="185">
        <f t="shared" si="8"/>
        <v>29.744632520872322</v>
      </c>
      <c r="G41" s="185">
        <f t="shared" si="8"/>
        <v>44.401208133219711</v>
      </c>
      <c r="H41" s="185">
        <f t="shared" si="8"/>
        <v>52.650510106426921</v>
      </c>
      <c r="I41" s="185">
        <f t="shared" si="8"/>
        <v>61.372785625530426</v>
      </c>
      <c r="J41" s="185">
        <f t="shared" si="8"/>
        <v>70.164925655953624</v>
      </c>
      <c r="K41" s="185">
        <f t="shared" si="8"/>
        <v>80.489802964442191</v>
      </c>
      <c r="M41" s="687" t="s">
        <v>298</v>
      </c>
      <c r="N41" s="685" t="s">
        <v>296</v>
      </c>
      <c r="O41" s="924">
        <v>2.869215810844592</v>
      </c>
      <c r="P41" s="924">
        <v>60.258806673041818</v>
      </c>
      <c r="Q41" s="924">
        <v>29.744632520872322</v>
      </c>
      <c r="R41" s="924">
        <v>44.401208133219711</v>
      </c>
      <c r="S41" s="924">
        <v>52.650510106426921</v>
      </c>
      <c r="T41" s="924">
        <v>61.372785625530426</v>
      </c>
      <c r="U41" s="924">
        <v>70.164925655953624</v>
      </c>
      <c r="V41" s="924">
        <v>80.489802964442191</v>
      </c>
    </row>
    <row r="42" spans="2:44" x14ac:dyDescent="0.3">
      <c r="B42" s="184" t="s">
        <v>299</v>
      </c>
      <c r="C42" s="685" t="s">
        <v>296</v>
      </c>
      <c r="D42" s="185">
        <f t="shared" ref="D42:K42" si="9">O42-D15</f>
        <v>0.92686314901004208</v>
      </c>
      <c r="E42" s="185">
        <f t="shared" si="9"/>
        <v>28.653726298020086</v>
      </c>
      <c r="F42" s="185">
        <f t="shared" si="9"/>
        <v>31.386770834689457</v>
      </c>
      <c r="G42" s="185">
        <f t="shared" si="9"/>
        <v>34.119815371358825</v>
      </c>
      <c r="H42" s="185">
        <f t="shared" si="9"/>
        <v>34.298862239954587</v>
      </c>
      <c r="I42" s="185">
        <f t="shared" si="9"/>
        <v>34.47790910855035</v>
      </c>
      <c r="J42" s="185">
        <f t="shared" si="9"/>
        <v>34.567432542848231</v>
      </c>
      <c r="K42" s="185">
        <f t="shared" si="9"/>
        <v>34.836002845741866</v>
      </c>
      <c r="M42" s="684" t="s">
        <v>299</v>
      </c>
      <c r="N42" s="685" t="s">
        <v>296</v>
      </c>
      <c r="O42" s="924">
        <v>0.92686314901004208</v>
      </c>
      <c r="P42" s="924">
        <v>28.653726298020086</v>
      </c>
      <c r="Q42" s="924">
        <v>31.386770834689457</v>
      </c>
      <c r="R42" s="924">
        <v>34.119815371358825</v>
      </c>
      <c r="S42" s="924">
        <v>34.298862239954587</v>
      </c>
      <c r="T42" s="924">
        <v>34.47790910855035</v>
      </c>
      <c r="U42" s="924">
        <v>34.567432542848231</v>
      </c>
      <c r="V42" s="924">
        <v>34.836002845741866</v>
      </c>
    </row>
    <row r="43" spans="2:44" x14ac:dyDescent="0.3">
      <c r="B43" s="186" t="s">
        <v>670</v>
      </c>
      <c r="C43" s="685" t="s">
        <v>296</v>
      </c>
      <c r="D43" s="185">
        <f t="shared" ref="D43:K43" si="10">O43-D16</f>
        <v>8.4713714067434509</v>
      </c>
      <c r="E43" s="185">
        <f t="shared" si="10"/>
        <v>87.928020139490982</v>
      </c>
      <c r="F43" s="185">
        <f t="shared" si="10"/>
        <v>132.54386065278976</v>
      </c>
      <c r="G43" s="185">
        <f t="shared" si="10"/>
        <v>180.83045093060548</v>
      </c>
      <c r="H43" s="185">
        <f t="shared" si="10"/>
        <v>191.28291817825038</v>
      </c>
      <c r="I43" s="185">
        <f t="shared" si="10"/>
        <v>202.20835897179154</v>
      </c>
      <c r="J43" s="185">
        <f t="shared" si="10"/>
        <v>212.10208163943358</v>
      </c>
      <c r="K43" s="185">
        <f t="shared" si="10"/>
        <v>225.73170685957865</v>
      </c>
      <c r="M43" s="186" t="s">
        <v>670</v>
      </c>
      <c r="N43" s="685" t="s">
        <v>296</v>
      </c>
      <c r="O43" s="924">
        <v>8.4713714067434509</v>
      </c>
      <c r="P43" s="924">
        <v>87.928020139490982</v>
      </c>
      <c r="Q43" s="924">
        <v>132.54386065278976</v>
      </c>
      <c r="R43" s="924">
        <v>180.83045093060548</v>
      </c>
      <c r="S43" s="924">
        <v>191.28291817825038</v>
      </c>
      <c r="T43" s="924">
        <v>202.20835897179154</v>
      </c>
      <c r="U43" s="924">
        <v>212.10208163943358</v>
      </c>
      <c r="V43" s="924">
        <v>225.73170685957865</v>
      </c>
      <c r="AB43" s="1119"/>
      <c r="AK43" s="1119"/>
    </row>
    <row r="44" spans="2:44" x14ac:dyDescent="0.3">
      <c r="B44" s="186" t="s">
        <v>45</v>
      </c>
      <c r="C44" s="685" t="s">
        <v>296</v>
      </c>
      <c r="D44" s="185">
        <f t="shared" ref="D44:K44" si="11">O44-D17</f>
        <v>75.536971747629423</v>
      </c>
      <c r="E44" s="185">
        <f t="shared" si="11"/>
        <v>104.01654878371392</v>
      </c>
      <c r="F44" s="185">
        <f t="shared" si="11"/>
        <v>47.228052163236363</v>
      </c>
      <c r="G44" s="185">
        <f t="shared" si="11"/>
        <v>47.228052163236406</v>
      </c>
      <c r="H44" s="185">
        <f t="shared" si="11"/>
        <v>2.753682169588699</v>
      </c>
      <c r="I44" s="185">
        <f t="shared" si="11"/>
        <v>2.753682169588676</v>
      </c>
      <c r="J44" s="185">
        <f t="shared" si="11"/>
        <v>1.3768410847943606</v>
      </c>
      <c r="K44" s="185">
        <f t="shared" si="11"/>
        <v>4.1305232543830144</v>
      </c>
      <c r="M44" s="686" t="s">
        <v>45</v>
      </c>
      <c r="N44" s="685" t="s">
        <v>296</v>
      </c>
      <c r="O44" s="1154">
        <v>75.536971747629423</v>
      </c>
      <c r="P44" s="1154">
        <v>104.01654878371392</v>
      </c>
      <c r="Q44" s="1154">
        <v>47.228052163236363</v>
      </c>
      <c r="R44" s="1154">
        <v>47.228052163236406</v>
      </c>
      <c r="S44" s="1154">
        <v>2.753682169588699</v>
      </c>
      <c r="T44" s="1154">
        <v>2.753682169588676</v>
      </c>
      <c r="U44" s="1154">
        <v>1.3768410847943606</v>
      </c>
      <c r="V44" s="1154">
        <v>4.1305232543830144</v>
      </c>
      <c r="AB44" s="924"/>
      <c r="AC44" s="924"/>
      <c r="AD44" s="924"/>
      <c r="AE44" s="924"/>
      <c r="AF44" s="924"/>
      <c r="AG44" s="924"/>
      <c r="AH44" s="924"/>
      <c r="AI44" s="924"/>
      <c r="AK44" s="924"/>
      <c r="AL44" s="924"/>
      <c r="AM44" s="924"/>
      <c r="AN44" s="924"/>
      <c r="AO44" s="924"/>
      <c r="AP44" s="924"/>
      <c r="AQ44" s="924"/>
      <c r="AR44" s="924"/>
    </row>
    <row r="45" spans="2:44" x14ac:dyDescent="0.3">
      <c r="B45" s="187" t="s">
        <v>38</v>
      </c>
      <c r="C45" s="685" t="s">
        <v>296</v>
      </c>
      <c r="D45" s="185">
        <f t="shared" ref="D45:K45" si="12">O45-D18</f>
        <v>14.097706643679102</v>
      </c>
      <c r="E45" s="185">
        <f t="shared" si="12"/>
        <v>22.079219728735819</v>
      </c>
      <c r="F45" s="185">
        <f t="shared" si="12"/>
        <v>8.8143224350342795</v>
      </c>
      <c r="G45" s="185">
        <f t="shared" si="12"/>
        <v>8.8143224350342866</v>
      </c>
      <c r="H45" s="185">
        <f t="shared" si="12"/>
        <v>0.57744277841497937</v>
      </c>
      <c r="I45" s="185">
        <f t="shared" si="12"/>
        <v>0.5774427784149746</v>
      </c>
      <c r="J45" s="185">
        <f t="shared" si="12"/>
        <v>0.28872138920749213</v>
      </c>
      <c r="K45" s="185">
        <f t="shared" si="12"/>
        <v>0.86616416762246196</v>
      </c>
      <c r="M45" s="687" t="s">
        <v>38</v>
      </c>
      <c r="N45" s="685" t="s">
        <v>296</v>
      </c>
      <c r="O45" s="924">
        <v>14.097706643679102</v>
      </c>
      <c r="P45" s="924">
        <v>22.079219728735819</v>
      </c>
      <c r="Q45" s="924">
        <v>8.8143224350342795</v>
      </c>
      <c r="R45" s="924">
        <v>8.8143224350342866</v>
      </c>
      <c r="S45" s="924">
        <v>0.57744277841497937</v>
      </c>
      <c r="T45" s="924">
        <v>0.5774427784149746</v>
      </c>
      <c r="U45" s="924">
        <v>0.28872138920749213</v>
      </c>
      <c r="V45" s="924">
        <v>0.86616416762246196</v>
      </c>
      <c r="AB45" s="924"/>
      <c r="AC45" s="924"/>
      <c r="AD45" s="924"/>
      <c r="AE45" s="924"/>
      <c r="AF45" s="924"/>
      <c r="AG45" s="924"/>
      <c r="AH45" s="924"/>
      <c r="AI45" s="924"/>
      <c r="AK45" s="924"/>
      <c r="AL45" s="924"/>
      <c r="AM45" s="924"/>
      <c r="AN45" s="924"/>
      <c r="AO45" s="924"/>
      <c r="AP45" s="924"/>
      <c r="AQ45" s="924"/>
      <c r="AR45" s="924"/>
    </row>
    <row r="46" spans="2:44" x14ac:dyDescent="0.3">
      <c r="B46" s="187" t="s">
        <v>301</v>
      </c>
      <c r="C46" s="685" t="s">
        <v>296</v>
      </c>
      <c r="D46" s="185">
        <f t="shared" ref="D46:K46" si="13">O46-D19</f>
        <v>46.983493093527564</v>
      </c>
      <c r="E46" s="185">
        <f t="shared" si="13"/>
        <v>73.872186618705513</v>
      </c>
      <c r="F46" s="185">
        <f t="shared" si="13"/>
        <v>29.375533745854888</v>
      </c>
      <c r="G46" s="185">
        <f t="shared" si="13"/>
        <v>29.375533745854913</v>
      </c>
      <c r="H46" s="185">
        <f t="shared" si="13"/>
        <v>1.9244462576281358</v>
      </c>
      <c r="I46" s="185">
        <f t="shared" si="13"/>
        <v>1.9244462576281198</v>
      </c>
      <c r="J46" s="185">
        <f t="shared" si="13"/>
        <v>0.96222312881407579</v>
      </c>
      <c r="K46" s="185">
        <f t="shared" si="13"/>
        <v>2.88666938644218</v>
      </c>
      <c r="M46" s="687" t="s">
        <v>301</v>
      </c>
      <c r="N46" s="685" t="s">
        <v>296</v>
      </c>
      <c r="O46" s="924">
        <v>46.983493093527564</v>
      </c>
      <c r="P46" s="924">
        <v>73.872186618705513</v>
      </c>
      <c r="Q46" s="924">
        <v>29.375533745854888</v>
      </c>
      <c r="R46" s="924">
        <v>29.375533745854913</v>
      </c>
      <c r="S46" s="924">
        <v>1.9244462576281358</v>
      </c>
      <c r="T46" s="924">
        <v>1.9244462576281198</v>
      </c>
      <c r="U46" s="924">
        <v>0.96222312881407579</v>
      </c>
      <c r="V46" s="924">
        <v>2.88666938644218</v>
      </c>
      <c r="AB46" s="924"/>
      <c r="AC46" s="924"/>
      <c r="AD46" s="924"/>
      <c r="AE46" s="924"/>
      <c r="AF46" s="924"/>
      <c r="AG46" s="924"/>
      <c r="AH46" s="924"/>
      <c r="AI46" s="924"/>
      <c r="AK46" s="924"/>
      <c r="AL46" s="924"/>
      <c r="AM46" s="924"/>
      <c r="AN46" s="924"/>
      <c r="AO46" s="924"/>
      <c r="AP46" s="924"/>
      <c r="AQ46" s="924"/>
      <c r="AR46" s="924"/>
    </row>
    <row r="47" spans="2:44" x14ac:dyDescent="0.3">
      <c r="B47" s="187" t="s">
        <v>302</v>
      </c>
      <c r="C47" s="685" t="s">
        <v>296</v>
      </c>
      <c r="D47" s="185">
        <f t="shared" ref="D47:K47" si="14">O47-D20</f>
        <v>8.3084863150990937</v>
      </c>
      <c r="E47" s="185">
        <f t="shared" si="14"/>
        <v>6.7616972630198191</v>
      </c>
      <c r="F47" s="185">
        <f t="shared" si="14"/>
        <v>5.1947227431625231</v>
      </c>
      <c r="G47" s="185">
        <f t="shared" si="14"/>
        <v>5.1947227431625276</v>
      </c>
      <c r="H47" s="185">
        <f t="shared" si="14"/>
        <v>0</v>
      </c>
      <c r="I47" s="185">
        <f t="shared" si="14"/>
        <v>0</v>
      </c>
      <c r="J47" s="185">
        <f t="shared" si="14"/>
        <v>0</v>
      </c>
      <c r="K47" s="185">
        <f t="shared" si="14"/>
        <v>0</v>
      </c>
      <c r="M47" s="687" t="s">
        <v>302</v>
      </c>
      <c r="N47" s="685" t="s">
        <v>296</v>
      </c>
      <c r="O47" s="924">
        <v>8.3084863150990937</v>
      </c>
      <c r="P47" s="924">
        <v>6.7616972630198191</v>
      </c>
      <c r="Q47" s="924">
        <v>5.1947227431625231</v>
      </c>
      <c r="R47" s="924">
        <v>5.1947227431625276</v>
      </c>
      <c r="S47" s="924">
        <v>0</v>
      </c>
      <c r="T47" s="924">
        <v>0</v>
      </c>
      <c r="U47" s="924">
        <v>0</v>
      </c>
      <c r="V47" s="924">
        <v>0</v>
      </c>
      <c r="AB47" s="924"/>
      <c r="AC47" s="924"/>
      <c r="AD47" s="924"/>
      <c r="AE47" s="924"/>
      <c r="AF47" s="924"/>
      <c r="AG47" s="924"/>
      <c r="AH47" s="924"/>
      <c r="AI47" s="924"/>
      <c r="AK47" s="924"/>
      <c r="AL47" s="924"/>
      <c r="AM47" s="924"/>
      <c r="AN47" s="924"/>
      <c r="AO47" s="924"/>
      <c r="AP47" s="924"/>
      <c r="AQ47" s="924"/>
      <c r="AR47" s="924"/>
    </row>
    <row r="48" spans="2:44" x14ac:dyDescent="0.3">
      <c r="B48" s="187" t="s">
        <v>303</v>
      </c>
      <c r="C48" s="685" t="s">
        <v>296</v>
      </c>
      <c r="D48" s="185">
        <f t="shared" ref="D48:K48" si="15">O48-D21</f>
        <v>6.1472856953236592</v>
      </c>
      <c r="E48" s="185">
        <f t="shared" si="15"/>
        <v>1.3034451732527661</v>
      </c>
      <c r="F48" s="185">
        <f t="shared" si="15"/>
        <v>3.8434732391846747</v>
      </c>
      <c r="G48" s="185">
        <f t="shared" si="15"/>
        <v>3.8434732391846782</v>
      </c>
      <c r="H48" s="185">
        <f t="shared" si="15"/>
        <v>0.25179313354558353</v>
      </c>
      <c r="I48" s="185">
        <f t="shared" si="15"/>
        <v>0.25179313354558147</v>
      </c>
      <c r="J48" s="185">
        <f t="shared" si="15"/>
        <v>0.12589656677279282</v>
      </c>
      <c r="K48" s="185">
        <f t="shared" si="15"/>
        <v>0.37768970031837223</v>
      </c>
      <c r="M48" s="687" t="s">
        <v>303</v>
      </c>
      <c r="N48" s="685" t="s">
        <v>296</v>
      </c>
      <c r="O48" s="924">
        <v>6.1472856953236592</v>
      </c>
      <c r="P48" s="924">
        <v>1.3034451732527661</v>
      </c>
      <c r="Q48" s="924">
        <v>3.8434732391846747</v>
      </c>
      <c r="R48" s="924">
        <v>3.8434732391846782</v>
      </c>
      <c r="S48" s="924">
        <v>0.25179313354558353</v>
      </c>
      <c r="T48" s="924">
        <v>0.25179313354558147</v>
      </c>
      <c r="U48" s="924">
        <v>0.12589656677279282</v>
      </c>
      <c r="V48" s="924">
        <v>0.37768970031837223</v>
      </c>
      <c r="AB48" s="924"/>
      <c r="AC48" s="924"/>
      <c r="AD48" s="924"/>
      <c r="AE48" s="924"/>
      <c r="AF48" s="924"/>
      <c r="AG48" s="924"/>
      <c r="AH48" s="924"/>
      <c r="AI48" s="924"/>
      <c r="AK48" s="924"/>
      <c r="AL48" s="924"/>
      <c r="AM48" s="924"/>
      <c r="AN48" s="924"/>
      <c r="AO48" s="924"/>
      <c r="AP48" s="924"/>
      <c r="AQ48" s="924"/>
      <c r="AR48" s="924"/>
    </row>
    <row r="49" spans="2:44" x14ac:dyDescent="0.3">
      <c r="B49" s="184" t="s">
        <v>668</v>
      </c>
      <c r="C49" s="685" t="s">
        <v>296</v>
      </c>
      <c r="D49" s="185">
        <f t="shared" ref="D49:K49" si="16">O49-D22</f>
        <v>13.816458808483214</v>
      </c>
      <c r="E49" s="185">
        <f t="shared" si="16"/>
        <v>60.486700331053811</v>
      </c>
      <c r="F49" s="185">
        <f t="shared" si="16"/>
        <v>66.773092458475929</v>
      </c>
      <c r="G49" s="185">
        <f t="shared" si="16"/>
        <v>73.741583350163395</v>
      </c>
      <c r="H49" s="185">
        <f t="shared" si="16"/>
        <v>78.605701632882116</v>
      </c>
      <c r="I49" s="185">
        <f t="shared" si="16"/>
        <v>83.88214066292538</v>
      </c>
      <c r="J49" s="185">
        <f t="shared" si="16"/>
        <v>88.118890497767183</v>
      </c>
      <c r="K49" s="185">
        <f t="shared" si="16"/>
        <v>95.785115039208279</v>
      </c>
      <c r="M49" s="684" t="s">
        <v>669</v>
      </c>
      <c r="N49" s="685" t="s">
        <v>296</v>
      </c>
      <c r="O49" s="924">
        <v>0.92686314901004208</v>
      </c>
      <c r="P49" s="924">
        <v>35.212762023287816</v>
      </c>
      <c r="Q49" s="924">
        <v>39.894855573661538</v>
      </c>
      <c r="R49" s="924">
        <v>45.259047888300621</v>
      </c>
      <c r="S49" s="924">
        <v>50.041345871376407</v>
      </c>
      <c r="T49" s="924">
        <v>55.235964601776722</v>
      </c>
      <c r="U49" s="924">
        <v>59.43180428679706</v>
      </c>
      <c r="V49" s="924">
        <v>66.975298378773743</v>
      </c>
      <c r="AB49" s="924"/>
      <c r="AC49" s="924"/>
      <c r="AD49" s="924"/>
      <c r="AE49" s="924"/>
      <c r="AF49" s="924"/>
      <c r="AG49" s="924"/>
      <c r="AH49" s="924"/>
      <c r="AI49" s="924"/>
      <c r="AK49" s="924"/>
      <c r="AL49" s="924"/>
      <c r="AM49" s="924"/>
      <c r="AN49" s="924"/>
      <c r="AO49" s="924"/>
      <c r="AP49" s="924"/>
      <c r="AQ49" s="924"/>
      <c r="AR49" s="924"/>
    </row>
    <row r="50" spans="2:44" x14ac:dyDescent="0.3">
      <c r="B50" s="186" t="s">
        <v>304</v>
      </c>
      <c r="C50" s="685" t="s">
        <v>296</v>
      </c>
      <c r="D50" s="185">
        <f t="shared" ref="D50:K54" si="17">O50-D23</f>
        <v>7.8799836750046044</v>
      </c>
      <c r="E50" s="185">
        <f t="shared" si="17"/>
        <v>41.940424315754953</v>
      </c>
      <c r="F50" s="185">
        <f t="shared" si="17"/>
        <v>1.2986806857906308</v>
      </c>
      <c r="G50" s="185">
        <f t="shared" si="17"/>
        <v>1.2986806857906319</v>
      </c>
      <c r="H50" s="185">
        <f t="shared" si="17"/>
        <v>0</v>
      </c>
      <c r="I50" s="185">
        <f t="shared" si="17"/>
        <v>0</v>
      </c>
      <c r="J50" s="185">
        <f t="shared" si="17"/>
        <v>0</v>
      </c>
      <c r="K50" s="185">
        <f t="shared" si="17"/>
        <v>0</v>
      </c>
      <c r="M50" s="686" t="s">
        <v>304</v>
      </c>
      <c r="N50" s="685" t="s">
        <v>296</v>
      </c>
      <c r="O50" s="1154">
        <v>7.8799836750046044</v>
      </c>
      <c r="P50" s="1154">
        <v>41.940424315754953</v>
      </c>
      <c r="Q50" s="1154">
        <v>1.2986806857906308</v>
      </c>
      <c r="R50" s="1154">
        <v>1.2986806857906319</v>
      </c>
      <c r="S50" s="1154">
        <v>0</v>
      </c>
      <c r="T50" s="1154">
        <v>0</v>
      </c>
      <c r="U50" s="1154">
        <v>0</v>
      </c>
      <c r="V50" s="1154">
        <v>0</v>
      </c>
      <c r="AB50" s="924"/>
      <c r="AC50" s="924"/>
      <c r="AD50" s="924"/>
      <c r="AE50" s="924"/>
      <c r="AF50" s="924"/>
      <c r="AG50" s="924"/>
      <c r="AH50" s="924"/>
      <c r="AI50" s="924"/>
      <c r="AK50" s="924"/>
      <c r="AL50" s="924"/>
      <c r="AM50" s="924"/>
      <c r="AN50" s="924"/>
      <c r="AO50" s="924"/>
      <c r="AP50" s="924"/>
      <c r="AQ50" s="924"/>
      <c r="AR50" s="924"/>
    </row>
    <row r="51" spans="2:44" x14ac:dyDescent="0.3">
      <c r="B51" s="186" t="s">
        <v>54</v>
      </c>
      <c r="C51" s="685"/>
      <c r="D51" s="185"/>
      <c r="E51" s="185"/>
      <c r="F51" s="185"/>
      <c r="G51" s="185"/>
      <c r="H51" s="185"/>
      <c r="I51" s="185"/>
      <c r="J51" s="185"/>
      <c r="K51" s="185"/>
      <c r="M51" s="686" t="s">
        <v>54</v>
      </c>
      <c r="N51" s="685"/>
      <c r="O51" s="690">
        <v>0</v>
      </c>
      <c r="P51" s="690">
        <v>0</v>
      </c>
      <c r="Q51" s="690">
        <v>0</v>
      </c>
      <c r="R51" s="690">
        <v>0</v>
      </c>
      <c r="S51" s="690">
        <v>0</v>
      </c>
      <c r="T51" s="690">
        <v>0</v>
      </c>
      <c r="U51" s="690">
        <v>0</v>
      </c>
      <c r="V51" s="690">
        <v>0</v>
      </c>
    </row>
    <row r="52" spans="2:44" x14ac:dyDescent="0.3">
      <c r="B52" s="187" t="s">
        <v>305</v>
      </c>
      <c r="C52" s="685" t="s">
        <v>306</v>
      </c>
      <c r="D52" s="185">
        <f t="shared" si="17"/>
        <v>5053.0941017154537</v>
      </c>
      <c r="E52" s="185">
        <f t="shared" si="17"/>
        <v>10106.188203430907</v>
      </c>
      <c r="F52" s="185">
        <f t="shared" si="17"/>
        <v>25006.264058987457</v>
      </c>
      <c r="G52" s="185">
        <f t="shared" si="17"/>
        <v>39906.339914544027</v>
      </c>
      <c r="H52" s="185">
        <f t="shared" si="17"/>
        <v>40882.471802620697</v>
      </c>
      <c r="I52" s="185">
        <f t="shared" si="17"/>
        <v>41858.603690697353</v>
      </c>
      <c r="J52" s="185">
        <f t="shared" si="17"/>
        <v>42346.669634735685</v>
      </c>
      <c r="K52" s="185">
        <f t="shared" si="17"/>
        <v>43810.867466850672</v>
      </c>
      <c r="M52" s="687" t="s">
        <v>305</v>
      </c>
      <c r="N52" s="685" t="s">
        <v>306</v>
      </c>
      <c r="O52" s="690">
        <v>5053.0941017154537</v>
      </c>
      <c r="P52" s="690">
        <v>10106.188203430907</v>
      </c>
      <c r="Q52" s="690">
        <v>25006.264058987457</v>
      </c>
      <c r="R52" s="690">
        <v>39906.339914544027</v>
      </c>
      <c r="S52" s="690">
        <v>40882.471802620697</v>
      </c>
      <c r="T52" s="690">
        <v>41858.603690697353</v>
      </c>
      <c r="U52" s="690">
        <v>42346.669634735685</v>
      </c>
      <c r="V52" s="690">
        <v>43810.867466850672</v>
      </c>
    </row>
    <row r="53" spans="2:44" x14ac:dyDescent="0.3">
      <c r="B53" s="187" t="s">
        <v>307</v>
      </c>
      <c r="C53" s="685" t="s">
        <v>75</v>
      </c>
      <c r="D53" s="185">
        <f t="shared" si="17"/>
        <v>634.21101468713482</v>
      </c>
      <c r="E53" s="185">
        <f t="shared" si="17"/>
        <v>3968.4220293742696</v>
      </c>
      <c r="F53" s="185">
        <f t="shared" si="17"/>
        <v>5838.5222169127774</v>
      </c>
      <c r="G53" s="185">
        <f t="shared" si="17"/>
        <v>7708.6224044512883</v>
      </c>
      <c r="H53" s="185">
        <f t="shared" si="17"/>
        <v>7831.136171807294</v>
      </c>
      <c r="I53" s="185">
        <f t="shared" si="17"/>
        <v>7953.6499391632979</v>
      </c>
      <c r="J53" s="185">
        <f t="shared" si="17"/>
        <v>8014.9068228413016</v>
      </c>
      <c r="K53" s="185">
        <f t="shared" si="17"/>
        <v>8198.6774738753084</v>
      </c>
      <c r="M53" s="687" t="s">
        <v>307</v>
      </c>
      <c r="N53" s="685" t="s">
        <v>75</v>
      </c>
      <c r="O53" s="690">
        <v>634.21101468713482</v>
      </c>
      <c r="P53" s="690">
        <v>3968.4220293742696</v>
      </c>
      <c r="Q53" s="690">
        <v>5838.5222169127774</v>
      </c>
      <c r="R53" s="690">
        <v>7708.6224044512883</v>
      </c>
      <c r="S53" s="690">
        <v>7831.136171807294</v>
      </c>
      <c r="T53" s="690">
        <v>7953.6499391632979</v>
      </c>
      <c r="U53" s="690">
        <v>8014.9068228413016</v>
      </c>
      <c r="V53" s="690">
        <v>8198.6774738753084</v>
      </c>
    </row>
    <row r="54" spans="2:44" x14ac:dyDescent="0.3">
      <c r="B54" s="186" t="s">
        <v>308</v>
      </c>
      <c r="C54" s="685" t="s">
        <v>388</v>
      </c>
      <c r="D54" s="185">
        <f t="shared" si="17"/>
        <v>11.415798264368426</v>
      </c>
      <c r="E54" s="185">
        <f t="shared" si="17"/>
        <v>211.83159652873684</v>
      </c>
      <c r="F54" s="185">
        <f t="shared" si="17"/>
        <v>245.49339990442999</v>
      </c>
      <c r="G54" s="185">
        <f t="shared" si="17"/>
        <v>279.1552032801232</v>
      </c>
      <c r="H54" s="185">
        <f t="shared" si="17"/>
        <v>281.36045109253132</v>
      </c>
      <c r="I54" s="185">
        <f t="shared" si="17"/>
        <v>283.56569890493938</v>
      </c>
      <c r="J54" s="185">
        <f t="shared" si="17"/>
        <v>284.66832281114341</v>
      </c>
      <c r="K54" s="185">
        <f t="shared" si="17"/>
        <v>287.97619452975556</v>
      </c>
      <c r="M54" s="686" t="s">
        <v>308</v>
      </c>
      <c r="N54" s="685" t="s">
        <v>388</v>
      </c>
      <c r="O54" s="690">
        <v>11.415798264368426</v>
      </c>
      <c r="P54" s="690">
        <v>211.83159652873684</v>
      </c>
      <c r="Q54" s="690">
        <v>245.49339990442999</v>
      </c>
      <c r="R54" s="690">
        <v>279.1552032801232</v>
      </c>
      <c r="S54" s="690">
        <v>281.36045109253132</v>
      </c>
      <c r="T54" s="690">
        <v>283.56569890493938</v>
      </c>
      <c r="U54" s="690">
        <v>284.66832281114341</v>
      </c>
      <c r="V54" s="690">
        <v>287.97619452975556</v>
      </c>
    </row>
    <row r="55" spans="2:44" x14ac:dyDescent="0.3"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M55" s="219"/>
      <c r="N55" s="219"/>
      <c r="O55" s="766"/>
      <c r="P55" s="766"/>
      <c r="Q55" s="766"/>
      <c r="R55" s="766"/>
      <c r="S55" s="766"/>
      <c r="T55" s="766"/>
      <c r="U55" s="766"/>
      <c r="V55" s="766"/>
    </row>
    <row r="56" spans="2:44" x14ac:dyDescent="0.3">
      <c r="O56" s="771"/>
      <c r="P56" s="771"/>
      <c r="Q56" s="771"/>
      <c r="R56" s="771"/>
      <c r="S56" s="771"/>
      <c r="T56" s="771"/>
      <c r="U56" s="771"/>
      <c r="V56" s="771"/>
    </row>
    <row r="57" spans="2:44" x14ac:dyDescent="0.3">
      <c r="B57" s="179" t="s">
        <v>312</v>
      </c>
      <c r="C57" s="180"/>
      <c r="D57" s="180"/>
      <c r="E57" s="180"/>
      <c r="F57" s="180"/>
      <c r="G57" s="180"/>
      <c r="H57" s="180"/>
      <c r="I57" s="180"/>
      <c r="J57" s="180"/>
      <c r="K57" s="180"/>
      <c r="M57" s="179" t="s">
        <v>313</v>
      </c>
      <c r="N57" s="180"/>
      <c r="O57" s="772"/>
      <c r="P57" s="772"/>
      <c r="Q57" s="772"/>
      <c r="R57" s="772"/>
      <c r="S57" s="772"/>
      <c r="T57" s="772"/>
      <c r="U57" s="772"/>
      <c r="V57" s="772"/>
      <c r="X57" s="324"/>
      <c r="Y57" s="324"/>
      <c r="Z57" s="774"/>
      <c r="AA57" s="324"/>
      <c r="AB57" s="324"/>
      <c r="AC57" s="324"/>
      <c r="AD57" s="274"/>
    </row>
    <row r="58" spans="2:44" x14ac:dyDescent="0.3">
      <c r="B58" s="182"/>
      <c r="C58" s="183" t="s">
        <v>293</v>
      </c>
      <c r="D58" s="183">
        <v>2015</v>
      </c>
      <c r="E58" s="183">
        <v>2020</v>
      </c>
      <c r="F58" s="183">
        <v>2025</v>
      </c>
      <c r="G58" s="183">
        <v>2030</v>
      </c>
      <c r="H58" s="183">
        <v>2035</v>
      </c>
      <c r="I58" s="183">
        <v>2040</v>
      </c>
      <c r="J58" s="183">
        <v>2045</v>
      </c>
      <c r="K58" s="183">
        <v>2050</v>
      </c>
      <c r="M58" s="682"/>
      <c r="N58" s="683" t="s">
        <v>293</v>
      </c>
      <c r="O58" s="773">
        <v>2015</v>
      </c>
      <c r="P58" s="773">
        <v>2020</v>
      </c>
      <c r="Q58" s="773">
        <v>2025</v>
      </c>
      <c r="R58" s="773">
        <v>2030</v>
      </c>
      <c r="S58" s="773">
        <v>2035</v>
      </c>
      <c r="T58" s="773">
        <v>2040</v>
      </c>
      <c r="U58" s="773">
        <v>2045</v>
      </c>
      <c r="V58" s="773">
        <v>2050</v>
      </c>
      <c r="X58" s="325"/>
      <c r="Y58" s="325"/>
      <c r="Z58" s="325"/>
      <c r="AA58" s="325"/>
      <c r="AB58" s="325"/>
      <c r="AC58" s="325"/>
      <c r="AD58" s="254"/>
    </row>
    <row r="59" spans="2:44" x14ac:dyDescent="0.3">
      <c r="B59" s="684" t="s">
        <v>294</v>
      </c>
      <c r="C59" s="99" t="s">
        <v>75</v>
      </c>
      <c r="D59" s="185">
        <f>O59-D6</f>
        <v>381.76069638469636</v>
      </c>
      <c r="E59" s="185">
        <f t="shared" ref="E59:K59" si="18">P59-E6</f>
        <v>2801.3302646542647</v>
      </c>
      <c r="F59" s="185">
        <f t="shared" si="18"/>
        <v>3373.9713092313091</v>
      </c>
      <c r="G59" s="185">
        <f t="shared" si="18"/>
        <v>5170.3487716391719</v>
      </c>
      <c r="H59" s="185">
        <f t="shared" si="18"/>
        <v>5641.1869638469634</v>
      </c>
      <c r="I59" s="185">
        <f t="shared" si="18"/>
        <v>5946.595520954721</v>
      </c>
      <c r="J59" s="185">
        <f t="shared" si="18"/>
        <v>6277.4547911547907</v>
      </c>
      <c r="K59" s="185">
        <f t="shared" si="18"/>
        <v>6542.1422073148478</v>
      </c>
      <c r="M59" s="684" t="s">
        <v>294</v>
      </c>
      <c r="N59" s="685" t="s">
        <v>75</v>
      </c>
      <c r="O59" s="690">
        <v>381.76069638469636</v>
      </c>
      <c r="P59" s="690">
        <v>2801.3302646542647</v>
      </c>
      <c r="Q59" s="690">
        <v>3373.9713092313091</v>
      </c>
      <c r="R59" s="690">
        <v>5170.3487716391719</v>
      </c>
      <c r="S59" s="690">
        <v>5641.1869638469634</v>
      </c>
      <c r="T59" s="690">
        <v>5946.595520954721</v>
      </c>
      <c r="U59" s="690">
        <v>6277.4547911547907</v>
      </c>
      <c r="V59" s="690">
        <v>6542.1422073148478</v>
      </c>
      <c r="X59" s="256"/>
      <c r="Y59" s="256"/>
      <c r="Z59" s="775"/>
      <c r="AA59" s="256"/>
      <c r="AB59" s="256"/>
      <c r="AC59" s="256"/>
      <c r="AD59" s="255"/>
    </row>
    <row r="60" spans="2:44" x14ac:dyDescent="0.3">
      <c r="B60" s="686" t="s">
        <v>295</v>
      </c>
      <c r="C60" s="99" t="s">
        <v>296</v>
      </c>
      <c r="D60" s="185">
        <f t="shared" ref="D60:D69" si="19">O60-D7</f>
        <v>31.728092290413976</v>
      </c>
      <c r="E60" s="185">
        <f t="shared" ref="E60:E69" si="20">P60-E7</f>
        <v>244.09246804208107</v>
      </c>
      <c r="F60" s="185">
        <f t="shared" ref="F60:F69" si="21">Q60-F7</f>
        <v>238.03003067874329</v>
      </c>
      <c r="G60" s="185">
        <f t="shared" ref="G60:G69" si="22">R60-G7</f>
        <v>446.01051286548318</v>
      </c>
      <c r="H60" s="185">
        <f t="shared" ref="H60:H69" si="23">S60-H7</f>
        <v>432.11661757774789</v>
      </c>
      <c r="I60" s="185">
        <f t="shared" ref="I60:I69" si="24">T60-I7</f>
        <v>458.72694021699533</v>
      </c>
      <c r="J60" s="185">
        <f t="shared" ref="J60:J69" si="25">U60-J7</f>
        <v>487.33824963028883</v>
      </c>
      <c r="K60" s="185">
        <f t="shared" ref="K60:K69" si="26">V60-K7</f>
        <v>512.56049408003787</v>
      </c>
      <c r="M60" s="686" t="s">
        <v>295</v>
      </c>
      <c r="N60" s="685" t="s">
        <v>296</v>
      </c>
      <c r="O60" s="924">
        <v>31.728092290413976</v>
      </c>
      <c r="P60" s="924">
        <v>244.09246804208107</v>
      </c>
      <c r="Q60" s="924">
        <v>238.03003067874329</v>
      </c>
      <c r="R60" s="924">
        <v>446.01051286548318</v>
      </c>
      <c r="S60" s="924">
        <v>432.11661757774789</v>
      </c>
      <c r="T60" s="924">
        <v>458.72694021699533</v>
      </c>
      <c r="U60" s="924">
        <v>487.33824963028883</v>
      </c>
      <c r="V60" s="924">
        <v>512.56049408003787</v>
      </c>
      <c r="X60" s="256"/>
      <c r="Y60" s="256"/>
      <c r="Z60" s="775"/>
      <c r="AA60" s="256"/>
      <c r="AB60" s="256"/>
      <c r="AC60" s="256"/>
      <c r="AD60" s="257"/>
    </row>
    <row r="61" spans="2:44" x14ac:dyDescent="0.3">
      <c r="B61" s="687" t="s">
        <v>664</v>
      </c>
      <c r="C61" s="99" t="s">
        <v>296</v>
      </c>
      <c r="D61" s="185">
        <f t="shared" si="19"/>
        <v>4.5</v>
      </c>
      <c r="E61" s="185">
        <f t="shared" si="20"/>
        <v>35.515150684931506</v>
      </c>
      <c r="F61" s="185">
        <f t="shared" si="21"/>
        <v>42.265150684931506</v>
      </c>
      <c r="G61" s="185">
        <f t="shared" si="22"/>
        <v>66.433331506849314</v>
      </c>
      <c r="H61" s="185">
        <f t="shared" si="23"/>
        <v>71.983331506849311</v>
      </c>
      <c r="I61" s="185">
        <f t="shared" si="24"/>
        <v>75.583331506849319</v>
      </c>
      <c r="J61" s="185">
        <f t="shared" si="25"/>
        <v>79.483331506849311</v>
      </c>
      <c r="K61" s="185">
        <f t="shared" si="26"/>
        <v>82.603331506849315</v>
      </c>
      <c r="M61" s="687" t="s">
        <v>664</v>
      </c>
      <c r="N61" s="685" t="s">
        <v>296</v>
      </c>
      <c r="O61" s="924">
        <v>4.5</v>
      </c>
      <c r="P61" s="924">
        <v>35.515150684931506</v>
      </c>
      <c r="Q61" s="924">
        <v>42.265150684931506</v>
      </c>
      <c r="R61" s="924">
        <v>66.433331506849314</v>
      </c>
      <c r="S61" s="924">
        <v>71.983331506849311</v>
      </c>
      <c r="T61" s="924">
        <v>75.583331506849319</v>
      </c>
      <c r="U61" s="924">
        <v>79.483331506849311</v>
      </c>
      <c r="V61" s="924">
        <v>82.603331506849315</v>
      </c>
      <c r="X61" s="256"/>
      <c r="Y61" s="256"/>
      <c r="Z61" s="775"/>
      <c r="AA61" s="256"/>
      <c r="AB61" s="256"/>
      <c r="AC61" s="256"/>
      <c r="AD61" s="257"/>
    </row>
    <row r="62" spans="2:44" x14ac:dyDescent="0.3">
      <c r="B62" s="187" t="s">
        <v>718</v>
      </c>
      <c r="C62" s="99" t="s">
        <v>296</v>
      </c>
      <c r="D62" s="185">
        <f t="shared" si="19"/>
        <v>0</v>
      </c>
      <c r="E62" s="185">
        <f t="shared" si="20"/>
        <v>37.167123287671231</v>
      </c>
      <c r="F62" s="185">
        <f t="shared" si="21"/>
        <v>37.167123287671231</v>
      </c>
      <c r="G62" s="185">
        <f t="shared" si="22"/>
        <v>81.767671232876708</v>
      </c>
      <c r="H62" s="185">
        <f t="shared" si="23"/>
        <v>81.767671232876708</v>
      </c>
      <c r="I62" s="185">
        <f t="shared" si="24"/>
        <v>81.767671232876708</v>
      </c>
      <c r="J62" s="185">
        <f t="shared" si="25"/>
        <v>81.767671232876708</v>
      </c>
      <c r="K62" s="185">
        <f t="shared" si="26"/>
        <v>81.767671232876708</v>
      </c>
      <c r="M62" s="187" t="s">
        <v>718</v>
      </c>
      <c r="N62" s="685" t="s">
        <v>296</v>
      </c>
      <c r="O62" s="924">
        <v>0</v>
      </c>
      <c r="P62" s="924">
        <v>37.167123287671231</v>
      </c>
      <c r="Q62" s="924">
        <v>37.167123287671231</v>
      </c>
      <c r="R62" s="924">
        <v>81.767671232876708</v>
      </c>
      <c r="S62" s="924">
        <v>81.767671232876708</v>
      </c>
      <c r="T62" s="924">
        <v>81.767671232876708</v>
      </c>
      <c r="U62" s="924">
        <v>81.767671232876708</v>
      </c>
      <c r="V62" s="924">
        <v>81.767671232876708</v>
      </c>
      <c r="X62" s="256"/>
      <c r="Y62" s="256"/>
      <c r="Z62" s="775"/>
      <c r="AA62" s="256"/>
      <c r="AB62" s="256"/>
      <c r="AC62" s="256"/>
      <c r="AD62" s="257"/>
    </row>
    <row r="63" spans="2:44" x14ac:dyDescent="0.3">
      <c r="B63" s="187" t="s">
        <v>912</v>
      </c>
      <c r="C63" s="99" t="s">
        <v>296</v>
      </c>
      <c r="D63" s="185">
        <f t="shared" si="19"/>
        <v>4.2</v>
      </c>
      <c r="E63" s="185">
        <f t="shared" si="20"/>
        <v>21.700000000000003</v>
      </c>
      <c r="F63" s="185">
        <f t="shared" si="21"/>
        <v>28.000000000000004</v>
      </c>
      <c r="G63" s="185">
        <f t="shared" si="22"/>
        <v>36.82</v>
      </c>
      <c r="H63" s="185">
        <f t="shared" si="23"/>
        <v>42.000000000000007</v>
      </c>
      <c r="I63" s="185">
        <f t="shared" si="24"/>
        <v>45.360000000000007</v>
      </c>
      <c r="J63" s="185">
        <f t="shared" si="25"/>
        <v>49.000000000000007</v>
      </c>
      <c r="K63" s="185">
        <f t="shared" si="26"/>
        <v>51.912000000000006</v>
      </c>
      <c r="M63" s="187" t="s">
        <v>912</v>
      </c>
      <c r="N63" s="99" t="s">
        <v>296</v>
      </c>
      <c r="O63" s="924">
        <v>4.2</v>
      </c>
      <c r="P63" s="924">
        <v>21.700000000000003</v>
      </c>
      <c r="Q63" s="924">
        <v>28.000000000000004</v>
      </c>
      <c r="R63" s="924">
        <v>36.82</v>
      </c>
      <c r="S63" s="924">
        <v>42.000000000000007</v>
      </c>
      <c r="T63" s="924">
        <v>45.360000000000007</v>
      </c>
      <c r="U63" s="924">
        <v>49.000000000000007</v>
      </c>
      <c r="V63" s="924">
        <v>51.912000000000006</v>
      </c>
      <c r="X63" s="256"/>
      <c r="Y63" s="256"/>
      <c r="Z63" s="775"/>
      <c r="AA63" s="256"/>
      <c r="AB63" s="256"/>
      <c r="AC63" s="256"/>
      <c r="AD63" s="257"/>
    </row>
    <row r="64" spans="2:44" x14ac:dyDescent="0.3">
      <c r="B64" s="687" t="s">
        <v>665</v>
      </c>
      <c r="C64" s="99" t="s">
        <v>296</v>
      </c>
      <c r="D64" s="185">
        <f t="shared" si="19"/>
        <v>5.3999999999999995</v>
      </c>
      <c r="E64" s="185">
        <f t="shared" si="20"/>
        <v>46.29772602739726</v>
      </c>
      <c r="F64" s="185">
        <f t="shared" si="21"/>
        <v>54.397726027397255</v>
      </c>
      <c r="G64" s="185">
        <f t="shared" si="22"/>
        <v>87.814997260273969</v>
      </c>
      <c r="H64" s="185">
        <f t="shared" si="23"/>
        <v>94.474997260273966</v>
      </c>
      <c r="I64" s="185">
        <f t="shared" si="24"/>
        <v>98.794997260273973</v>
      </c>
      <c r="J64" s="185">
        <f t="shared" si="25"/>
        <v>103.47499726027397</v>
      </c>
      <c r="K64" s="185">
        <f t="shared" si="26"/>
        <v>107.21899726027397</v>
      </c>
      <c r="M64" s="687" t="s">
        <v>665</v>
      </c>
      <c r="N64" s="99" t="s">
        <v>296</v>
      </c>
      <c r="O64" s="924">
        <v>5.3999999999999995</v>
      </c>
      <c r="P64" s="924">
        <v>46.29772602739726</v>
      </c>
      <c r="Q64" s="924">
        <v>54.397726027397255</v>
      </c>
      <c r="R64" s="924">
        <v>87.814997260273969</v>
      </c>
      <c r="S64" s="924">
        <v>94.474997260273966</v>
      </c>
      <c r="T64" s="924">
        <v>98.794997260273973</v>
      </c>
      <c r="U64" s="924">
        <v>103.47499726027397</v>
      </c>
      <c r="V64" s="924">
        <v>107.21899726027397</v>
      </c>
      <c r="X64" s="256"/>
      <c r="Y64" s="256"/>
      <c r="Z64" s="775"/>
      <c r="AA64" s="256"/>
      <c r="AB64" s="256"/>
      <c r="AC64" s="256"/>
      <c r="AD64" s="257"/>
    </row>
    <row r="65" spans="2:44" x14ac:dyDescent="0.3">
      <c r="B65" s="687" t="s">
        <v>666</v>
      </c>
      <c r="C65" s="99" t="s">
        <v>296</v>
      </c>
      <c r="D65" s="185">
        <f t="shared" si="19"/>
        <v>4.8</v>
      </c>
      <c r="E65" s="185">
        <f t="shared" si="20"/>
        <v>29.200000000000003</v>
      </c>
      <c r="F65" s="185">
        <f t="shared" si="21"/>
        <v>36.4</v>
      </c>
      <c r="G65" s="185">
        <f t="shared" si="22"/>
        <v>51.76</v>
      </c>
      <c r="H65" s="185">
        <f t="shared" si="23"/>
        <v>57.68</v>
      </c>
      <c r="I65" s="185">
        <f t="shared" si="24"/>
        <v>61.52</v>
      </c>
      <c r="J65" s="185">
        <f t="shared" si="25"/>
        <v>65.680000000000007</v>
      </c>
      <c r="K65" s="185">
        <f t="shared" si="26"/>
        <v>69.00800000000001</v>
      </c>
      <c r="M65" s="687" t="s">
        <v>666</v>
      </c>
      <c r="N65" s="685" t="s">
        <v>296</v>
      </c>
      <c r="O65" s="924">
        <v>4.8</v>
      </c>
      <c r="P65" s="924">
        <v>29.200000000000003</v>
      </c>
      <c r="Q65" s="924">
        <v>36.4</v>
      </c>
      <c r="R65" s="924">
        <v>51.76</v>
      </c>
      <c r="S65" s="924">
        <v>57.68</v>
      </c>
      <c r="T65" s="924">
        <v>61.52</v>
      </c>
      <c r="U65" s="924">
        <v>65.680000000000007</v>
      </c>
      <c r="V65" s="924">
        <v>69.00800000000001</v>
      </c>
      <c r="X65" s="256"/>
      <c r="Y65" s="256"/>
      <c r="Z65" s="775"/>
      <c r="AA65" s="256"/>
      <c r="AB65" s="256"/>
      <c r="AC65" s="256"/>
      <c r="AD65" s="257"/>
    </row>
    <row r="66" spans="2:44" x14ac:dyDescent="0.3">
      <c r="B66" s="687" t="s">
        <v>297</v>
      </c>
      <c r="C66" s="99" t="s">
        <v>296</v>
      </c>
      <c r="D66" s="185">
        <f t="shared" si="19"/>
        <v>2.1</v>
      </c>
      <c r="E66" s="185">
        <f t="shared" si="20"/>
        <v>11.779178082191782</v>
      </c>
      <c r="F66" s="185">
        <f t="shared" si="21"/>
        <v>14.929178082191783</v>
      </c>
      <c r="G66" s="185">
        <f t="shared" si="22"/>
        <v>20.454191780821919</v>
      </c>
      <c r="H66" s="185">
        <f t="shared" si="23"/>
        <v>23.044191780821922</v>
      </c>
      <c r="I66" s="185">
        <f t="shared" si="24"/>
        <v>24.724191780821922</v>
      </c>
      <c r="J66" s="185">
        <f t="shared" si="25"/>
        <v>26.544191780821922</v>
      </c>
      <c r="K66" s="185">
        <f t="shared" si="26"/>
        <v>28.000191780821922</v>
      </c>
      <c r="L66" s="343"/>
      <c r="M66" s="687" t="s">
        <v>297</v>
      </c>
      <c r="N66" s="685" t="s">
        <v>296</v>
      </c>
      <c r="O66" s="924">
        <v>2.1</v>
      </c>
      <c r="P66" s="924">
        <v>11.779178082191782</v>
      </c>
      <c r="Q66" s="924">
        <v>14.929178082191783</v>
      </c>
      <c r="R66" s="924">
        <v>20.454191780821919</v>
      </c>
      <c r="S66" s="924">
        <v>23.044191780821922</v>
      </c>
      <c r="T66" s="924">
        <v>24.724191780821922</v>
      </c>
      <c r="U66" s="924">
        <v>26.544191780821922</v>
      </c>
      <c r="V66" s="924">
        <v>28.000191780821922</v>
      </c>
      <c r="X66" s="256"/>
      <c r="Y66" s="256"/>
      <c r="Z66" s="775"/>
      <c r="AA66" s="256"/>
      <c r="AB66" s="256"/>
      <c r="AC66" s="256"/>
      <c r="AD66" s="257"/>
    </row>
    <row r="67" spans="2:44" x14ac:dyDescent="0.3">
      <c r="B67" s="687" t="s">
        <v>298</v>
      </c>
      <c r="C67" s="99" t="s">
        <v>296</v>
      </c>
      <c r="D67" s="185">
        <f t="shared" si="19"/>
        <v>10.728092290413976</v>
      </c>
      <c r="E67" s="185">
        <f t="shared" si="20"/>
        <v>62.433289959889294</v>
      </c>
      <c r="F67" s="185">
        <f t="shared" si="21"/>
        <v>24.870852596551487</v>
      </c>
      <c r="G67" s="185">
        <f t="shared" si="22"/>
        <v>100.96032108466125</v>
      </c>
      <c r="H67" s="185">
        <f t="shared" si="23"/>
        <v>61.166425796926006</v>
      </c>
      <c r="I67" s="185">
        <f t="shared" si="24"/>
        <v>70.976748436173409</v>
      </c>
      <c r="J67" s="185">
        <f t="shared" si="25"/>
        <v>81.388057849466946</v>
      </c>
      <c r="K67" s="185">
        <f t="shared" si="26"/>
        <v>92.050302299215957</v>
      </c>
      <c r="M67" s="687" t="s">
        <v>298</v>
      </c>
      <c r="N67" s="685" t="s">
        <v>296</v>
      </c>
      <c r="O67" s="924">
        <v>10.728092290413976</v>
      </c>
      <c r="P67" s="924">
        <v>62.433289959889294</v>
      </c>
      <c r="Q67" s="924">
        <v>24.870852596551487</v>
      </c>
      <c r="R67" s="924">
        <v>100.96032108466125</v>
      </c>
      <c r="S67" s="924">
        <v>61.166425796926006</v>
      </c>
      <c r="T67" s="924">
        <v>70.976748436173409</v>
      </c>
      <c r="U67" s="924">
        <v>81.388057849466946</v>
      </c>
      <c r="V67" s="924">
        <v>92.050302299215957</v>
      </c>
      <c r="X67" s="256"/>
      <c r="Y67" s="256"/>
      <c r="Z67" s="775"/>
      <c r="AA67" s="256"/>
      <c r="AB67" s="256"/>
      <c r="AC67" s="256"/>
      <c r="AD67" s="257"/>
    </row>
    <row r="68" spans="2:44" x14ac:dyDescent="0.3">
      <c r="B68" s="684" t="s">
        <v>299</v>
      </c>
      <c r="C68" s="99" t="s">
        <v>296</v>
      </c>
      <c r="D68" s="185">
        <f t="shared" si="19"/>
        <v>1.5783582715362625</v>
      </c>
      <c r="E68" s="185">
        <f t="shared" si="20"/>
        <v>34.954851069604025</v>
      </c>
      <c r="F68" s="185">
        <f t="shared" si="21"/>
        <v>37.322388476908415</v>
      </c>
      <c r="G68" s="185">
        <f t="shared" si="22"/>
        <v>72.796940847134579</v>
      </c>
      <c r="H68" s="185">
        <f t="shared" si="23"/>
        <v>74.743582715362635</v>
      </c>
      <c r="I68" s="185">
        <f t="shared" si="24"/>
        <v>76.006269332591643</v>
      </c>
      <c r="J68" s="185">
        <f t="shared" si="25"/>
        <v>77.374179834589739</v>
      </c>
      <c r="K68" s="185">
        <f t="shared" si="26"/>
        <v>78.468508236188214</v>
      </c>
      <c r="M68" s="684" t="s">
        <v>299</v>
      </c>
      <c r="N68" s="685" t="s">
        <v>296</v>
      </c>
      <c r="O68" s="924">
        <v>1.5783582715362625</v>
      </c>
      <c r="P68" s="924">
        <v>34.954851069604025</v>
      </c>
      <c r="Q68" s="924">
        <v>37.322388476908415</v>
      </c>
      <c r="R68" s="924">
        <v>72.796940847134579</v>
      </c>
      <c r="S68" s="924">
        <v>74.743582715362635</v>
      </c>
      <c r="T68" s="924">
        <v>76.006269332591643</v>
      </c>
      <c r="U68" s="924">
        <v>77.374179834589739</v>
      </c>
      <c r="V68" s="924">
        <v>78.468508236188214</v>
      </c>
      <c r="X68" s="256"/>
      <c r="Y68" s="256"/>
      <c r="Z68" s="775"/>
      <c r="AA68" s="256"/>
      <c r="AB68" s="256"/>
      <c r="AC68" s="256"/>
      <c r="AD68" s="257"/>
    </row>
    <row r="69" spans="2:44" x14ac:dyDescent="0.3">
      <c r="B69" s="186" t="s">
        <v>670</v>
      </c>
      <c r="C69" s="99" t="s">
        <v>296</v>
      </c>
      <c r="D69" s="185">
        <f t="shared" si="19"/>
        <v>21</v>
      </c>
      <c r="E69" s="185">
        <f t="shared" si="20"/>
        <v>167.63761697247708</v>
      </c>
      <c r="F69" s="185">
        <f t="shared" si="21"/>
        <v>200.70764220183486</v>
      </c>
      <c r="G69" s="185">
        <f t="shared" si="22"/>
        <v>323.41357201834853</v>
      </c>
      <c r="H69" s="185">
        <f t="shared" si="23"/>
        <v>357.37303486238528</v>
      </c>
      <c r="I69" s="185">
        <f t="shared" si="24"/>
        <v>382.72067088440372</v>
      </c>
      <c r="J69" s="185">
        <f t="shared" si="25"/>
        <v>409.96406979569912</v>
      </c>
      <c r="K69" s="185">
        <f t="shared" si="26"/>
        <v>434.09198584384967</v>
      </c>
      <c r="M69" s="186" t="s">
        <v>670</v>
      </c>
      <c r="N69" s="685" t="s">
        <v>296</v>
      </c>
      <c r="O69" s="924">
        <v>21</v>
      </c>
      <c r="P69" s="924">
        <v>167.63761697247708</v>
      </c>
      <c r="Q69" s="924">
        <v>200.70764220183486</v>
      </c>
      <c r="R69" s="924">
        <v>323.41357201834853</v>
      </c>
      <c r="S69" s="924">
        <v>357.37303486238528</v>
      </c>
      <c r="T69" s="924">
        <v>382.72067088440372</v>
      </c>
      <c r="U69" s="924">
        <v>409.96406979569912</v>
      </c>
      <c r="V69" s="924">
        <v>434.09198584384967</v>
      </c>
      <c r="X69" s="256"/>
      <c r="Y69" s="256"/>
      <c r="Z69" s="775"/>
      <c r="AA69" s="256"/>
      <c r="AB69" s="1119"/>
      <c r="AC69" s="256"/>
      <c r="AD69" s="257"/>
      <c r="AK69" s="1119"/>
    </row>
    <row r="70" spans="2:44" x14ac:dyDescent="0.3">
      <c r="B70" s="686" t="s">
        <v>45</v>
      </c>
      <c r="C70" s="99" t="s">
        <v>296</v>
      </c>
      <c r="D70" s="185">
        <f t="shared" ref="D70:D80" si="27">O70-D17</f>
        <v>129.16870905928698</v>
      </c>
      <c r="E70" s="185">
        <f t="shared" ref="E70:E80" si="28">P70-E17</f>
        <v>203.33532123022712</v>
      </c>
      <c r="F70" s="185">
        <f t="shared" ref="F70:F80" si="29">Q70-F17</f>
        <v>82.142866768030075</v>
      </c>
      <c r="G70" s="185">
        <f t="shared" ref="G70:G80" si="30">R70-G17</f>
        <v>200.97586196803007</v>
      </c>
      <c r="H70" s="185">
        <f t="shared" ref="H70:H80" si="31">S70-H17</f>
        <v>27.2011568</v>
      </c>
      <c r="I70" s="185">
        <f t="shared" ref="I70:I80" si="32">T70-I17</f>
        <v>17.643993599999998</v>
      </c>
      <c r="J70" s="185">
        <f t="shared" ref="J70:J80" si="33">U70-J17</f>
        <v>19.114326399999999</v>
      </c>
      <c r="K70" s="185">
        <f t="shared" ref="K70:K80" si="34">V70-K17</f>
        <v>15.291461120000008</v>
      </c>
      <c r="M70" s="686" t="s">
        <v>45</v>
      </c>
      <c r="N70" s="685" t="s">
        <v>296</v>
      </c>
      <c r="O70" s="1154">
        <v>129.16870905928698</v>
      </c>
      <c r="P70" s="1154">
        <v>203.33532123022712</v>
      </c>
      <c r="Q70" s="1154">
        <v>82.142866768030075</v>
      </c>
      <c r="R70" s="1154">
        <v>200.97586196803007</v>
      </c>
      <c r="S70" s="1154">
        <v>27.2011568</v>
      </c>
      <c r="T70" s="1154">
        <v>17.643993599999998</v>
      </c>
      <c r="U70" s="1154">
        <v>19.114326399999999</v>
      </c>
      <c r="V70" s="1154">
        <v>15.291461120000008</v>
      </c>
      <c r="X70" s="256"/>
      <c r="Y70" s="256"/>
      <c r="Z70" s="775"/>
      <c r="AA70" s="256"/>
      <c r="AB70" s="924"/>
      <c r="AC70" s="924"/>
      <c r="AD70" s="924"/>
      <c r="AE70" s="924"/>
      <c r="AF70" s="924"/>
      <c r="AG70" s="924"/>
      <c r="AH70" s="924"/>
      <c r="AI70" s="924"/>
      <c r="AK70" s="924"/>
      <c r="AL70" s="924"/>
      <c r="AM70" s="924"/>
      <c r="AN70" s="924"/>
      <c r="AO70" s="924"/>
      <c r="AP70" s="924"/>
      <c r="AQ70" s="924"/>
      <c r="AR70" s="924"/>
    </row>
    <row r="71" spans="2:44" x14ac:dyDescent="0.3">
      <c r="B71" s="687" t="s">
        <v>38</v>
      </c>
      <c r="C71" s="99" t="s">
        <v>296</v>
      </c>
      <c r="D71" s="185">
        <f t="shared" si="27"/>
        <v>24.603368</v>
      </c>
      <c r="E71" s="185">
        <f t="shared" si="28"/>
        <v>40.299800000000005</v>
      </c>
      <c r="F71" s="185">
        <f t="shared" si="29"/>
        <v>7.6355279999999999</v>
      </c>
      <c r="G71" s="185">
        <f t="shared" si="30"/>
        <v>33.597739199999999</v>
      </c>
      <c r="H71" s="185">
        <f t="shared" si="31"/>
        <v>6.2781008000000007</v>
      </c>
      <c r="I71" s="185">
        <f t="shared" si="32"/>
        <v>4.0722815999999993</v>
      </c>
      <c r="J71" s="185">
        <f t="shared" si="33"/>
        <v>4.4116384000000002</v>
      </c>
      <c r="K71" s="185">
        <f t="shared" si="34"/>
        <v>3.5293107200000016</v>
      </c>
      <c r="M71" s="687" t="s">
        <v>38</v>
      </c>
      <c r="N71" s="685" t="s">
        <v>296</v>
      </c>
      <c r="O71" s="924">
        <v>24.603368</v>
      </c>
      <c r="P71" s="924">
        <v>40.299800000000005</v>
      </c>
      <c r="Q71" s="924">
        <v>7.6355279999999999</v>
      </c>
      <c r="R71" s="924">
        <v>33.597739199999999</v>
      </c>
      <c r="S71" s="924">
        <v>6.2781008000000007</v>
      </c>
      <c r="T71" s="924">
        <v>4.0722815999999993</v>
      </c>
      <c r="U71" s="924">
        <v>4.4116384000000002</v>
      </c>
      <c r="V71" s="924">
        <v>3.5293107200000016</v>
      </c>
      <c r="X71" s="256"/>
      <c r="Y71" s="256"/>
      <c r="Z71" s="775"/>
      <c r="AA71" s="256"/>
      <c r="AB71" s="924"/>
      <c r="AC71" s="924"/>
      <c r="AD71" s="924"/>
      <c r="AE71" s="924"/>
      <c r="AF71" s="924"/>
      <c r="AG71" s="924"/>
      <c r="AH71" s="924"/>
      <c r="AI71" s="924"/>
      <c r="AK71" s="924"/>
      <c r="AL71" s="924"/>
      <c r="AM71" s="924"/>
      <c r="AN71" s="924"/>
      <c r="AO71" s="924"/>
      <c r="AP71" s="924"/>
      <c r="AQ71" s="924"/>
      <c r="AR71" s="924"/>
    </row>
    <row r="72" spans="2:44" x14ac:dyDescent="0.3">
      <c r="B72" s="687" t="s">
        <v>301</v>
      </c>
      <c r="C72" s="99" t="s">
        <v>296</v>
      </c>
      <c r="D72" s="185">
        <f t="shared" si="27"/>
        <v>81.995760000000004</v>
      </c>
      <c r="E72" s="185">
        <f t="shared" si="28"/>
        <v>134.596</v>
      </c>
      <c r="F72" s="185">
        <f t="shared" si="29"/>
        <v>25.446960000000001</v>
      </c>
      <c r="G72" s="185">
        <f t="shared" si="30"/>
        <v>112.31774399999999</v>
      </c>
      <c r="H72" s="185">
        <f t="shared" si="31"/>
        <v>20.923055999999999</v>
      </c>
      <c r="I72" s="185">
        <f t="shared" si="32"/>
        <v>13.571712</v>
      </c>
      <c r="J72" s="185">
        <f t="shared" si="33"/>
        <v>14.702688</v>
      </c>
      <c r="K72" s="185">
        <f t="shared" si="34"/>
        <v>11.762150400000007</v>
      </c>
      <c r="M72" s="687" t="s">
        <v>301</v>
      </c>
      <c r="N72" s="685" t="s">
        <v>296</v>
      </c>
      <c r="O72" s="924">
        <v>81.995760000000004</v>
      </c>
      <c r="P72" s="924">
        <v>134.596</v>
      </c>
      <c r="Q72" s="924">
        <v>25.446960000000001</v>
      </c>
      <c r="R72" s="924">
        <v>112.31774399999999</v>
      </c>
      <c r="S72" s="924">
        <v>20.923055999999999</v>
      </c>
      <c r="T72" s="924">
        <v>13.571712</v>
      </c>
      <c r="U72" s="924">
        <v>14.702688</v>
      </c>
      <c r="V72" s="924">
        <v>11.762150400000007</v>
      </c>
      <c r="X72" s="256"/>
      <c r="Y72" s="256"/>
      <c r="Z72" s="775"/>
      <c r="AA72" s="256"/>
      <c r="AB72" s="924"/>
      <c r="AC72" s="924"/>
      <c r="AD72" s="924"/>
      <c r="AE72" s="924"/>
      <c r="AF72" s="924"/>
      <c r="AG72" s="924"/>
      <c r="AH72" s="924"/>
      <c r="AI72" s="924"/>
      <c r="AK72" s="924"/>
      <c r="AL72" s="924"/>
      <c r="AM72" s="924"/>
      <c r="AN72" s="924"/>
      <c r="AO72" s="924"/>
      <c r="AP72" s="924"/>
      <c r="AQ72" s="924"/>
      <c r="AR72" s="924"/>
    </row>
    <row r="73" spans="2:44" x14ac:dyDescent="0.3">
      <c r="B73" s="687" t="s">
        <v>302</v>
      </c>
      <c r="C73" s="99" t="s">
        <v>296</v>
      </c>
      <c r="D73" s="185">
        <f t="shared" si="27"/>
        <v>12.971915663404372</v>
      </c>
      <c r="E73" s="185">
        <f t="shared" si="28"/>
        <v>18.471915663404374</v>
      </c>
      <c r="F73" s="185">
        <f t="shared" si="29"/>
        <v>28.197559100535056</v>
      </c>
      <c r="G73" s="185">
        <f t="shared" si="30"/>
        <v>34.197559100535052</v>
      </c>
      <c r="H73" s="185">
        <f t="shared" si="31"/>
        <v>0</v>
      </c>
      <c r="I73" s="185">
        <f t="shared" si="32"/>
        <v>0</v>
      </c>
      <c r="J73" s="185">
        <f t="shared" si="33"/>
        <v>0</v>
      </c>
      <c r="K73" s="185">
        <f t="shared" si="34"/>
        <v>0</v>
      </c>
      <c r="M73" s="687" t="s">
        <v>302</v>
      </c>
      <c r="N73" s="685" t="s">
        <v>296</v>
      </c>
      <c r="O73" s="924">
        <v>12.971915663404372</v>
      </c>
      <c r="P73" s="924">
        <v>18.471915663404374</v>
      </c>
      <c r="Q73" s="924">
        <v>28.197559100535056</v>
      </c>
      <c r="R73" s="924">
        <v>34.197559100535052</v>
      </c>
      <c r="S73" s="924">
        <v>0</v>
      </c>
      <c r="T73" s="924">
        <v>0</v>
      </c>
      <c r="U73" s="924">
        <v>0</v>
      </c>
      <c r="V73" s="924">
        <v>0</v>
      </c>
      <c r="X73" s="256"/>
      <c r="Y73" s="256"/>
      <c r="Z73" s="775"/>
      <c r="AA73" s="256"/>
      <c r="AB73" s="924"/>
      <c r="AC73" s="924"/>
      <c r="AD73" s="924"/>
      <c r="AE73" s="924"/>
      <c r="AF73" s="924"/>
      <c r="AG73" s="924"/>
      <c r="AH73" s="924"/>
      <c r="AI73" s="924"/>
      <c r="AK73" s="924"/>
      <c r="AL73" s="924"/>
      <c r="AM73" s="924"/>
      <c r="AN73" s="924"/>
      <c r="AO73" s="924"/>
      <c r="AP73" s="924"/>
      <c r="AQ73" s="924"/>
      <c r="AR73" s="924"/>
    </row>
    <row r="74" spans="2:44" x14ac:dyDescent="0.3">
      <c r="B74" s="687" t="s">
        <v>303</v>
      </c>
      <c r="C74" s="99" t="s">
        <v>296</v>
      </c>
      <c r="D74" s="185">
        <f t="shared" si="27"/>
        <v>9.5976653958825899</v>
      </c>
      <c r="E74" s="185">
        <f t="shared" si="28"/>
        <v>9.9676055668227601</v>
      </c>
      <c r="F74" s="185">
        <f t="shared" si="29"/>
        <v>20.862819667495021</v>
      </c>
      <c r="G74" s="185">
        <f t="shared" si="30"/>
        <v>20.862819667495017</v>
      </c>
      <c r="H74" s="185">
        <f t="shared" si="31"/>
        <v>0</v>
      </c>
      <c r="I74" s="185">
        <f t="shared" si="32"/>
        <v>0</v>
      </c>
      <c r="J74" s="185">
        <f t="shared" si="33"/>
        <v>0</v>
      </c>
      <c r="K74" s="185">
        <f t="shared" si="34"/>
        <v>0</v>
      </c>
      <c r="M74" s="687" t="s">
        <v>303</v>
      </c>
      <c r="N74" s="685" t="s">
        <v>296</v>
      </c>
      <c r="O74" s="924">
        <v>9.5976653958825899</v>
      </c>
      <c r="P74" s="924">
        <v>9.9676055668227601</v>
      </c>
      <c r="Q74" s="924">
        <v>20.862819667495021</v>
      </c>
      <c r="R74" s="924">
        <v>20.862819667495017</v>
      </c>
      <c r="S74" s="924">
        <v>0</v>
      </c>
      <c r="T74" s="924">
        <v>0</v>
      </c>
      <c r="U74" s="924">
        <v>0</v>
      </c>
      <c r="V74" s="924">
        <v>0</v>
      </c>
      <c r="X74" s="256"/>
      <c r="Y74" s="256"/>
      <c r="Z74" s="775"/>
      <c r="AA74" s="256"/>
      <c r="AB74" s="924"/>
      <c r="AC74" s="924"/>
      <c r="AD74" s="924"/>
      <c r="AE74" s="924"/>
      <c r="AF74" s="924"/>
      <c r="AG74" s="924"/>
      <c r="AH74" s="924"/>
      <c r="AI74" s="924"/>
      <c r="AK74" s="924"/>
      <c r="AL74" s="924"/>
      <c r="AM74" s="924"/>
      <c r="AN74" s="924"/>
      <c r="AO74" s="924"/>
      <c r="AP74" s="924"/>
      <c r="AQ74" s="924"/>
      <c r="AR74" s="924"/>
    </row>
    <row r="75" spans="2:44" x14ac:dyDescent="0.3">
      <c r="B75" s="684" t="s">
        <v>669</v>
      </c>
      <c r="C75" s="99" t="s">
        <v>296</v>
      </c>
      <c r="D75" s="185">
        <f t="shared" si="27"/>
        <v>16.944228724717462</v>
      </c>
      <c r="E75" s="185">
        <f t="shared" si="28"/>
        <v>177.9860441798759</v>
      </c>
      <c r="F75" s="185">
        <f t="shared" si="29"/>
        <v>168.09189192144999</v>
      </c>
      <c r="G75" s="185">
        <f t="shared" si="30"/>
        <v>283.5113686655535</v>
      </c>
      <c r="H75" s="185">
        <f t="shared" si="31"/>
        <v>340.04057656513379</v>
      </c>
      <c r="I75" s="185">
        <f t="shared" si="32"/>
        <v>387.91326461321989</v>
      </c>
      <c r="J75" s="185">
        <f t="shared" si="33"/>
        <v>433.40323792019694</v>
      </c>
      <c r="K75" s="185">
        <f t="shared" si="34"/>
        <v>492.29962790486184</v>
      </c>
      <c r="L75" s="628"/>
      <c r="M75" s="684" t="s">
        <v>669</v>
      </c>
      <c r="N75" s="685" t="s">
        <v>296</v>
      </c>
      <c r="O75" s="924">
        <v>4.054633065244289</v>
      </c>
      <c r="P75" s="924">
        <v>152.7121058721099</v>
      </c>
      <c r="Q75" s="924">
        <v>141.2136550366356</v>
      </c>
      <c r="R75" s="924">
        <v>255.02883320369074</v>
      </c>
      <c r="S75" s="924">
        <v>311.47622080362805</v>
      </c>
      <c r="T75" s="924">
        <v>359.26708855207124</v>
      </c>
      <c r="U75" s="924">
        <v>404.71615170922684</v>
      </c>
      <c r="V75" s="924">
        <v>463.4898112444273</v>
      </c>
      <c r="X75" s="256"/>
      <c r="Y75" s="256"/>
      <c r="Z75" s="775"/>
      <c r="AA75" s="256"/>
      <c r="AB75" s="924"/>
      <c r="AC75" s="924"/>
      <c r="AD75" s="924"/>
      <c r="AE75" s="924"/>
      <c r="AF75" s="924"/>
      <c r="AG75" s="924"/>
      <c r="AH75" s="924"/>
      <c r="AI75" s="924"/>
      <c r="AK75" s="924"/>
      <c r="AL75" s="924"/>
      <c r="AM75" s="924"/>
      <c r="AN75" s="924"/>
      <c r="AO75" s="924"/>
      <c r="AP75" s="924"/>
      <c r="AQ75" s="924"/>
      <c r="AR75" s="924"/>
    </row>
    <row r="76" spans="2:44" x14ac:dyDescent="0.3">
      <c r="B76" s="686" t="s">
        <v>304</v>
      </c>
      <c r="C76" s="99" t="s">
        <v>296</v>
      </c>
      <c r="D76" s="185">
        <f t="shared" si="27"/>
        <v>15.360997874935169</v>
      </c>
      <c r="E76" s="185">
        <f t="shared" si="28"/>
        <v>48.235957831702187</v>
      </c>
      <c r="F76" s="185">
        <f t="shared" si="29"/>
        <v>14.098779550267528</v>
      </c>
      <c r="G76" s="185">
        <f t="shared" si="30"/>
        <v>63.89877955026752</v>
      </c>
      <c r="H76" s="185">
        <f t="shared" si="31"/>
        <v>0</v>
      </c>
      <c r="I76" s="185">
        <f t="shared" si="32"/>
        <v>0</v>
      </c>
      <c r="J76" s="185">
        <f t="shared" si="33"/>
        <v>0</v>
      </c>
      <c r="K76" s="185">
        <f t="shared" si="34"/>
        <v>0</v>
      </c>
      <c r="M76" s="686" t="s">
        <v>304</v>
      </c>
      <c r="N76" s="685" t="s">
        <v>296</v>
      </c>
      <c r="O76" s="1154">
        <v>15.360997874935169</v>
      </c>
      <c r="P76" s="1154">
        <v>48.235957831702187</v>
      </c>
      <c r="Q76" s="1154">
        <v>14.098779550267528</v>
      </c>
      <c r="R76" s="1154">
        <v>63.89877955026752</v>
      </c>
      <c r="S76" s="1154">
        <v>0</v>
      </c>
      <c r="T76" s="1154">
        <v>0</v>
      </c>
      <c r="U76" s="1154">
        <v>0</v>
      </c>
      <c r="V76" s="1154">
        <v>0</v>
      </c>
      <c r="X76" s="256"/>
      <c r="Y76" s="256"/>
      <c r="Z76" s="775"/>
      <c r="AA76" s="256"/>
      <c r="AB76" s="690"/>
      <c r="AC76" s="690"/>
      <c r="AD76" s="690"/>
      <c r="AE76" s="690"/>
      <c r="AF76" s="690"/>
      <c r="AG76" s="690"/>
      <c r="AH76" s="690"/>
      <c r="AI76" s="690"/>
      <c r="AK76" s="924"/>
      <c r="AL76" s="924"/>
      <c r="AM76" s="924"/>
      <c r="AN76" s="924"/>
      <c r="AO76" s="924"/>
      <c r="AP76" s="924"/>
      <c r="AQ76" s="924"/>
      <c r="AR76" s="924"/>
    </row>
    <row r="77" spans="2:44" x14ac:dyDescent="0.3">
      <c r="B77" s="686" t="s">
        <v>54</v>
      </c>
      <c r="C77" s="99"/>
      <c r="D77" s="185">
        <f t="shared" si="27"/>
        <v>0</v>
      </c>
      <c r="E77" s="185">
        <f t="shared" si="28"/>
        <v>0</v>
      </c>
      <c r="F77" s="185">
        <f t="shared" si="29"/>
        <v>0</v>
      </c>
      <c r="G77" s="185">
        <f t="shared" si="30"/>
        <v>0</v>
      </c>
      <c r="H77" s="185">
        <f t="shared" si="31"/>
        <v>0</v>
      </c>
      <c r="I77" s="185">
        <f t="shared" si="32"/>
        <v>0</v>
      </c>
      <c r="J77" s="185">
        <f t="shared" si="33"/>
        <v>0</v>
      </c>
      <c r="K77" s="185">
        <f t="shared" si="34"/>
        <v>0</v>
      </c>
      <c r="M77" s="686" t="s">
        <v>54</v>
      </c>
      <c r="N77" s="685"/>
      <c r="O77" s="690">
        <v>0</v>
      </c>
      <c r="P77" s="690">
        <v>0</v>
      </c>
      <c r="Q77" s="690">
        <v>0</v>
      </c>
      <c r="R77" s="690">
        <v>0</v>
      </c>
      <c r="S77" s="690">
        <v>0</v>
      </c>
      <c r="T77" s="690">
        <v>0</v>
      </c>
      <c r="U77" s="690">
        <v>0</v>
      </c>
      <c r="V77" s="690">
        <v>0</v>
      </c>
      <c r="X77" s="256"/>
      <c r="Y77" s="256"/>
      <c r="Z77" s="775"/>
      <c r="AA77" s="256"/>
      <c r="AB77" s="256"/>
      <c r="AC77" s="256"/>
      <c r="AD77" s="257"/>
    </row>
    <row r="78" spans="2:44" x14ac:dyDescent="0.3">
      <c r="B78" s="687" t="s">
        <v>305</v>
      </c>
      <c r="C78" s="99" t="s">
        <v>306</v>
      </c>
      <c r="D78" s="185">
        <f t="shared" si="27"/>
        <v>8604.9303835331102</v>
      </c>
      <c r="E78" s="185">
        <f t="shared" si="28"/>
        <v>44458.806981587739</v>
      </c>
      <c r="F78" s="185">
        <f t="shared" si="29"/>
        <v>57366.202556887394</v>
      </c>
      <c r="G78" s="185">
        <f t="shared" si="30"/>
        <v>75436.556362306932</v>
      </c>
      <c r="H78" s="185">
        <f t="shared" si="31"/>
        <v>86049.303835331099</v>
      </c>
      <c r="I78" s="185">
        <f t="shared" si="32"/>
        <v>92933.248142157594</v>
      </c>
      <c r="J78" s="185">
        <f t="shared" si="33"/>
        <v>100390.85447455297</v>
      </c>
      <c r="K78" s="185">
        <f t="shared" si="34"/>
        <v>106356.93954046923</v>
      </c>
      <c r="M78" s="687" t="s">
        <v>305</v>
      </c>
      <c r="N78" s="685" t="s">
        <v>306</v>
      </c>
      <c r="O78" s="690">
        <v>8604.9303835331102</v>
      </c>
      <c r="P78" s="690">
        <v>44458.806981587739</v>
      </c>
      <c r="Q78" s="690">
        <v>57366.202556887394</v>
      </c>
      <c r="R78" s="690">
        <v>75436.556362306932</v>
      </c>
      <c r="S78" s="690">
        <v>86049.303835331099</v>
      </c>
      <c r="T78" s="690">
        <v>92933.248142157594</v>
      </c>
      <c r="U78" s="690">
        <v>100390.85447455297</v>
      </c>
      <c r="V78" s="690">
        <v>106356.93954046923</v>
      </c>
      <c r="X78" s="256"/>
      <c r="Y78" s="256"/>
      <c r="Z78" s="775"/>
      <c r="AA78" s="256"/>
      <c r="AB78" s="256"/>
      <c r="AC78" s="256"/>
      <c r="AD78" s="257"/>
    </row>
    <row r="79" spans="2:44" x14ac:dyDescent="0.3">
      <c r="B79" s="687" t="s">
        <v>307</v>
      </c>
      <c r="C79" s="99" t="s">
        <v>75</v>
      </c>
      <c r="D79" s="185">
        <f t="shared" si="27"/>
        <v>1080</v>
      </c>
      <c r="E79" s="185">
        <f t="shared" si="28"/>
        <v>8280</v>
      </c>
      <c r="F79" s="185">
        <f t="shared" si="29"/>
        <v>9900</v>
      </c>
      <c r="G79" s="185">
        <f t="shared" si="30"/>
        <v>15408</v>
      </c>
      <c r="H79" s="185">
        <f t="shared" si="31"/>
        <v>16740</v>
      </c>
      <c r="I79" s="185">
        <f t="shared" si="32"/>
        <v>17604</v>
      </c>
      <c r="J79" s="185">
        <f t="shared" si="33"/>
        <v>18540</v>
      </c>
      <c r="K79" s="185">
        <f t="shared" si="34"/>
        <v>19288.800000000003</v>
      </c>
      <c r="M79" s="687" t="s">
        <v>307</v>
      </c>
      <c r="N79" s="685" t="s">
        <v>75</v>
      </c>
      <c r="O79" s="690">
        <v>1080</v>
      </c>
      <c r="P79" s="690">
        <v>8280</v>
      </c>
      <c r="Q79" s="690">
        <v>9900</v>
      </c>
      <c r="R79" s="690">
        <v>15408</v>
      </c>
      <c r="S79" s="690">
        <v>16740</v>
      </c>
      <c r="T79" s="690">
        <v>17604</v>
      </c>
      <c r="U79" s="690">
        <v>18540</v>
      </c>
      <c r="V79" s="690">
        <v>19288.800000000003</v>
      </c>
      <c r="X79" s="256"/>
      <c r="Y79" s="256"/>
      <c r="Z79" s="775"/>
      <c r="AA79" s="256"/>
      <c r="AB79" s="256"/>
      <c r="AC79" s="256"/>
      <c r="AD79" s="257"/>
    </row>
    <row r="80" spans="2:44" x14ac:dyDescent="0.3">
      <c r="B80" s="686" t="s">
        <v>308</v>
      </c>
      <c r="C80" s="685" t="s">
        <v>388</v>
      </c>
      <c r="D80" s="185">
        <f t="shared" si="27"/>
        <v>19.440000000000001</v>
      </c>
      <c r="E80" s="185">
        <f t="shared" si="28"/>
        <v>289.44</v>
      </c>
      <c r="F80" s="185">
        <f t="shared" si="29"/>
        <v>318.60000000000002</v>
      </c>
      <c r="G80" s="185">
        <f t="shared" si="30"/>
        <v>586.22400000000005</v>
      </c>
      <c r="H80" s="185">
        <f t="shared" si="31"/>
        <v>610.20000000000005</v>
      </c>
      <c r="I80" s="185">
        <f t="shared" si="32"/>
        <v>625.75199999999995</v>
      </c>
      <c r="J80" s="185">
        <f t="shared" si="33"/>
        <v>642.6</v>
      </c>
      <c r="K80" s="185">
        <f t="shared" si="34"/>
        <v>656.0784000000001</v>
      </c>
      <c r="M80" s="686" t="s">
        <v>308</v>
      </c>
      <c r="N80" s="685" t="s">
        <v>388</v>
      </c>
      <c r="O80" s="690">
        <v>19.440000000000001</v>
      </c>
      <c r="P80" s="690">
        <v>289.44</v>
      </c>
      <c r="Q80" s="690">
        <v>318.60000000000002</v>
      </c>
      <c r="R80" s="690">
        <v>586.22400000000005</v>
      </c>
      <c r="S80" s="690">
        <v>610.20000000000005</v>
      </c>
      <c r="T80" s="690">
        <v>625.75199999999995</v>
      </c>
      <c r="U80" s="690">
        <v>642.6</v>
      </c>
      <c r="V80" s="690">
        <v>656.0784000000001</v>
      </c>
      <c r="X80" s="256"/>
      <c r="Y80" s="256"/>
      <c r="Z80" s="775"/>
      <c r="AA80" s="256"/>
      <c r="AB80" s="256"/>
      <c r="AC80" s="256"/>
      <c r="AD80" s="257"/>
    </row>
    <row r="81" spans="2:30" x14ac:dyDescent="0.3">
      <c r="X81" s="256"/>
      <c r="Y81" s="256"/>
      <c r="Z81" s="775"/>
      <c r="AA81" s="256"/>
      <c r="AB81" s="256"/>
      <c r="AC81" s="256"/>
      <c r="AD81" s="257"/>
    </row>
    <row r="82" spans="2:30" x14ac:dyDescent="0.3">
      <c r="X82" s="256"/>
      <c r="Y82" s="256"/>
      <c r="Z82" s="775"/>
      <c r="AA82" s="256"/>
      <c r="AB82" s="256"/>
      <c r="AC82" s="256"/>
      <c r="AD82" s="257"/>
    </row>
    <row r="83" spans="2:30" ht="14.4" x14ac:dyDescent="0.3">
      <c r="B83" s="262" t="s">
        <v>459</v>
      </c>
    </row>
    <row r="84" spans="2:30" ht="13.5" customHeight="1" x14ac:dyDescent="0.3">
      <c r="B84" s="179" t="s">
        <v>913</v>
      </c>
      <c r="C84" s="180"/>
      <c r="D84" s="180"/>
      <c r="E84" s="180"/>
      <c r="F84" s="180"/>
      <c r="G84" s="180"/>
      <c r="H84" s="180"/>
      <c r="I84" s="180"/>
      <c r="J84" s="180"/>
      <c r="K84" s="180"/>
      <c r="X84" s="275"/>
      <c r="Y84" s="275"/>
      <c r="Z84" s="776"/>
    </row>
    <row r="85" spans="2:30" x14ac:dyDescent="0.3">
      <c r="B85" s="183"/>
      <c r="C85" s="253" t="s">
        <v>318</v>
      </c>
      <c r="D85" s="183">
        <v>2015</v>
      </c>
      <c r="E85" s="183">
        <v>2020</v>
      </c>
      <c r="F85" s="183">
        <v>2025</v>
      </c>
      <c r="G85" s="183">
        <v>2030</v>
      </c>
      <c r="H85" s="183">
        <v>2035</v>
      </c>
      <c r="I85" s="183">
        <v>2040</v>
      </c>
      <c r="J85" s="183">
        <v>2045</v>
      </c>
      <c r="K85" s="183">
        <v>2050</v>
      </c>
      <c r="M85" s="275"/>
      <c r="N85" s="275"/>
      <c r="X85" s="275"/>
      <c r="Y85" s="275"/>
      <c r="Z85" s="776"/>
    </row>
    <row r="86" spans="2:30" x14ac:dyDescent="0.3">
      <c r="B86" s="183"/>
      <c r="C86" s="296">
        <v>1</v>
      </c>
      <c r="D86" s="297">
        <v>2</v>
      </c>
      <c r="E86" s="296">
        <v>3</v>
      </c>
      <c r="F86" s="297">
        <v>4</v>
      </c>
      <c r="G86" s="296">
        <v>5</v>
      </c>
      <c r="H86" s="297">
        <v>6</v>
      </c>
      <c r="I86" s="296">
        <v>7</v>
      </c>
      <c r="J86" s="297">
        <v>8</v>
      </c>
      <c r="K86" s="296">
        <v>9</v>
      </c>
      <c r="M86" s="275"/>
      <c r="N86" s="275"/>
      <c r="X86" s="275"/>
      <c r="Y86" s="275"/>
      <c r="Z86" s="776"/>
    </row>
    <row r="87" spans="2:30" x14ac:dyDescent="0.3">
      <c r="B87" s="191" t="s">
        <v>231</v>
      </c>
      <c r="C87" s="183">
        <v>1</v>
      </c>
      <c r="D87" s="185">
        <f>SUMPRODUCT(D$33:D$52,$N$6:$N$25)</f>
        <v>2.3430573598163589</v>
      </c>
      <c r="E87" s="185">
        <f t="shared" ref="E87:K87" si="35">SUMPRODUCT(E$33:E$52,$N$6:$N$25)</f>
        <v>4.6861147196327178</v>
      </c>
      <c r="F87" s="185">
        <f t="shared" si="35"/>
        <v>11.595095968038873</v>
      </c>
      <c r="G87" s="185">
        <f t="shared" si="35"/>
        <v>18.504077216445037</v>
      </c>
      <c r="H87" s="185">
        <f t="shared" si="35"/>
        <v>18.956697523621393</v>
      </c>
      <c r="I87" s="185">
        <f t="shared" si="35"/>
        <v>19.40931783079774</v>
      </c>
      <c r="J87" s="185">
        <f t="shared" si="35"/>
        <v>19.63562798438592</v>
      </c>
      <c r="K87" s="185">
        <f t="shared" si="35"/>
        <v>20.314558445150443</v>
      </c>
      <c r="M87" s="300"/>
      <c r="N87" s="275"/>
      <c r="X87" s="276"/>
      <c r="Y87" s="277"/>
      <c r="Z87" s="776"/>
    </row>
    <row r="88" spans="2:30" x14ac:dyDescent="0.3">
      <c r="B88" s="191" t="s">
        <v>209</v>
      </c>
      <c r="C88" s="183">
        <v>2</v>
      </c>
      <c r="D88" s="185"/>
      <c r="E88" s="185"/>
      <c r="F88" s="185"/>
      <c r="G88" s="185"/>
      <c r="H88" s="185"/>
      <c r="I88" s="185"/>
      <c r="J88" s="185"/>
      <c r="K88" s="185"/>
      <c r="M88" s="300"/>
      <c r="N88" s="275"/>
      <c r="X88" s="276"/>
      <c r="Y88" s="277"/>
      <c r="Z88" s="776"/>
    </row>
    <row r="89" spans="2:30" x14ac:dyDescent="0.3">
      <c r="B89" s="191" t="s">
        <v>133</v>
      </c>
      <c r="C89" s="183">
        <v>23</v>
      </c>
      <c r="D89" s="185">
        <f t="shared" ref="D89:K89" si="36">SUMPRODUCT(D$33:D$52,$O$6:$O$25)</f>
        <v>11.99446917068844</v>
      </c>
      <c r="E89" s="185">
        <f t="shared" si="36"/>
        <v>26.984851931174216</v>
      </c>
      <c r="F89" s="185">
        <f t="shared" si="36"/>
        <v>31.580084799904089</v>
      </c>
      <c r="G89" s="185">
        <f t="shared" si="36"/>
        <v>38.592960503173508</v>
      </c>
      <c r="H89" s="185">
        <f t="shared" si="36"/>
        <v>33.433934297424564</v>
      </c>
      <c r="I89" s="185">
        <f t="shared" si="36"/>
        <v>33.893360925009581</v>
      </c>
      <c r="J89" s="185">
        <f t="shared" si="36"/>
        <v>33.926134672502464</v>
      </c>
      <c r="K89" s="185">
        <f t="shared" si="36"/>
        <v>35.009153746479264</v>
      </c>
      <c r="M89" s="300"/>
      <c r="N89" s="275"/>
      <c r="X89" s="276"/>
      <c r="Y89" s="277"/>
      <c r="Z89" s="776"/>
    </row>
    <row r="90" spans="2:30" x14ac:dyDescent="0.3">
      <c r="B90" s="191" t="s">
        <v>285</v>
      </c>
      <c r="C90" s="183">
        <v>24</v>
      </c>
      <c r="D90" s="185">
        <f t="shared" ref="D90:K90" si="37">SUMPRODUCT(D$33:D$52,$P$6:$P$25)</f>
        <v>1.1891456525383777</v>
      </c>
      <c r="E90" s="185">
        <f t="shared" si="37"/>
        <v>7.8976091132959336</v>
      </c>
      <c r="F90" s="185">
        <f t="shared" si="37"/>
        <v>11.404046964930638</v>
      </c>
      <c r="G90" s="185">
        <f t="shared" si="37"/>
        <v>14.910484816565342</v>
      </c>
      <c r="H90" s="185">
        <f t="shared" si="37"/>
        <v>15.140198130357852</v>
      </c>
      <c r="I90" s="185">
        <f t="shared" si="37"/>
        <v>15.369911444150363</v>
      </c>
      <c r="J90" s="185">
        <f t="shared" si="37"/>
        <v>15.484768101046619</v>
      </c>
      <c r="K90" s="185">
        <f t="shared" si="37"/>
        <v>15.82933807173538</v>
      </c>
      <c r="M90" s="300"/>
      <c r="N90" s="275"/>
      <c r="X90" s="276"/>
      <c r="Y90" s="277"/>
      <c r="Z90" s="776"/>
    </row>
    <row r="91" spans="2:30" x14ac:dyDescent="0.3">
      <c r="B91" s="191" t="s">
        <v>315</v>
      </c>
      <c r="C91" s="183">
        <v>26</v>
      </c>
      <c r="D91" s="185">
        <f t="shared" ref="D91:K91" si="38">SUMPRODUCT(D$33:D$52,$Q$6:$Q$25)</f>
        <v>1.4534002419913505</v>
      </c>
      <c r="E91" s="185">
        <f t="shared" si="38"/>
        <v>9.652633360695031</v>
      </c>
      <c r="F91" s="185">
        <f t="shared" si="38"/>
        <v>13.938279623804114</v>
      </c>
      <c r="G91" s="185">
        <f t="shared" si="38"/>
        <v>18.223925886913197</v>
      </c>
      <c r="H91" s="185">
        <f t="shared" si="38"/>
        <v>18.504686603770711</v>
      </c>
      <c r="I91" s="185">
        <f t="shared" si="38"/>
        <v>18.785447320628222</v>
      </c>
      <c r="J91" s="185">
        <f t="shared" si="38"/>
        <v>18.925827679056979</v>
      </c>
      <c r="K91" s="185">
        <f t="shared" si="38"/>
        <v>19.346968754343244</v>
      </c>
      <c r="M91" s="300"/>
      <c r="N91" s="275"/>
      <c r="X91" s="276"/>
      <c r="Y91" s="277"/>
      <c r="Z91" s="776"/>
    </row>
    <row r="92" spans="2:30" x14ac:dyDescent="0.3">
      <c r="B92" s="191" t="s">
        <v>38</v>
      </c>
      <c r="C92" s="183">
        <v>29</v>
      </c>
      <c r="D92" s="185">
        <f t="shared" ref="D92:K92" si="39">SUMPRODUCT(D$33:D$52,$R$6:$R$25)</f>
        <v>17.383016306567747</v>
      </c>
      <c r="E92" s="185">
        <f t="shared" si="39"/>
        <v>30.292687951208915</v>
      </c>
      <c r="F92" s="185">
        <f t="shared" si="39"/>
        <v>18.895323535973326</v>
      </c>
      <c r="G92" s="185">
        <f t="shared" si="39"/>
        <v>21.232948770396469</v>
      </c>
      <c r="H92" s="185">
        <f t="shared" si="39"/>
        <v>11.59079450002341</v>
      </c>
      <c r="I92" s="185">
        <f t="shared" si="39"/>
        <v>11.743936709218412</v>
      </c>
      <c r="J92" s="185">
        <f t="shared" si="39"/>
        <v>11.531786424608432</v>
      </c>
      <c r="K92" s="185">
        <f t="shared" si="39"/>
        <v>12.33894251681591</v>
      </c>
      <c r="M92" s="300"/>
      <c r="N92" s="275"/>
      <c r="X92" s="276"/>
      <c r="Y92" s="277"/>
      <c r="Z92" s="776"/>
    </row>
    <row r="93" spans="2:30" x14ac:dyDescent="0.3">
      <c r="B93" s="191" t="s">
        <v>136</v>
      </c>
      <c r="C93" s="183">
        <v>30</v>
      </c>
      <c r="D93" s="185">
        <f t="shared" ref="D93:K93" si="40">SUMPRODUCT(D$33:D$52,$S$6:$S$25)</f>
        <v>0</v>
      </c>
      <c r="E93" s="185">
        <f t="shared" si="40"/>
        <v>0</v>
      </c>
      <c r="F93" s="185">
        <f t="shared" si="40"/>
        <v>0</v>
      </c>
      <c r="G93" s="185">
        <f t="shared" si="40"/>
        <v>0</v>
      </c>
      <c r="H93" s="185">
        <f t="shared" si="40"/>
        <v>0</v>
      </c>
      <c r="I93" s="185">
        <f t="shared" si="40"/>
        <v>0</v>
      </c>
      <c r="J93" s="185">
        <f t="shared" si="40"/>
        <v>0</v>
      </c>
      <c r="K93" s="185">
        <f t="shared" si="40"/>
        <v>0</v>
      </c>
      <c r="M93" s="300"/>
      <c r="N93" s="275"/>
      <c r="X93" s="276"/>
      <c r="Y93" s="277"/>
      <c r="Z93" s="776"/>
    </row>
    <row r="94" spans="2:30" x14ac:dyDescent="0.3">
      <c r="B94" s="191" t="s">
        <v>360</v>
      </c>
      <c r="C94" s="183">
        <v>31</v>
      </c>
      <c r="D94" s="185">
        <f t="shared" ref="D94:K94" si="41">SUMPRODUCT(D$33:D$52,$T$6:$T$25)</f>
        <v>0</v>
      </c>
      <c r="E94" s="185">
        <f t="shared" si="41"/>
        <v>0</v>
      </c>
      <c r="F94" s="185">
        <f t="shared" si="41"/>
        <v>0</v>
      </c>
      <c r="G94" s="185">
        <f t="shared" si="41"/>
        <v>0</v>
      </c>
      <c r="H94" s="185">
        <f t="shared" si="41"/>
        <v>0</v>
      </c>
      <c r="I94" s="185">
        <f t="shared" si="41"/>
        <v>0</v>
      </c>
      <c r="J94" s="185">
        <f t="shared" si="41"/>
        <v>0</v>
      </c>
      <c r="K94" s="185">
        <f t="shared" si="41"/>
        <v>0</v>
      </c>
      <c r="M94" s="300"/>
      <c r="N94" s="275"/>
      <c r="X94" s="276"/>
      <c r="Y94" s="277"/>
      <c r="Z94" s="776"/>
    </row>
    <row r="95" spans="2:30" x14ac:dyDescent="0.3">
      <c r="B95" s="191" t="s">
        <v>361</v>
      </c>
      <c r="C95" s="183">
        <v>32</v>
      </c>
      <c r="D95" s="185">
        <f t="shared" ref="D95:K95" si="42">SUMPRODUCT(D$33:D$52,$U$6:$U$25)</f>
        <v>0</v>
      </c>
      <c r="E95" s="185">
        <f t="shared" si="42"/>
        <v>0</v>
      </c>
      <c r="F95" s="185">
        <f t="shared" si="42"/>
        <v>0</v>
      </c>
      <c r="G95" s="185">
        <f t="shared" si="42"/>
        <v>0</v>
      </c>
      <c r="H95" s="185">
        <f t="shared" si="42"/>
        <v>0</v>
      </c>
      <c r="I95" s="185">
        <f t="shared" si="42"/>
        <v>0</v>
      </c>
      <c r="J95" s="185">
        <f t="shared" si="42"/>
        <v>0</v>
      </c>
      <c r="K95" s="185">
        <f t="shared" si="42"/>
        <v>0</v>
      </c>
      <c r="M95" s="300"/>
      <c r="N95" s="275"/>
      <c r="X95" s="276"/>
      <c r="Y95" s="277"/>
      <c r="Z95" s="776"/>
    </row>
    <row r="96" spans="2:30" x14ac:dyDescent="0.3">
      <c r="B96" s="191" t="s">
        <v>362</v>
      </c>
      <c r="C96" s="183">
        <v>33</v>
      </c>
      <c r="D96" s="185">
        <f t="shared" ref="D96:K96" si="43">SUMPRODUCT(D$33:D$52,$V$6:$V$25)</f>
        <v>1.3565068925252604</v>
      </c>
      <c r="E96" s="185">
        <f t="shared" si="43"/>
        <v>3.6421918672423015</v>
      </c>
      <c r="F96" s="185">
        <f t="shared" si="43"/>
        <v>7.6421283794774446</v>
      </c>
      <c r="G96" s="185">
        <f t="shared" si="43"/>
        <v>11.642064891712593</v>
      </c>
      <c r="H96" s="185">
        <f t="shared" si="43"/>
        <v>11.904108227446271</v>
      </c>
      <c r="I96" s="185">
        <f t="shared" si="43"/>
        <v>12.166151563179946</v>
      </c>
      <c r="J96" s="185">
        <f t="shared" si="43"/>
        <v>12.297173231046788</v>
      </c>
      <c r="K96" s="185">
        <f t="shared" si="43"/>
        <v>12.690238234647301</v>
      </c>
      <c r="M96" s="300"/>
      <c r="N96" s="275"/>
      <c r="X96" s="276"/>
      <c r="Y96" s="277"/>
      <c r="Z96" s="776"/>
    </row>
    <row r="97" spans="2:26" x14ac:dyDescent="0.3">
      <c r="B97" s="191" t="s">
        <v>511</v>
      </c>
      <c r="C97" s="183">
        <v>55</v>
      </c>
      <c r="D97" s="185">
        <f t="shared" ref="D97:K97" si="44">SUMPRODUCT(D$33:D$52,$W$6:$W$25)</f>
        <v>0</v>
      </c>
      <c r="E97" s="185">
        <f t="shared" si="44"/>
        <v>0</v>
      </c>
      <c r="F97" s="185">
        <f t="shared" si="44"/>
        <v>0</v>
      </c>
      <c r="G97" s="185">
        <f t="shared" si="44"/>
        <v>0</v>
      </c>
      <c r="H97" s="185">
        <f t="shared" si="44"/>
        <v>0</v>
      </c>
      <c r="I97" s="185">
        <f t="shared" si="44"/>
        <v>0</v>
      </c>
      <c r="J97" s="185">
        <f t="shared" si="44"/>
        <v>0</v>
      </c>
      <c r="K97" s="185">
        <f t="shared" si="44"/>
        <v>0</v>
      </c>
      <c r="M97" s="300"/>
      <c r="N97" s="275"/>
      <c r="X97" s="276"/>
      <c r="Y97" s="277"/>
      <c r="Z97" s="776"/>
    </row>
    <row r="98" spans="2:26" x14ac:dyDescent="0.3">
      <c r="B98" s="259" t="s">
        <v>204</v>
      </c>
      <c r="C98" s="251">
        <v>101</v>
      </c>
      <c r="D98" s="185">
        <f>D41</f>
        <v>2.869215810844592</v>
      </c>
      <c r="E98" s="185">
        <f t="shared" ref="E98:K98" si="45">E41</f>
        <v>60.258806673041818</v>
      </c>
      <c r="F98" s="185">
        <f t="shared" si="45"/>
        <v>29.744632520872322</v>
      </c>
      <c r="G98" s="185">
        <f t="shared" si="45"/>
        <v>44.401208133219711</v>
      </c>
      <c r="H98" s="185">
        <f t="shared" si="45"/>
        <v>52.650510106426921</v>
      </c>
      <c r="I98" s="185">
        <f t="shared" si="45"/>
        <v>61.372785625530426</v>
      </c>
      <c r="J98" s="185">
        <f t="shared" si="45"/>
        <v>70.164925655953624</v>
      </c>
      <c r="K98" s="185">
        <f t="shared" si="45"/>
        <v>80.489802964442191</v>
      </c>
      <c r="M98" s="300"/>
      <c r="N98" s="275"/>
      <c r="X98" s="276"/>
      <c r="Y98" s="277"/>
      <c r="Z98" s="776"/>
    </row>
    <row r="99" spans="2:26" x14ac:dyDescent="0.3">
      <c r="B99" s="259" t="s">
        <v>364</v>
      </c>
      <c r="C99" s="251">
        <v>102</v>
      </c>
      <c r="D99" s="185">
        <f>D50</f>
        <v>7.8799836750046044</v>
      </c>
      <c r="E99" s="185">
        <f t="shared" ref="E99:K99" si="46">E50</f>
        <v>41.940424315754953</v>
      </c>
      <c r="F99" s="185">
        <f t="shared" si="46"/>
        <v>1.2986806857906308</v>
      </c>
      <c r="G99" s="185">
        <f t="shared" si="46"/>
        <v>1.2986806857906319</v>
      </c>
      <c r="H99" s="185">
        <f t="shared" si="46"/>
        <v>0</v>
      </c>
      <c r="I99" s="185">
        <f t="shared" si="46"/>
        <v>0</v>
      </c>
      <c r="J99" s="185">
        <f t="shared" si="46"/>
        <v>0</v>
      </c>
      <c r="K99" s="185">
        <f t="shared" si="46"/>
        <v>0</v>
      </c>
      <c r="M99" s="300"/>
      <c r="N99" s="275"/>
      <c r="X99" s="275"/>
      <c r="Y99" s="275"/>
      <c r="Z99" s="776"/>
    </row>
    <row r="100" spans="2:26" x14ac:dyDescent="0.3">
      <c r="B100" s="259" t="s">
        <v>457</v>
      </c>
      <c r="C100" s="251">
        <v>103</v>
      </c>
      <c r="D100" s="185">
        <f>-SUMPRODUCT(D$33:D$52,$X$6:$X$25)+D49-D36</f>
        <v>-35.514082535325691</v>
      </c>
      <c r="E100" s="185">
        <f t="shared" ref="E100:K100" si="47">-SUMPRODUCT(E$33:E$52,$X$6:$X$25)+E49-E36</f>
        <v>-48.159268032216815</v>
      </c>
      <c r="F100" s="185">
        <f t="shared" si="47"/>
        <v>-1.2370117685154014</v>
      </c>
      <c r="G100" s="185">
        <f t="shared" si="47"/>
        <v>5.7314791231720363</v>
      </c>
      <c r="H100" s="185">
        <f>-SUMPRODUCT(H$33:H$52,$X$6:$X$25)+H49-H36</f>
        <v>39.656218086636443</v>
      </c>
      <c r="I100" s="185">
        <f t="shared" si="47"/>
        <v>44.932657116679721</v>
      </c>
      <c r="J100" s="185">
        <f t="shared" si="47"/>
        <v>50.06058708080873</v>
      </c>
      <c r="K100" s="185">
        <f t="shared" si="47"/>
        <v>55.944451363675412</v>
      </c>
      <c r="M100" s="300"/>
      <c r="N100" s="275"/>
      <c r="X100" s="275"/>
      <c r="Y100" s="275"/>
      <c r="Z100" s="776"/>
    </row>
    <row r="101" spans="2:26" x14ac:dyDescent="0.3">
      <c r="B101" s="260" t="s">
        <v>110</v>
      </c>
      <c r="C101" s="252">
        <v>104</v>
      </c>
      <c r="D101" s="185"/>
      <c r="E101" s="185"/>
      <c r="F101" s="185"/>
      <c r="G101" s="185"/>
      <c r="H101" s="185"/>
      <c r="I101" s="185"/>
      <c r="J101" s="185"/>
      <c r="K101" s="185"/>
      <c r="M101" s="300"/>
      <c r="N101" s="275"/>
    </row>
    <row r="102" spans="2:26" x14ac:dyDescent="0.3">
      <c r="B102" s="260" t="s">
        <v>53</v>
      </c>
      <c r="C102" s="252">
        <v>105</v>
      </c>
      <c r="D102" s="185"/>
      <c r="E102" s="185"/>
      <c r="F102" s="185"/>
      <c r="G102" s="185"/>
      <c r="H102" s="185"/>
      <c r="I102" s="185"/>
      <c r="J102" s="185"/>
      <c r="K102" s="185"/>
      <c r="M102" s="300"/>
      <c r="N102" s="275"/>
    </row>
    <row r="103" spans="2:26" x14ac:dyDescent="0.3">
      <c r="B103" s="259" t="s">
        <v>666</v>
      </c>
      <c r="C103" s="251">
        <v>106</v>
      </c>
      <c r="D103" s="185">
        <f>D39</f>
        <v>2.8187156208317101</v>
      </c>
      <c r="E103" s="185">
        <f t="shared" ref="E103:K103" si="48">E39</f>
        <v>10.03743124166342</v>
      </c>
      <c r="F103" s="185">
        <f t="shared" si="48"/>
        <v>18.348987630723457</v>
      </c>
      <c r="G103" s="185">
        <f t="shared" si="48"/>
        <v>26.660544019783501</v>
      </c>
      <c r="H103" s="185">
        <f t="shared" si="48"/>
        <v>27.205049652476859</v>
      </c>
      <c r="I103" s="185">
        <f t="shared" si="48"/>
        <v>27.749555285170217</v>
      </c>
      <c r="J103" s="185">
        <f t="shared" si="48"/>
        <v>28.021808101516896</v>
      </c>
      <c r="K103" s="185">
        <f t="shared" si="48"/>
        <v>28.838566550556926</v>
      </c>
      <c r="L103" s="628"/>
      <c r="M103" s="300"/>
      <c r="N103" s="275"/>
    </row>
    <row r="104" spans="2:26" x14ac:dyDescent="0.3">
      <c r="B104" s="183" t="s">
        <v>321</v>
      </c>
      <c r="C104" s="253" t="s">
        <v>293</v>
      </c>
      <c r="D104" s="99"/>
      <c r="E104" s="99"/>
      <c r="F104" s="99"/>
      <c r="G104" s="99"/>
      <c r="H104" s="99"/>
      <c r="I104" s="99"/>
      <c r="J104" s="99"/>
      <c r="K104" s="99"/>
      <c r="M104" s="345"/>
      <c r="N104" s="275"/>
    </row>
    <row r="105" spans="2:26" x14ac:dyDescent="0.3">
      <c r="B105" s="191" t="s">
        <v>650</v>
      </c>
      <c r="C105" s="253" t="s">
        <v>75</v>
      </c>
      <c r="D105" s="103">
        <f t="shared" ref="D105:K105" si="49">D33</f>
        <v>224.18225798315322</v>
      </c>
      <c r="E105" s="103">
        <f t="shared" si="49"/>
        <v>1277.2645159663064</v>
      </c>
      <c r="F105" s="103">
        <f t="shared" si="49"/>
        <v>1938.3115066180212</v>
      </c>
      <c r="G105" s="103">
        <f t="shared" si="49"/>
        <v>2599.3584972697372</v>
      </c>
      <c r="H105" s="103">
        <f t="shared" si="49"/>
        <v>2642.6649242535718</v>
      </c>
      <c r="I105" s="103">
        <f t="shared" si="49"/>
        <v>2685.971351237406</v>
      </c>
      <c r="J105" s="103">
        <f t="shared" si="49"/>
        <v>2707.6245647293235</v>
      </c>
      <c r="K105" s="103">
        <f t="shared" si="49"/>
        <v>2772.5842052050748</v>
      </c>
      <c r="M105" s="300"/>
      <c r="N105" s="275"/>
    </row>
    <row r="106" spans="2:26" x14ac:dyDescent="0.3">
      <c r="B106" s="279" t="s">
        <v>323</v>
      </c>
      <c r="C106" s="253" t="s">
        <v>75</v>
      </c>
      <c r="D106" s="103">
        <f>D105*($C$144*D145+$C$147*D148)</f>
        <v>85.749713678556091</v>
      </c>
      <c r="E106" s="103">
        <f t="shared" ref="E106:K106" si="50">E105*($C$144*E145+$C$147*E148)</f>
        <v>413.83370317308322</v>
      </c>
      <c r="F106" s="103">
        <f t="shared" si="50"/>
        <v>532.0665085666468</v>
      </c>
      <c r="G106" s="103">
        <f t="shared" si="50"/>
        <v>526.37009569712177</v>
      </c>
      <c r="H106" s="103">
        <f t="shared" si="50"/>
        <v>392.43574125165537</v>
      </c>
      <c r="I106" s="103">
        <f t="shared" si="50"/>
        <v>302.17177701420815</v>
      </c>
      <c r="J106" s="103">
        <f t="shared" si="50"/>
        <v>158.3960370366654</v>
      </c>
      <c r="K106" s="103">
        <f t="shared" si="50"/>
        <v>124.76628923422837</v>
      </c>
      <c r="M106" s="346"/>
      <c r="N106" s="275"/>
    </row>
    <row r="107" spans="2:26" x14ac:dyDescent="0.3">
      <c r="B107" s="279" t="s">
        <v>324</v>
      </c>
      <c r="C107" s="253" t="s">
        <v>75</v>
      </c>
      <c r="D107" s="103">
        <f>D105-D106</f>
        <v>138.43254430459712</v>
      </c>
      <c r="E107" s="103">
        <f t="shared" ref="E107" si="51">E105-E106</f>
        <v>863.43081279322314</v>
      </c>
      <c r="F107" s="103">
        <f t="shared" ref="F107" si="52">F105-F106</f>
        <v>1406.2449980513743</v>
      </c>
      <c r="G107" s="103">
        <f t="shared" ref="G107" si="53">G105-G106</f>
        <v>2072.9884015726157</v>
      </c>
      <c r="H107" s="103">
        <f t="shared" ref="H107" si="54">H105-H106</f>
        <v>2250.2291830019167</v>
      </c>
      <c r="I107" s="103">
        <f t="shared" ref="I107" si="55">I105-I106</f>
        <v>2383.7995742231979</v>
      </c>
      <c r="J107" s="103">
        <f t="shared" ref="J107" si="56">J105-J106</f>
        <v>2549.2285276926582</v>
      </c>
      <c r="K107" s="103">
        <f t="shared" ref="K107" si="57">K105-K106</f>
        <v>2647.8179159708466</v>
      </c>
      <c r="M107" s="346"/>
      <c r="N107" s="275"/>
    </row>
    <row r="108" spans="2:26" x14ac:dyDescent="0.3">
      <c r="B108" s="280" t="s">
        <v>325</v>
      </c>
      <c r="C108" s="253" t="s">
        <v>75</v>
      </c>
      <c r="D108" s="99"/>
      <c r="E108" s="99"/>
      <c r="F108" s="99"/>
      <c r="G108" s="99"/>
      <c r="H108" s="99"/>
      <c r="I108" s="99"/>
      <c r="J108" s="99"/>
      <c r="K108" s="99"/>
      <c r="M108" s="347"/>
      <c r="N108" s="275"/>
    </row>
    <row r="109" spans="2:26" x14ac:dyDescent="0.3">
      <c r="B109" s="280" t="s">
        <v>541</v>
      </c>
      <c r="C109" s="253" t="s">
        <v>75</v>
      </c>
      <c r="D109" s="99"/>
      <c r="E109" s="99"/>
      <c r="F109" s="99"/>
      <c r="G109" s="99"/>
      <c r="H109" s="99"/>
      <c r="I109" s="99"/>
      <c r="J109" s="99"/>
      <c r="K109" s="99"/>
      <c r="M109" s="347"/>
      <c r="N109" s="275"/>
    </row>
    <row r="110" spans="2:26" x14ac:dyDescent="0.3">
      <c r="B110" s="191" t="s">
        <v>326</v>
      </c>
      <c r="C110" s="253" t="s">
        <v>306</v>
      </c>
      <c r="D110" s="103">
        <f>D52</f>
        <v>5053.0941017154537</v>
      </c>
      <c r="E110" s="103">
        <f t="shared" ref="E110:K110" si="58">E52</f>
        <v>10106.188203430907</v>
      </c>
      <c r="F110" s="103">
        <f t="shared" si="58"/>
        <v>25006.264058987457</v>
      </c>
      <c r="G110" s="103">
        <f t="shared" si="58"/>
        <v>39906.339914544027</v>
      </c>
      <c r="H110" s="103">
        <f t="shared" si="58"/>
        <v>40882.471802620697</v>
      </c>
      <c r="I110" s="103">
        <f t="shared" si="58"/>
        <v>41858.603690697353</v>
      </c>
      <c r="J110" s="103">
        <f t="shared" si="58"/>
        <v>42346.669634735685</v>
      </c>
      <c r="K110" s="103">
        <f t="shared" si="58"/>
        <v>43810.867466850672</v>
      </c>
      <c r="M110" s="300"/>
      <c r="N110" s="275"/>
    </row>
    <row r="111" spans="2:26" x14ac:dyDescent="0.3">
      <c r="B111" s="307" t="s">
        <v>387</v>
      </c>
      <c r="C111" s="308" t="s">
        <v>388</v>
      </c>
      <c r="D111" s="99">
        <f>D54</f>
        <v>11.415798264368426</v>
      </c>
      <c r="E111" s="99">
        <f t="shared" ref="E111:K111" si="59">E54</f>
        <v>211.83159652873684</v>
      </c>
      <c r="F111" s="99">
        <f t="shared" si="59"/>
        <v>245.49339990442999</v>
      </c>
      <c r="G111" s="99">
        <f t="shared" si="59"/>
        <v>279.1552032801232</v>
      </c>
      <c r="H111" s="99">
        <f t="shared" si="59"/>
        <v>281.36045109253132</v>
      </c>
      <c r="I111" s="99">
        <f t="shared" si="59"/>
        <v>283.56569890493938</v>
      </c>
      <c r="J111" s="99">
        <f t="shared" si="59"/>
        <v>284.66832281114341</v>
      </c>
      <c r="K111" s="99">
        <f t="shared" si="59"/>
        <v>287.97619452975556</v>
      </c>
      <c r="M111" s="348"/>
      <c r="N111" s="275"/>
    </row>
    <row r="112" spans="2:26" x14ac:dyDescent="0.3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44"/>
      <c r="M112" s="275"/>
      <c r="N112" s="275"/>
    </row>
    <row r="113" spans="2:11" x14ac:dyDescent="0.3">
      <c r="B113" s="179" t="s">
        <v>458</v>
      </c>
      <c r="C113" s="180"/>
      <c r="D113" s="180"/>
      <c r="E113" s="180"/>
      <c r="F113" s="180"/>
      <c r="G113" s="180"/>
      <c r="H113" s="180"/>
      <c r="I113" s="180"/>
      <c r="J113" s="180"/>
      <c r="K113" s="180"/>
    </row>
    <row r="114" spans="2:11" x14ac:dyDescent="0.3">
      <c r="B114" s="183"/>
      <c r="C114" s="253" t="s">
        <v>318</v>
      </c>
      <c r="D114" s="183">
        <v>2015</v>
      </c>
      <c r="E114" s="183">
        <v>2020</v>
      </c>
      <c r="F114" s="183">
        <v>2025</v>
      </c>
      <c r="G114" s="183">
        <v>2030</v>
      </c>
      <c r="H114" s="183">
        <v>2035</v>
      </c>
      <c r="I114" s="183">
        <v>2040</v>
      </c>
      <c r="J114" s="183">
        <v>2045</v>
      </c>
      <c r="K114" s="183">
        <v>2050</v>
      </c>
    </row>
    <row r="115" spans="2:11" x14ac:dyDescent="0.3">
      <c r="B115" s="183"/>
      <c r="C115" s="296">
        <v>1</v>
      </c>
      <c r="D115" s="297">
        <v>2</v>
      </c>
      <c r="E115" s="296">
        <v>3</v>
      </c>
      <c r="F115" s="297">
        <v>4</v>
      </c>
      <c r="G115" s="296">
        <v>5</v>
      </c>
      <c r="H115" s="297">
        <v>6</v>
      </c>
      <c r="I115" s="296">
        <v>7</v>
      </c>
      <c r="J115" s="297">
        <v>8</v>
      </c>
      <c r="K115" s="296">
        <v>9</v>
      </c>
    </row>
    <row r="116" spans="2:11" x14ac:dyDescent="0.3">
      <c r="B116" s="191" t="s">
        <v>231</v>
      </c>
      <c r="C116" s="183">
        <v>1</v>
      </c>
      <c r="D116" s="185">
        <f t="shared" ref="D116:K116" si="60">SUMPRODUCT(D$59:D$78,$N$6:$N$25)</f>
        <v>3.9899999999999998</v>
      </c>
      <c r="E116" s="185">
        <f t="shared" si="60"/>
        <v>20.615000000000002</v>
      </c>
      <c r="F116" s="185">
        <f t="shared" si="60"/>
        <v>26.6</v>
      </c>
      <c r="G116" s="185">
        <f t="shared" si="60"/>
        <v>34.978999999999999</v>
      </c>
      <c r="H116" s="185">
        <f t="shared" si="60"/>
        <v>39.900000000000006</v>
      </c>
      <c r="I116" s="185">
        <f t="shared" si="60"/>
        <v>43.092000000000006</v>
      </c>
      <c r="J116" s="185">
        <f t="shared" si="60"/>
        <v>46.550000000000004</v>
      </c>
      <c r="K116" s="185">
        <f t="shared" si="60"/>
        <v>49.316400000000002</v>
      </c>
    </row>
    <row r="117" spans="2:11" x14ac:dyDescent="0.3">
      <c r="B117" s="191" t="s">
        <v>209</v>
      </c>
      <c r="C117" s="183">
        <v>2</v>
      </c>
      <c r="D117" s="185"/>
      <c r="E117" s="185"/>
      <c r="F117" s="185"/>
      <c r="G117" s="185"/>
      <c r="H117" s="185"/>
      <c r="I117" s="185"/>
      <c r="J117" s="185"/>
      <c r="K117" s="185"/>
    </row>
    <row r="118" spans="2:11" x14ac:dyDescent="0.3">
      <c r="B118" s="191" t="s">
        <v>133</v>
      </c>
      <c r="C118" s="183">
        <v>23</v>
      </c>
      <c r="D118" s="185">
        <f t="shared" ref="D118:K118" si="61">SUMPRODUCT(D$59:D$78,$O$6:$O$25)</f>
        <v>19.927708316706074</v>
      </c>
      <c r="E118" s="185">
        <f t="shared" si="61"/>
        <v>56.156978974006158</v>
      </c>
      <c r="F118" s="185">
        <f t="shared" si="61"/>
        <v>60.033246254543961</v>
      </c>
      <c r="G118" s="185">
        <f t="shared" si="61"/>
        <v>93.78327807920148</v>
      </c>
      <c r="H118" s="185">
        <f t="shared" si="61"/>
        <v>72.948553545205471</v>
      </c>
      <c r="I118" s="185">
        <f t="shared" si="61"/>
        <v>75.453419145205473</v>
      </c>
      <c r="J118" s="185">
        <f t="shared" si="61"/>
        <v>79.076516745205467</v>
      </c>
      <c r="K118" s="185">
        <f t="shared" si="61"/>
        <v>81.590462985205477</v>
      </c>
    </row>
    <row r="119" spans="2:11" x14ac:dyDescent="0.3">
      <c r="B119" s="191" t="s">
        <v>285</v>
      </c>
      <c r="C119" s="183">
        <v>24</v>
      </c>
      <c r="D119" s="185">
        <f t="shared" ref="D119:K119" si="62">SUMPRODUCT(D$59:D$78,$P$6:$P$25)</f>
        <v>2.0249999999999999</v>
      </c>
      <c r="E119" s="185">
        <f t="shared" si="62"/>
        <v>15.981817808219178</v>
      </c>
      <c r="F119" s="185">
        <f t="shared" si="62"/>
        <v>19.019317808219178</v>
      </c>
      <c r="G119" s="185">
        <f t="shared" si="62"/>
        <v>29.894999178082191</v>
      </c>
      <c r="H119" s="185">
        <f t="shared" si="62"/>
        <v>32.39249917808219</v>
      </c>
      <c r="I119" s="185">
        <f t="shared" si="62"/>
        <v>34.012499178082194</v>
      </c>
      <c r="J119" s="185">
        <f t="shared" si="62"/>
        <v>35.76749917808219</v>
      </c>
      <c r="K119" s="185">
        <f t="shared" si="62"/>
        <v>37.171499178082193</v>
      </c>
    </row>
    <row r="120" spans="2:11" x14ac:dyDescent="0.3">
      <c r="B120" s="191" t="s">
        <v>315</v>
      </c>
      <c r="C120" s="183">
        <v>26</v>
      </c>
      <c r="D120" s="185">
        <f t="shared" ref="D120:K120" si="63">SUMPRODUCT(D$59:D$78,$Q$6:$Q$25)</f>
        <v>2.4750000000000001</v>
      </c>
      <c r="E120" s="185">
        <f t="shared" si="63"/>
        <v>19.533332876712329</v>
      </c>
      <c r="F120" s="185">
        <f t="shared" si="63"/>
        <v>23.245832876712331</v>
      </c>
      <c r="G120" s="185">
        <f t="shared" si="63"/>
        <v>36.538332328767126</v>
      </c>
      <c r="H120" s="185">
        <f t="shared" si="63"/>
        <v>39.590832328767121</v>
      </c>
      <c r="I120" s="185">
        <f t="shared" si="63"/>
        <v>41.570832328767132</v>
      </c>
      <c r="J120" s="185">
        <f t="shared" si="63"/>
        <v>43.715832328767121</v>
      </c>
      <c r="K120" s="185">
        <f t="shared" si="63"/>
        <v>45.431832328767129</v>
      </c>
    </row>
    <row r="121" spans="2:11" x14ac:dyDescent="0.3">
      <c r="B121" s="191" t="s">
        <v>38</v>
      </c>
      <c r="C121" s="183">
        <v>29</v>
      </c>
      <c r="D121" s="185">
        <f t="shared" ref="D121:K121" si="64">SUMPRODUCT(D$59:D$78,$R$6:$R$25)</f>
        <v>29.844942699021313</v>
      </c>
      <c r="E121" s="185">
        <f t="shared" si="64"/>
        <v>57.415806205870631</v>
      </c>
      <c r="F121" s="185">
        <f t="shared" si="64"/>
        <v>29.69422723700983</v>
      </c>
      <c r="G121" s="185">
        <f t="shared" si="64"/>
        <v>65.810756245229001</v>
      </c>
      <c r="H121" s="185">
        <f t="shared" si="64"/>
        <v>29.896850115068492</v>
      </c>
      <c r="I121" s="185">
        <f t="shared" si="64"/>
        <v>28.771030915068494</v>
      </c>
      <c r="J121" s="185">
        <f t="shared" si="64"/>
        <v>30.280387715068493</v>
      </c>
      <c r="K121" s="185">
        <f t="shared" si="64"/>
        <v>30.334060035068493</v>
      </c>
    </row>
    <row r="122" spans="2:11" x14ac:dyDescent="0.3">
      <c r="B122" s="191" t="s">
        <v>136</v>
      </c>
      <c r="C122" s="183">
        <v>30</v>
      </c>
      <c r="D122" s="185">
        <f t="shared" ref="D122:K122" si="65">SUMPRODUCT(D$59:D$78,$S$6:$S$25)</f>
        <v>0</v>
      </c>
      <c r="E122" s="185">
        <f t="shared" si="65"/>
        <v>0</v>
      </c>
      <c r="F122" s="185">
        <f t="shared" si="65"/>
        <v>0</v>
      </c>
      <c r="G122" s="185">
        <f t="shared" si="65"/>
        <v>0</v>
      </c>
      <c r="H122" s="185">
        <f t="shared" si="65"/>
        <v>0</v>
      </c>
      <c r="I122" s="185">
        <f t="shared" si="65"/>
        <v>0</v>
      </c>
      <c r="J122" s="185">
        <f t="shared" si="65"/>
        <v>0</v>
      </c>
      <c r="K122" s="185">
        <f t="shared" si="65"/>
        <v>0</v>
      </c>
    </row>
    <row r="123" spans="2:11" x14ac:dyDescent="0.3">
      <c r="B123" s="191" t="s">
        <v>360</v>
      </c>
      <c r="C123" s="183">
        <v>31</v>
      </c>
      <c r="D123" s="185">
        <f t="shared" ref="D123:K123" si="66">SUMPRODUCT(D$59:D$78,$T$6:$T$25)</f>
        <v>0</v>
      </c>
      <c r="E123" s="185">
        <f t="shared" si="66"/>
        <v>0</v>
      </c>
      <c r="F123" s="185">
        <f t="shared" si="66"/>
        <v>0</v>
      </c>
      <c r="G123" s="185">
        <f t="shared" si="66"/>
        <v>0</v>
      </c>
      <c r="H123" s="185">
        <f t="shared" si="66"/>
        <v>0</v>
      </c>
      <c r="I123" s="185">
        <f t="shared" si="66"/>
        <v>0</v>
      </c>
      <c r="J123" s="185">
        <f t="shared" si="66"/>
        <v>0</v>
      </c>
      <c r="K123" s="185">
        <f t="shared" si="66"/>
        <v>0</v>
      </c>
    </row>
    <row r="124" spans="2:11" x14ac:dyDescent="0.3">
      <c r="B124" s="191" t="s">
        <v>361</v>
      </c>
      <c r="C124" s="183">
        <v>32</v>
      </c>
      <c r="D124" s="185">
        <f t="shared" ref="D124:K124" si="67">SUMPRODUCT(D$59:D$78,$U$6:$U$25)</f>
        <v>0</v>
      </c>
      <c r="E124" s="185">
        <f t="shared" si="67"/>
        <v>0</v>
      </c>
      <c r="F124" s="185">
        <f t="shared" si="67"/>
        <v>0</v>
      </c>
      <c r="G124" s="185">
        <f t="shared" si="67"/>
        <v>0</v>
      </c>
      <c r="H124" s="185">
        <f t="shared" si="67"/>
        <v>0</v>
      </c>
      <c r="I124" s="185">
        <f t="shared" si="67"/>
        <v>0</v>
      </c>
      <c r="J124" s="185">
        <f t="shared" si="67"/>
        <v>0</v>
      </c>
      <c r="K124" s="185">
        <f t="shared" si="67"/>
        <v>0</v>
      </c>
    </row>
    <row r="125" spans="2:11" x14ac:dyDescent="0.3">
      <c r="B125" s="191" t="s">
        <v>362</v>
      </c>
      <c r="C125" s="183">
        <v>33</v>
      </c>
      <c r="D125" s="185">
        <f t="shared" ref="D125:K125" si="68">SUMPRODUCT(D$59:D$78,$V$6:$V$25)</f>
        <v>2.31</v>
      </c>
      <c r="E125" s="185">
        <f t="shared" si="68"/>
        <v>12.864178082191783</v>
      </c>
      <c r="F125" s="185">
        <f t="shared" si="68"/>
        <v>16.329178082191781</v>
      </c>
      <c r="G125" s="185">
        <f t="shared" si="68"/>
        <v>22.29519178082192</v>
      </c>
      <c r="H125" s="185">
        <f t="shared" si="68"/>
        <v>25.144191780821924</v>
      </c>
      <c r="I125" s="185">
        <f t="shared" si="68"/>
        <v>26.992191780821923</v>
      </c>
      <c r="J125" s="185">
        <f t="shared" si="68"/>
        <v>28.994191780821922</v>
      </c>
      <c r="K125" s="185">
        <f t="shared" si="68"/>
        <v>30.595791780821923</v>
      </c>
    </row>
    <row r="126" spans="2:11" x14ac:dyDescent="0.3">
      <c r="B126" s="191" t="s">
        <v>363</v>
      </c>
      <c r="C126" s="183">
        <v>55</v>
      </c>
      <c r="D126" s="185">
        <f t="shared" ref="D126:K126" si="69">SUMPRODUCT(D$59:D$78,$W$6:$W$25)</f>
        <v>0</v>
      </c>
      <c r="E126" s="185">
        <f t="shared" si="69"/>
        <v>0</v>
      </c>
      <c r="F126" s="185">
        <f t="shared" si="69"/>
        <v>0</v>
      </c>
      <c r="G126" s="185">
        <f t="shared" si="69"/>
        <v>0</v>
      </c>
      <c r="H126" s="185">
        <f t="shared" si="69"/>
        <v>0</v>
      </c>
      <c r="I126" s="185">
        <f t="shared" si="69"/>
        <v>0</v>
      </c>
      <c r="J126" s="185">
        <f t="shared" si="69"/>
        <v>0</v>
      </c>
      <c r="K126" s="185">
        <f t="shared" si="69"/>
        <v>0</v>
      </c>
    </row>
    <row r="127" spans="2:11" x14ac:dyDescent="0.3">
      <c r="B127" s="259" t="s">
        <v>204</v>
      </c>
      <c r="C127" s="251">
        <v>101</v>
      </c>
      <c r="D127" s="185">
        <f>D67</f>
        <v>10.728092290413976</v>
      </c>
      <c r="E127" s="185">
        <f t="shared" ref="E127:K127" si="70">E67</f>
        <v>62.433289959889294</v>
      </c>
      <c r="F127" s="185">
        <f t="shared" si="70"/>
        <v>24.870852596551487</v>
      </c>
      <c r="G127" s="185">
        <f t="shared" si="70"/>
        <v>100.96032108466125</v>
      </c>
      <c r="H127" s="185">
        <f t="shared" si="70"/>
        <v>61.166425796926006</v>
      </c>
      <c r="I127" s="185">
        <f t="shared" si="70"/>
        <v>70.976748436173409</v>
      </c>
      <c r="J127" s="185">
        <f t="shared" si="70"/>
        <v>81.388057849466946</v>
      </c>
      <c r="K127" s="185">
        <f t="shared" si="70"/>
        <v>92.050302299215957</v>
      </c>
    </row>
    <row r="128" spans="2:11" x14ac:dyDescent="0.3">
      <c r="B128" s="259" t="s">
        <v>364</v>
      </c>
      <c r="C128" s="251">
        <v>102</v>
      </c>
      <c r="D128" s="185">
        <f>D76</f>
        <v>15.360997874935169</v>
      </c>
      <c r="E128" s="185">
        <f t="shared" ref="E128:K128" si="71">E76</f>
        <v>48.235957831702187</v>
      </c>
      <c r="F128" s="185">
        <f t="shared" si="71"/>
        <v>14.098779550267528</v>
      </c>
      <c r="G128" s="185">
        <f t="shared" si="71"/>
        <v>63.89877955026752</v>
      </c>
      <c r="H128" s="185">
        <f t="shared" si="71"/>
        <v>0</v>
      </c>
      <c r="I128" s="185">
        <f t="shared" si="71"/>
        <v>0</v>
      </c>
      <c r="J128" s="185">
        <f t="shared" si="71"/>
        <v>0</v>
      </c>
      <c r="K128" s="185">
        <f t="shared" si="71"/>
        <v>0</v>
      </c>
    </row>
    <row r="129" spans="2:14" x14ac:dyDescent="0.3">
      <c r="B129" s="259" t="s">
        <v>457</v>
      </c>
      <c r="C129" s="251">
        <v>103</v>
      </c>
      <c r="D129" s="185">
        <f t="shared" ref="D129:F129" si="72">-SUMPRODUCT(D$59:D$78,$X$6:$X$25)+D75-D62</f>
        <v>-67.851829318842121</v>
      </c>
      <c r="E129" s="185">
        <f t="shared" si="72"/>
        <v>4.7586588144570641</v>
      </c>
      <c r="F129" s="185">
        <f t="shared" si="72"/>
        <v>84.111649329905205</v>
      </c>
      <c r="G129" s="185">
        <f>-SUMPRODUCT(G$59:G$78,$X$6:$X$25)+G75-G62</f>
        <v>72.546872528803263</v>
      </c>
      <c r="H129" s="185">
        <f t="shared" ref="H129:K129" si="73">-SUMPRODUCT(H$59:H$78,$X$6:$X$25)+H75-H62</f>
        <v>239.4421549322571</v>
      </c>
      <c r="I129" s="185">
        <f t="shared" si="73"/>
        <v>293.93105258034319</v>
      </c>
      <c r="J129" s="185">
        <f t="shared" si="73"/>
        <v>338.40314748732027</v>
      </c>
      <c r="K129" s="185">
        <f t="shared" si="73"/>
        <v>399.94602131198513</v>
      </c>
      <c r="L129" s="188" t="s">
        <v>720</v>
      </c>
    </row>
    <row r="130" spans="2:14" x14ac:dyDescent="0.3">
      <c r="B130" s="260" t="s">
        <v>110</v>
      </c>
      <c r="C130" s="252">
        <v>104</v>
      </c>
      <c r="D130" s="185"/>
      <c r="E130" s="185"/>
      <c r="F130" s="185"/>
      <c r="G130" s="185"/>
      <c r="H130" s="185"/>
      <c r="I130" s="185"/>
      <c r="J130" s="185"/>
      <c r="K130" s="185"/>
    </row>
    <row r="131" spans="2:14" x14ac:dyDescent="0.3">
      <c r="B131" s="260" t="s">
        <v>53</v>
      </c>
      <c r="C131" s="252">
        <v>105</v>
      </c>
      <c r="D131" s="99"/>
      <c r="E131" s="99"/>
      <c r="F131" s="99"/>
      <c r="G131" s="99"/>
      <c r="H131" s="99"/>
      <c r="I131" s="99"/>
      <c r="J131" s="99"/>
      <c r="K131" s="99"/>
    </row>
    <row r="132" spans="2:14" x14ac:dyDescent="0.3">
      <c r="B132" s="259" t="s">
        <v>666</v>
      </c>
      <c r="C132" s="251">
        <v>106</v>
      </c>
      <c r="D132" s="185">
        <f>D65</f>
        <v>4.8</v>
      </c>
      <c r="E132" s="185">
        <f t="shared" ref="E132:K132" si="74">E65</f>
        <v>29.200000000000003</v>
      </c>
      <c r="F132" s="185">
        <f t="shared" si="74"/>
        <v>36.4</v>
      </c>
      <c r="G132" s="185">
        <f t="shared" si="74"/>
        <v>51.76</v>
      </c>
      <c r="H132" s="185">
        <f t="shared" si="74"/>
        <v>57.68</v>
      </c>
      <c r="I132" s="185">
        <f t="shared" si="74"/>
        <v>61.52</v>
      </c>
      <c r="J132" s="185">
        <f t="shared" si="74"/>
        <v>65.680000000000007</v>
      </c>
      <c r="K132" s="185">
        <f t="shared" si="74"/>
        <v>69.00800000000001</v>
      </c>
      <c r="M132" s="300"/>
      <c r="N132" s="275"/>
    </row>
    <row r="133" spans="2:14" x14ac:dyDescent="0.3">
      <c r="B133" s="183" t="s">
        <v>321</v>
      </c>
      <c r="C133" s="253" t="s">
        <v>293</v>
      </c>
      <c r="D133" s="99"/>
      <c r="E133" s="99"/>
      <c r="F133" s="99"/>
      <c r="G133" s="99"/>
      <c r="H133" s="99"/>
      <c r="I133" s="99"/>
      <c r="J133" s="99"/>
      <c r="K133" s="99"/>
    </row>
    <row r="134" spans="2:14" x14ac:dyDescent="0.3">
      <c r="B134" s="191" t="s">
        <v>650</v>
      </c>
      <c r="C134" s="253" t="s">
        <v>75</v>
      </c>
      <c r="D134" s="103">
        <f t="shared" ref="D134:K134" si="75">D59</f>
        <v>381.76069638469636</v>
      </c>
      <c r="E134" s="103">
        <f t="shared" si="75"/>
        <v>2801.3302646542647</v>
      </c>
      <c r="F134" s="103">
        <f t="shared" si="75"/>
        <v>3373.9713092313091</v>
      </c>
      <c r="G134" s="103">
        <f t="shared" si="75"/>
        <v>5170.3487716391719</v>
      </c>
      <c r="H134" s="103">
        <f>H59</f>
        <v>5641.1869638469634</v>
      </c>
      <c r="I134" s="103">
        <f t="shared" si="75"/>
        <v>5946.595520954721</v>
      </c>
      <c r="J134" s="103">
        <f t="shared" si="75"/>
        <v>6277.4547911547907</v>
      </c>
      <c r="K134" s="103">
        <f t="shared" si="75"/>
        <v>6542.1422073148478</v>
      </c>
      <c r="L134" s="188" t="s">
        <v>397</v>
      </c>
    </row>
    <row r="135" spans="2:14" x14ac:dyDescent="0.3">
      <c r="B135" s="279" t="s">
        <v>323</v>
      </c>
      <c r="C135" s="253" t="s">
        <v>75</v>
      </c>
      <c r="D135" s="103">
        <f>D134*($C$144*D145+$C$147*D148)</f>
        <v>146.02346636714634</v>
      </c>
      <c r="E135" s="103">
        <f t="shared" ref="E135:K135" si="76">E134*($C$144*E145+$C$147*E148)</f>
        <v>907.6310057479817</v>
      </c>
      <c r="F135" s="103">
        <f t="shared" si="76"/>
        <v>926.15512438399423</v>
      </c>
      <c r="G135" s="103">
        <f t="shared" si="76"/>
        <v>1046.9956262569322</v>
      </c>
      <c r="H135" s="103">
        <f t="shared" si="76"/>
        <v>837.71626413127399</v>
      </c>
      <c r="I135" s="103">
        <f t="shared" si="76"/>
        <v>668.99199610740607</v>
      </c>
      <c r="J135" s="103">
        <f t="shared" si="76"/>
        <v>367.23110528255523</v>
      </c>
      <c r="K135" s="103">
        <f t="shared" si="76"/>
        <v>294.39639932916816</v>
      </c>
    </row>
    <row r="136" spans="2:14" x14ac:dyDescent="0.3">
      <c r="B136" s="279" t="s">
        <v>324</v>
      </c>
      <c r="C136" s="253" t="s">
        <v>75</v>
      </c>
      <c r="D136" s="103">
        <f>D134-D135</f>
        <v>235.73723001755002</v>
      </c>
      <c r="E136" s="103">
        <f t="shared" ref="E136:K136" si="77">E134-E135</f>
        <v>1893.6992589062829</v>
      </c>
      <c r="F136" s="103">
        <f t="shared" si="77"/>
        <v>2447.8161848473146</v>
      </c>
      <c r="G136" s="103">
        <f t="shared" si="77"/>
        <v>4123.3531453822397</v>
      </c>
      <c r="H136" s="103">
        <f t="shared" si="77"/>
        <v>4803.4706997156891</v>
      </c>
      <c r="I136" s="103">
        <f t="shared" si="77"/>
        <v>5277.6035248473145</v>
      </c>
      <c r="J136" s="103">
        <f t="shared" si="77"/>
        <v>5910.2236858722354</v>
      </c>
      <c r="K136" s="103">
        <f t="shared" si="77"/>
        <v>6247.7458079856797</v>
      </c>
    </row>
    <row r="137" spans="2:14" x14ac:dyDescent="0.3">
      <c r="B137" s="280" t="s">
        <v>325</v>
      </c>
      <c r="C137" s="253" t="s">
        <v>75</v>
      </c>
      <c r="D137" s="103"/>
      <c r="E137" s="103"/>
      <c r="F137" s="103"/>
      <c r="G137" s="103"/>
      <c r="H137" s="103"/>
      <c r="I137" s="103"/>
      <c r="J137" s="103"/>
      <c r="K137" s="103"/>
    </row>
    <row r="138" spans="2:14" x14ac:dyDescent="0.3">
      <c r="B138" s="280" t="s">
        <v>541</v>
      </c>
      <c r="C138" s="253" t="s">
        <v>75</v>
      </c>
      <c r="D138" s="103"/>
      <c r="E138" s="103"/>
      <c r="F138" s="103"/>
      <c r="G138" s="103"/>
      <c r="H138" s="103"/>
      <c r="I138" s="103"/>
      <c r="J138" s="103"/>
      <c r="K138" s="103"/>
    </row>
    <row r="139" spans="2:14" x14ac:dyDescent="0.3">
      <c r="B139" s="191" t="s">
        <v>326</v>
      </c>
      <c r="C139" s="253" t="s">
        <v>306</v>
      </c>
      <c r="D139" s="1152">
        <f>D78</f>
        <v>8604.9303835331102</v>
      </c>
      <c r="E139" s="1152">
        <f t="shared" ref="E139:J139" si="78">E78</f>
        <v>44458.806981587739</v>
      </c>
      <c r="F139" s="1152">
        <f t="shared" si="78"/>
        <v>57366.202556887394</v>
      </c>
      <c r="G139" s="1152">
        <f t="shared" si="78"/>
        <v>75436.556362306932</v>
      </c>
      <c r="H139" s="1152">
        <f t="shared" si="78"/>
        <v>86049.303835331099</v>
      </c>
      <c r="I139" s="1152">
        <f t="shared" si="78"/>
        <v>92933.248142157594</v>
      </c>
      <c r="J139" s="1152">
        <f t="shared" si="78"/>
        <v>100390.85447455297</v>
      </c>
      <c r="K139" s="1152">
        <f>K78</f>
        <v>106356.93954046923</v>
      </c>
    </row>
    <row r="140" spans="2:14" x14ac:dyDescent="0.3">
      <c r="B140" s="307" t="s">
        <v>387</v>
      </c>
      <c r="C140" s="308" t="s">
        <v>388</v>
      </c>
      <c r="D140" s="1153">
        <f>D80</f>
        <v>19.440000000000001</v>
      </c>
      <c r="E140" s="1153">
        <f t="shared" ref="E140:K140" si="79">E80</f>
        <v>289.44</v>
      </c>
      <c r="F140" s="1153">
        <f t="shared" si="79"/>
        <v>318.60000000000002</v>
      </c>
      <c r="G140" s="1153">
        <f t="shared" si="79"/>
        <v>586.22400000000005</v>
      </c>
      <c r="H140" s="1153">
        <f t="shared" si="79"/>
        <v>610.20000000000005</v>
      </c>
      <c r="I140" s="1153">
        <f t="shared" si="79"/>
        <v>625.75199999999995</v>
      </c>
      <c r="J140" s="1153">
        <f t="shared" si="79"/>
        <v>642.6</v>
      </c>
      <c r="K140" s="1153">
        <f t="shared" si="79"/>
        <v>656.0784000000001</v>
      </c>
    </row>
    <row r="143" spans="2:14" x14ac:dyDescent="0.3">
      <c r="B143" s="1130" t="s">
        <v>914</v>
      </c>
    </row>
    <row r="144" spans="2:14" x14ac:dyDescent="0.3">
      <c r="B144" s="1124" t="s">
        <v>249</v>
      </c>
      <c r="C144" s="1125">
        <f>Q8/(Q8+P8)</f>
        <v>0.55000000000000004</v>
      </c>
      <c r="D144" s="1126">
        <v>2015</v>
      </c>
      <c r="E144" s="1126">
        <v>2020</v>
      </c>
      <c r="F144" s="1126">
        <v>2025</v>
      </c>
      <c r="G144" s="1126">
        <v>2030</v>
      </c>
      <c r="H144" s="1126">
        <v>2035</v>
      </c>
      <c r="I144" s="1126">
        <v>2040</v>
      </c>
      <c r="J144" s="1126">
        <v>2045</v>
      </c>
      <c r="K144" s="1126">
        <v>2050</v>
      </c>
    </row>
    <row r="145" spans="2:11" x14ac:dyDescent="0.3">
      <c r="B145" s="1127" t="s">
        <v>323</v>
      </c>
      <c r="C145" s="1125"/>
      <c r="D145" s="1128">
        <v>0</v>
      </c>
      <c r="E145" s="1128">
        <v>0</v>
      </c>
      <c r="F145" s="1128">
        <v>0</v>
      </c>
      <c r="G145" s="1128">
        <v>0</v>
      </c>
      <c r="H145" s="1128">
        <v>0</v>
      </c>
      <c r="I145" s="1128">
        <v>0</v>
      </c>
      <c r="J145" s="1128">
        <v>0</v>
      </c>
      <c r="K145" s="1128">
        <v>0</v>
      </c>
    </row>
    <row r="146" spans="2:11" x14ac:dyDescent="0.3">
      <c r="B146" s="1127" t="s">
        <v>324</v>
      </c>
      <c r="C146" s="1125"/>
      <c r="D146" s="1128">
        <f>1-D145</f>
        <v>1</v>
      </c>
      <c r="E146" s="1128">
        <f t="shared" ref="E146:K146" si="80">1-E145</f>
        <v>1</v>
      </c>
      <c r="F146" s="1128">
        <f t="shared" si="80"/>
        <v>1</v>
      </c>
      <c r="G146" s="1128">
        <f t="shared" si="80"/>
        <v>1</v>
      </c>
      <c r="H146" s="1128">
        <f t="shared" si="80"/>
        <v>1</v>
      </c>
      <c r="I146" s="1128">
        <f t="shared" si="80"/>
        <v>1</v>
      </c>
      <c r="J146" s="1128">
        <f t="shared" si="80"/>
        <v>1</v>
      </c>
      <c r="K146" s="1128">
        <f t="shared" si="80"/>
        <v>1</v>
      </c>
    </row>
    <row r="147" spans="2:11" x14ac:dyDescent="0.3">
      <c r="B147" s="1124" t="s">
        <v>248</v>
      </c>
      <c r="C147" s="1125">
        <f>1-C144</f>
        <v>0.44999999999999996</v>
      </c>
      <c r="D147" s="1129"/>
      <c r="E147" s="1129"/>
      <c r="F147" s="1129"/>
      <c r="G147" s="1129"/>
      <c r="H147" s="1129"/>
      <c r="I147" s="1129"/>
      <c r="J147" s="1129"/>
      <c r="K147" s="1129"/>
    </row>
    <row r="148" spans="2:11" x14ac:dyDescent="0.3">
      <c r="B148" s="1127" t="s">
        <v>323</v>
      </c>
      <c r="C148" s="1128"/>
      <c r="D148" s="1128">
        <v>0.85</v>
      </c>
      <c r="E148" s="1128">
        <v>0.72</v>
      </c>
      <c r="F148" s="1128">
        <v>0.61</v>
      </c>
      <c r="G148" s="1128">
        <v>0.45</v>
      </c>
      <c r="H148" s="1128">
        <v>0.33</v>
      </c>
      <c r="I148" s="1128">
        <v>0.25</v>
      </c>
      <c r="J148" s="1128">
        <v>0.13</v>
      </c>
      <c r="K148" s="1128">
        <v>0.1</v>
      </c>
    </row>
    <row r="149" spans="2:11" x14ac:dyDescent="0.3">
      <c r="B149" s="1127" t="s">
        <v>324</v>
      </c>
      <c r="C149" s="1128"/>
      <c r="D149" s="1128">
        <f t="shared" ref="D149:J149" si="81">1-D148</f>
        <v>0.15000000000000002</v>
      </c>
      <c r="E149" s="1128">
        <f t="shared" si="81"/>
        <v>0.28000000000000003</v>
      </c>
      <c r="F149" s="1128">
        <f t="shared" si="81"/>
        <v>0.39</v>
      </c>
      <c r="G149" s="1128">
        <f t="shared" si="81"/>
        <v>0.55000000000000004</v>
      </c>
      <c r="H149" s="1128">
        <f t="shared" si="81"/>
        <v>0.66999999999999993</v>
      </c>
      <c r="I149" s="1128">
        <f t="shared" si="81"/>
        <v>0.75</v>
      </c>
      <c r="J149" s="1128">
        <f t="shared" si="81"/>
        <v>0.87</v>
      </c>
      <c r="K149" s="1128">
        <f>1-K148</f>
        <v>0.9</v>
      </c>
    </row>
  </sheetData>
  <hyperlinks>
    <hyperlink ref="A1" location="Tiitel!A1" display="Tiitel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AG144"/>
  <sheetViews>
    <sheetView zoomScale="85" zoomScaleNormal="85" workbookViewId="0">
      <pane ySplit="2" topLeftCell="A3" activePane="bottomLeft" state="frozen"/>
      <selection pane="bottomLeft" activeCell="B3" sqref="B3"/>
    </sheetView>
  </sheetViews>
  <sheetFormatPr defaultColWidth="9.109375" defaultRowHeight="13.8" outlineLevelRow="1" x14ac:dyDescent="0.3"/>
  <cols>
    <col min="1" max="1" width="3.5546875" style="181" customWidth="1"/>
    <col min="2" max="2" width="33.5546875" style="181" customWidth="1"/>
    <col min="3" max="10" width="9.109375" style="181"/>
    <col min="11" max="11" width="11.6640625" style="181" bestFit="1" customWidth="1"/>
    <col min="12" max="12" width="9.109375" style="181"/>
    <col min="13" max="13" width="33.33203125" style="181" customWidth="1"/>
    <col min="14" max="25" width="9.109375" style="181"/>
    <col min="26" max="26" width="11.33203125" style="181" customWidth="1"/>
    <col min="27" max="16384" width="9.109375" style="181"/>
  </cols>
  <sheetData>
    <row r="1" spans="1:31" x14ac:dyDescent="0.3">
      <c r="A1" s="801" t="s">
        <v>338</v>
      </c>
    </row>
    <row r="2" spans="1:31" ht="15.6" x14ac:dyDescent="0.3">
      <c r="B2" s="192" t="s">
        <v>842</v>
      </c>
    </row>
    <row r="5" spans="1:31" ht="72.75" customHeight="1" x14ac:dyDescent="0.3">
      <c r="B5" s="603" t="s">
        <v>834</v>
      </c>
      <c r="C5" s="615"/>
      <c r="D5" s="615"/>
      <c r="E5" s="615"/>
      <c r="F5" s="615"/>
      <c r="G5" s="615"/>
      <c r="H5" s="615"/>
      <c r="I5" s="615"/>
      <c r="J5" s="615"/>
      <c r="K5" s="605"/>
      <c r="M5" s="802" t="s">
        <v>627</v>
      </c>
      <c r="N5" s="287"/>
      <c r="O5" s="287" t="s">
        <v>118</v>
      </c>
      <c r="P5" s="287" t="s">
        <v>133</v>
      </c>
      <c r="Q5" s="287" t="s">
        <v>285</v>
      </c>
      <c r="R5" s="287" t="s">
        <v>315</v>
      </c>
      <c r="S5" s="287" t="s">
        <v>38</v>
      </c>
      <c r="T5" s="287" t="s">
        <v>136</v>
      </c>
      <c r="U5" s="287" t="s">
        <v>360</v>
      </c>
      <c r="V5" s="287" t="s">
        <v>361</v>
      </c>
      <c r="W5" s="287" t="s">
        <v>362</v>
      </c>
      <c r="X5" s="287" t="s">
        <v>363</v>
      </c>
      <c r="Y5" s="287" t="s">
        <v>204</v>
      </c>
      <c r="Z5" s="287" t="s">
        <v>364</v>
      </c>
      <c r="AA5" s="287" t="s">
        <v>25</v>
      </c>
      <c r="AB5" s="287" t="s">
        <v>110</v>
      </c>
      <c r="AC5" s="287" t="s">
        <v>53</v>
      </c>
      <c r="AD5" s="287" t="s">
        <v>708</v>
      </c>
      <c r="AE5" s="803" t="s">
        <v>201</v>
      </c>
    </row>
    <row r="6" spans="1:31" x14ac:dyDescent="0.3">
      <c r="B6" s="602"/>
      <c r="C6" s="600" t="s">
        <v>293</v>
      </c>
      <c r="D6" s="617">
        <v>2015</v>
      </c>
      <c r="E6" s="617">
        <v>2020</v>
      </c>
      <c r="F6" s="617">
        <v>2025</v>
      </c>
      <c r="G6" s="600">
        <v>2030</v>
      </c>
      <c r="H6" s="600">
        <v>2035</v>
      </c>
      <c r="I6" s="600">
        <v>2040</v>
      </c>
      <c r="J6" s="617">
        <v>2045</v>
      </c>
      <c r="K6" s="621">
        <v>2050</v>
      </c>
      <c r="M6" s="804" t="s">
        <v>419</v>
      </c>
      <c r="N6" s="809" t="s">
        <v>293</v>
      </c>
      <c r="O6" s="249">
        <v>4</v>
      </c>
      <c r="P6" s="249">
        <v>23</v>
      </c>
      <c r="Q6" s="249">
        <v>24</v>
      </c>
      <c r="R6" s="249">
        <v>26</v>
      </c>
      <c r="S6" s="249">
        <v>29</v>
      </c>
      <c r="T6" s="249">
        <v>30</v>
      </c>
      <c r="U6" s="249">
        <v>31</v>
      </c>
      <c r="V6" s="249">
        <v>32</v>
      </c>
      <c r="W6" s="249">
        <v>33</v>
      </c>
      <c r="X6" s="249">
        <v>55</v>
      </c>
      <c r="Y6" s="249">
        <v>101</v>
      </c>
      <c r="Z6" s="249">
        <v>102</v>
      </c>
      <c r="AA6" s="249">
        <v>103</v>
      </c>
      <c r="AB6" s="249">
        <v>104</v>
      </c>
      <c r="AC6" s="249">
        <v>105</v>
      </c>
      <c r="AD6" s="249">
        <v>106</v>
      </c>
      <c r="AE6" s="805"/>
    </row>
    <row r="7" spans="1:31" x14ac:dyDescent="0.3">
      <c r="B7" s="595" t="s">
        <v>54</v>
      </c>
      <c r="C7" s="596"/>
      <c r="D7" s="596"/>
      <c r="E7" s="596"/>
      <c r="F7" s="596"/>
      <c r="G7" s="596"/>
      <c r="H7" s="596"/>
      <c r="I7" s="626"/>
      <c r="J7" s="596"/>
      <c r="K7" s="596"/>
      <c r="M7" s="595" t="s">
        <v>54</v>
      </c>
      <c r="N7" s="596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1"/>
    </row>
    <row r="8" spans="1:31" x14ac:dyDescent="0.3">
      <c r="B8" s="627" t="s">
        <v>294</v>
      </c>
      <c r="C8" s="584" t="s">
        <v>75</v>
      </c>
      <c r="D8" s="1034">
        <v>74805.5</v>
      </c>
      <c r="E8" s="1034">
        <v>108171.50000000001</v>
      </c>
      <c r="F8" s="1034">
        <v>174903.5</v>
      </c>
      <c r="G8" s="629">
        <v>208269.50000000003</v>
      </c>
      <c r="H8" s="1035">
        <v>208269.50000000003</v>
      </c>
      <c r="I8" s="629">
        <v>208269.50000000003</v>
      </c>
      <c r="J8" s="1036">
        <v>208269.50000000003</v>
      </c>
      <c r="K8" s="1037">
        <v>208269.50000000003</v>
      </c>
      <c r="M8" s="627" t="s">
        <v>294</v>
      </c>
      <c r="N8" s="584" t="s">
        <v>75</v>
      </c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716"/>
      <c r="Z8" s="716"/>
      <c r="AA8" s="716"/>
      <c r="AB8" s="716"/>
      <c r="AC8" s="716"/>
      <c r="AD8" s="716"/>
      <c r="AE8" s="822"/>
    </row>
    <row r="9" spans="1:31" x14ac:dyDescent="0.3">
      <c r="B9" s="573" t="s">
        <v>323</v>
      </c>
      <c r="C9" s="580" t="s">
        <v>75</v>
      </c>
      <c r="D9" s="1034">
        <v>74805.5</v>
      </c>
      <c r="E9" s="1034">
        <v>108171.50000000001</v>
      </c>
      <c r="F9" s="1034">
        <v>174903.5</v>
      </c>
      <c r="G9" s="1034">
        <v>208269.50000000003</v>
      </c>
      <c r="H9" s="1034">
        <v>208269.50000000003</v>
      </c>
      <c r="I9" s="1034">
        <v>208269.50000000003</v>
      </c>
      <c r="J9" s="1034">
        <v>208269.50000000003</v>
      </c>
      <c r="K9" s="1034">
        <v>208269.50000000003</v>
      </c>
      <c r="M9" s="573" t="s">
        <v>323</v>
      </c>
      <c r="N9" s="580" t="s">
        <v>75</v>
      </c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716"/>
      <c r="Z9" s="716"/>
      <c r="AA9" s="716"/>
      <c r="AB9" s="716"/>
      <c r="AC9" s="716"/>
      <c r="AD9" s="716"/>
      <c r="AE9" s="822"/>
    </row>
    <row r="10" spans="1:31" x14ac:dyDescent="0.3">
      <c r="B10" s="597" t="s">
        <v>648</v>
      </c>
      <c r="C10" s="591" t="s">
        <v>75</v>
      </c>
      <c r="D10" s="1038">
        <v>0</v>
      </c>
      <c r="E10" s="1038">
        <v>0</v>
      </c>
      <c r="F10" s="1038">
        <v>0</v>
      </c>
      <c r="G10" s="1038">
        <v>0</v>
      </c>
      <c r="H10" s="1038">
        <v>0</v>
      </c>
      <c r="I10" s="1038">
        <v>0</v>
      </c>
      <c r="J10" s="1038">
        <v>0</v>
      </c>
      <c r="K10" s="1038">
        <v>0</v>
      </c>
      <c r="M10" s="597" t="s">
        <v>648</v>
      </c>
      <c r="N10" s="591" t="s">
        <v>75</v>
      </c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822"/>
    </row>
    <row r="11" spans="1:31" x14ac:dyDescent="0.3">
      <c r="B11" s="599" t="s">
        <v>649</v>
      </c>
      <c r="C11" s="574" t="s">
        <v>75</v>
      </c>
      <c r="D11" s="629">
        <v>0</v>
      </c>
      <c r="E11" s="629">
        <v>0</v>
      </c>
      <c r="F11" s="629">
        <v>0</v>
      </c>
      <c r="G11" s="629">
        <v>0</v>
      </c>
      <c r="H11" s="629">
        <v>0</v>
      </c>
      <c r="I11" s="629">
        <v>0</v>
      </c>
      <c r="J11" s="629">
        <v>0</v>
      </c>
      <c r="K11" s="629">
        <v>0</v>
      </c>
      <c r="M11" s="599" t="s">
        <v>649</v>
      </c>
      <c r="N11" s="574" t="s">
        <v>75</v>
      </c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  <c r="AC11" s="716"/>
      <c r="AD11" s="716"/>
      <c r="AE11" s="822"/>
    </row>
    <row r="12" spans="1:31" x14ac:dyDescent="0.3">
      <c r="B12" s="593" t="s">
        <v>305</v>
      </c>
      <c r="C12" s="574" t="s">
        <v>306</v>
      </c>
      <c r="D12" s="629">
        <v>0</v>
      </c>
      <c r="E12" s="629">
        <v>0</v>
      </c>
      <c r="F12" s="629">
        <v>0</v>
      </c>
      <c r="G12" s="629">
        <v>0</v>
      </c>
      <c r="H12" s="629">
        <v>0</v>
      </c>
      <c r="I12" s="629">
        <v>0</v>
      </c>
      <c r="J12" s="629">
        <v>0</v>
      </c>
      <c r="K12" s="629">
        <v>0</v>
      </c>
      <c r="M12" s="593" t="s">
        <v>305</v>
      </c>
      <c r="N12" s="574" t="s">
        <v>306</v>
      </c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716"/>
      <c r="Z12" s="716"/>
      <c r="AA12" s="716"/>
      <c r="AB12" s="716"/>
      <c r="AC12" s="716"/>
      <c r="AD12" s="716"/>
      <c r="AE12" s="822"/>
    </row>
    <row r="13" spans="1:31" x14ac:dyDescent="0.3">
      <c r="B13" s="595" t="s">
        <v>45</v>
      </c>
      <c r="C13" s="596"/>
      <c r="D13" s="606"/>
      <c r="E13" s="606"/>
      <c r="F13" s="607"/>
      <c r="G13" s="607"/>
      <c r="H13" s="606"/>
      <c r="I13" s="606"/>
      <c r="J13" s="606"/>
      <c r="K13" s="606"/>
      <c r="M13" s="595" t="s">
        <v>45</v>
      </c>
      <c r="N13" s="596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7"/>
      <c r="AA13" s="807"/>
      <c r="AB13" s="807"/>
      <c r="AC13" s="807"/>
      <c r="AD13" s="807"/>
      <c r="AE13" s="821"/>
    </row>
    <row r="14" spans="1:31" x14ac:dyDescent="0.3">
      <c r="B14" s="597" t="s">
        <v>822</v>
      </c>
      <c r="C14" s="583" t="s">
        <v>296</v>
      </c>
      <c r="D14" s="572">
        <v>0</v>
      </c>
      <c r="E14" s="572">
        <v>0</v>
      </c>
      <c r="F14" s="572">
        <v>0</v>
      </c>
      <c r="G14" s="572">
        <v>48</v>
      </c>
      <c r="H14" s="572">
        <v>0</v>
      </c>
      <c r="I14" s="572">
        <v>0</v>
      </c>
      <c r="J14" s="572">
        <v>0</v>
      </c>
      <c r="K14" s="572">
        <v>0</v>
      </c>
      <c r="M14" s="597" t="s">
        <v>822</v>
      </c>
      <c r="N14" s="583" t="s">
        <v>296</v>
      </c>
      <c r="O14" s="977"/>
      <c r="P14" s="977">
        <v>0.25</v>
      </c>
      <c r="Q14" s="977"/>
      <c r="R14" s="977"/>
      <c r="S14" s="977">
        <v>0.45</v>
      </c>
      <c r="T14" s="977"/>
      <c r="U14" s="977"/>
      <c r="V14" s="977"/>
      <c r="W14" s="977"/>
      <c r="X14" s="977"/>
      <c r="Y14" s="977"/>
      <c r="Z14" s="977"/>
      <c r="AA14" s="977">
        <v>0.3</v>
      </c>
      <c r="AB14" s="977"/>
      <c r="AC14" s="977"/>
      <c r="AD14" s="977"/>
      <c r="AE14" s="248">
        <f t="shared" ref="AE14:AE20" si="0">SUM(O14:AA14)</f>
        <v>1</v>
      </c>
    </row>
    <row r="15" spans="1:31" x14ac:dyDescent="0.3">
      <c r="B15" s="597" t="s">
        <v>823</v>
      </c>
      <c r="C15" s="584" t="s">
        <v>296</v>
      </c>
      <c r="D15" s="572">
        <v>1.2</v>
      </c>
      <c r="E15" s="572">
        <v>0</v>
      </c>
      <c r="F15" s="572">
        <v>0</v>
      </c>
      <c r="G15" s="572">
        <v>0</v>
      </c>
      <c r="H15" s="572">
        <v>0</v>
      </c>
      <c r="I15" s="572">
        <v>0</v>
      </c>
      <c r="J15" s="572">
        <v>0</v>
      </c>
      <c r="K15" s="572">
        <v>0</v>
      </c>
      <c r="M15" s="597" t="s">
        <v>823</v>
      </c>
      <c r="N15" s="584" t="s">
        <v>296</v>
      </c>
      <c r="O15" s="977"/>
      <c r="P15" s="977">
        <v>0.05</v>
      </c>
      <c r="Q15" s="977"/>
      <c r="R15" s="977"/>
      <c r="S15" s="977">
        <v>0.95</v>
      </c>
      <c r="T15" s="977"/>
      <c r="U15" s="977"/>
      <c r="V15" s="977"/>
      <c r="W15" s="977"/>
      <c r="X15" s="977"/>
      <c r="Y15" s="977"/>
      <c r="Z15" s="977"/>
      <c r="AA15" s="977"/>
      <c r="AB15" s="977"/>
      <c r="AC15" s="977"/>
      <c r="AD15" s="977"/>
      <c r="AE15" s="248">
        <f t="shared" si="0"/>
        <v>1</v>
      </c>
    </row>
    <row r="16" spans="1:31" x14ac:dyDescent="0.3">
      <c r="B16" s="597" t="s">
        <v>824</v>
      </c>
      <c r="C16" s="584" t="s">
        <v>296</v>
      </c>
      <c r="D16" s="572">
        <v>4.8</v>
      </c>
      <c r="E16" s="572">
        <v>0</v>
      </c>
      <c r="F16" s="572">
        <v>0</v>
      </c>
      <c r="G16" s="572">
        <v>0</v>
      </c>
      <c r="H16" s="572">
        <v>0</v>
      </c>
      <c r="I16" s="572">
        <v>0</v>
      </c>
      <c r="J16" s="572">
        <v>0</v>
      </c>
      <c r="K16" s="572">
        <v>0</v>
      </c>
      <c r="M16" s="597" t="s">
        <v>824</v>
      </c>
      <c r="N16" s="584" t="s">
        <v>296</v>
      </c>
      <c r="O16" s="977"/>
      <c r="P16" s="977">
        <v>0.2</v>
      </c>
      <c r="Q16" s="977"/>
      <c r="R16" s="977"/>
      <c r="S16" s="977">
        <v>0.5</v>
      </c>
      <c r="T16" s="977"/>
      <c r="U16" s="977"/>
      <c r="V16" s="977"/>
      <c r="W16" s="977"/>
      <c r="X16" s="977"/>
      <c r="Y16" s="977"/>
      <c r="Z16" s="977"/>
      <c r="AA16" s="977">
        <v>0.3</v>
      </c>
      <c r="AB16" s="977"/>
      <c r="AC16" s="977"/>
      <c r="AD16" s="977"/>
      <c r="AE16" s="248">
        <f t="shared" si="0"/>
        <v>1</v>
      </c>
    </row>
    <row r="17" spans="2:31" x14ac:dyDescent="0.3">
      <c r="B17" s="597" t="s">
        <v>825</v>
      </c>
      <c r="C17" s="584" t="s">
        <v>296</v>
      </c>
      <c r="D17" s="572">
        <v>4</v>
      </c>
      <c r="E17" s="572">
        <v>0</v>
      </c>
      <c r="F17" s="572">
        <v>0</v>
      </c>
      <c r="G17" s="572">
        <v>0</v>
      </c>
      <c r="H17" s="572">
        <v>0</v>
      </c>
      <c r="I17" s="572">
        <v>0</v>
      </c>
      <c r="J17" s="572">
        <v>0</v>
      </c>
      <c r="K17" s="572">
        <v>0</v>
      </c>
      <c r="M17" s="597" t="s">
        <v>825</v>
      </c>
      <c r="N17" s="584" t="s">
        <v>296</v>
      </c>
      <c r="O17" s="977"/>
      <c r="P17" s="977">
        <v>0.2</v>
      </c>
      <c r="Q17" s="977"/>
      <c r="R17" s="977"/>
      <c r="S17" s="977">
        <v>0.6</v>
      </c>
      <c r="T17" s="977"/>
      <c r="U17" s="977"/>
      <c r="V17" s="977"/>
      <c r="W17" s="977"/>
      <c r="X17" s="977"/>
      <c r="Y17" s="977"/>
      <c r="Z17" s="977"/>
      <c r="AA17" s="977">
        <v>0.2</v>
      </c>
      <c r="AB17" s="977"/>
      <c r="AC17" s="977"/>
      <c r="AD17" s="977"/>
      <c r="AE17" s="248">
        <f t="shared" si="0"/>
        <v>1</v>
      </c>
    </row>
    <row r="18" spans="2:31" x14ac:dyDescent="0.3">
      <c r="B18" s="597" t="s">
        <v>826</v>
      </c>
      <c r="C18" s="584" t="s">
        <v>296</v>
      </c>
      <c r="D18" s="572">
        <v>64.177451531250014</v>
      </c>
      <c r="E18" s="572">
        <v>38.734684874999971</v>
      </c>
      <c r="F18" s="572">
        <v>77.469369750000027</v>
      </c>
      <c r="G18" s="572">
        <v>38.734684874999957</v>
      </c>
      <c r="H18" s="572">
        <v>0</v>
      </c>
      <c r="I18" s="572">
        <v>0</v>
      </c>
      <c r="J18" s="572">
        <v>0</v>
      </c>
      <c r="K18" s="572">
        <v>0</v>
      </c>
      <c r="M18" s="597" t="s">
        <v>826</v>
      </c>
      <c r="N18" s="584" t="s">
        <v>296</v>
      </c>
      <c r="O18" s="977"/>
      <c r="P18" s="977">
        <v>0.3</v>
      </c>
      <c r="Q18" s="977"/>
      <c r="R18" s="977"/>
      <c r="S18" s="977">
        <v>0.3</v>
      </c>
      <c r="T18" s="977"/>
      <c r="U18" s="977"/>
      <c r="V18" s="977"/>
      <c r="W18" s="977"/>
      <c r="X18" s="977"/>
      <c r="Y18" s="977"/>
      <c r="Z18" s="977"/>
      <c r="AA18" s="977">
        <v>0.4</v>
      </c>
      <c r="AB18" s="977"/>
      <c r="AC18" s="977"/>
      <c r="AD18" s="977"/>
      <c r="AE18" s="248">
        <f t="shared" si="0"/>
        <v>1</v>
      </c>
    </row>
    <row r="19" spans="2:31" x14ac:dyDescent="0.3">
      <c r="B19" s="597" t="s">
        <v>827</v>
      </c>
      <c r="C19" s="584" t="s">
        <v>296</v>
      </c>
      <c r="D19" s="572">
        <v>0</v>
      </c>
      <c r="E19" s="572">
        <v>64</v>
      </c>
      <c r="F19" s="572">
        <v>112</v>
      </c>
      <c r="G19" s="572">
        <v>56</v>
      </c>
      <c r="H19" s="572">
        <v>0</v>
      </c>
      <c r="I19" s="572">
        <v>0</v>
      </c>
      <c r="J19" s="572">
        <v>0</v>
      </c>
      <c r="K19" s="572">
        <v>0</v>
      </c>
      <c r="M19" s="597" t="s">
        <v>827</v>
      </c>
      <c r="N19" s="584" t="s">
        <v>296</v>
      </c>
      <c r="O19" s="977"/>
      <c r="P19" s="977">
        <v>0.3</v>
      </c>
      <c r="Q19" s="977"/>
      <c r="R19" s="977"/>
      <c r="S19" s="977">
        <v>0.3</v>
      </c>
      <c r="T19" s="977"/>
      <c r="U19" s="977"/>
      <c r="V19" s="977"/>
      <c r="W19" s="977"/>
      <c r="X19" s="977"/>
      <c r="Y19" s="977"/>
      <c r="Z19" s="977"/>
      <c r="AA19" s="977">
        <v>0.4</v>
      </c>
      <c r="AB19" s="977"/>
      <c r="AC19" s="977"/>
      <c r="AD19" s="977"/>
      <c r="AE19" s="248">
        <f t="shared" si="0"/>
        <v>1</v>
      </c>
    </row>
    <row r="20" spans="2:31" x14ac:dyDescent="0.3">
      <c r="B20" s="597" t="s">
        <v>828</v>
      </c>
      <c r="C20" s="584" t="s">
        <v>296</v>
      </c>
      <c r="D20" s="572">
        <v>85.569935375000028</v>
      </c>
      <c r="E20" s="572">
        <v>51.646246499999961</v>
      </c>
      <c r="F20" s="572">
        <v>103.29249300000006</v>
      </c>
      <c r="G20" s="572">
        <v>51.64624649999994</v>
      </c>
      <c r="H20" s="572">
        <v>0</v>
      </c>
      <c r="I20" s="572">
        <v>0</v>
      </c>
      <c r="J20" s="572">
        <v>0</v>
      </c>
      <c r="K20" s="572">
        <v>0</v>
      </c>
      <c r="M20" s="597" t="s">
        <v>828</v>
      </c>
      <c r="N20" s="584" t="s">
        <v>296</v>
      </c>
      <c r="O20" s="977"/>
      <c r="P20" s="977">
        <v>0.25</v>
      </c>
      <c r="Q20" s="977"/>
      <c r="R20" s="977"/>
      <c r="S20" s="977">
        <v>0.15</v>
      </c>
      <c r="T20" s="977"/>
      <c r="U20" s="977"/>
      <c r="V20" s="977"/>
      <c r="W20" s="977"/>
      <c r="X20" s="977"/>
      <c r="Y20" s="977"/>
      <c r="Z20" s="977"/>
      <c r="AA20" s="977">
        <v>0.6</v>
      </c>
      <c r="AB20" s="977"/>
      <c r="AC20" s="977"/>
      <c r="AD20" s="977"/>
      <c r="AE20" s="248">
        <f t="shared" si="0"/>
        <v>1</v>
      </c>
    </row>
    <row r="21" spans="2:31" x14ac:dyDescent="0.3">
      <c r="B21" s="595" t="s">
        <v>829</v>
      </c>
      <c r="C21" s="606"/>
      <c r="D21" s="1045"/>
      <c r="E21" s="1046"/>
      <c r="F21" s="1046"/>
      <c r="G21" s="1047"/>
      <c r="H21" s="1047"/>
      <c r="I21" s="1048"/>
      <c r="J21" s="1046"/>
      <c r="K21" s="1047"/>
      <c r="M21" s="595" t="s">
        <v>829</v>
      </c>
      <c r="N21" s="606"/>
      <c r="O21" s="807"/>
      <c r="P21" s="807"/>
      <c r="Q21" s="807"/>
      <c r="R21" s="807"/>
      <c r="S21" s="807"/>
      <c r="T21" s="807"/>
      <c r="U21" s="807"/>
      <c r="V21" s="807"/>
      <c r="W21" s="807"/>
      <c r="X21" s="807"/>
      <c r="Y21" s="807"/>
      <c r="Z21" s="807"/>
      <c r="AA21" s="807"/>
      <c r="AB21" s="807"/>
      <c r="AC21" s="807"/>
      <c r="AD21" s="807"/>
      <c r="AE21" s="821"/>
    </row>
    <row r="22" spans="2:31" x14ac:dyDescent="0.3">
      <c r="B22" s="598" t="s">
        <v>830</v>
      </c>
      <c r="C22" s="584" t="s">
        <v>296</v>
      </c>
      <c r="D22" s="577">
        <v>58.27563</v>
      </c>
      <c r="E22" s="577">
        <v>87.002549999999999</v>
      </c>
      <c r="F22" s="577">
        <v>144.45639</v>
      </c>
      <c r="G22" s="577">
        <v>173.18331000000001</v>
      </c>
      <c r="H22" s="577">
        <v>173.18331000000001</v>
      </c>
      <c r="I22" s="577">
        <v>173.18331000000001</v>
      </c>
      <c r="J22" s="577">
        <v>173.18331000000001</v>
      </c>
      <c r="K22" s="577">
        <v>173.18331000000001</v>
      </c>
      <c r="M22" s="598" t="s">
        <v>830</v>
      </c>
      <c r="N22" s="584" t="s">
        <v>296</v>
      </c>
      <c r="O22" s="716"/>
      <c r="P22" s="716">
        <v>0.75</v>
      </c>
      <c r="Q22" s="716"/>
      <c r="R22" s="716"/>
      <c r="S22" s="716">
        <v>0.2</v>
      </c>
      <c r="T22" s="716"/>
      <c r="U22" s="716"/>
      <c r="V22" s="716"/>
      <c r="W22" s="716">
        <v>0.05</v>
      </c>
      <c r="X22" s="716"/>
      <c r="Y22" s="716"/>
      <c r="Z22" s="716"/>
      <c r="AA22" s="716"/>
      <c r="AB22" s="716"/>
      <c r="AC22" s="716"/>
      <c r="AD22" s="716"/>
      <c r="AE22" s="248">
        <f>SUM(O22:AD22)</f>
        <v>1</v>
      </c>
    </row>
    <row r="23" spans="2:31" x14ac:dyDescent="0.3">
      <c r="B23" s="598" t="s">
        <v>831</v>
      </c>
      <c r="C23" s="584" t="s">
        <v>296</v>
      </c>
      <c r="D23" s="577">
        <v>0</v>
      </c>
      <c r="E23" s="577">
        <v>0</v>
      </c>
      <c r="F23" s="577">
        <v>0</v>
      </c>
      <c r="G23" s="577">
        <v>0</v>
      </c>
      <c r="H23" s="577">
        <v>0</v>
      </c>
      <c r="I23" s="577">
        <v>0</v>
      </c>
      <c r="J23" s="577">
        <v>0</v>
      </c>
      <c r="K23" s="577">
        <v>0</v>
      </c>
      <c r="M23" s="598" t="s">
        <v>831</v>
      </c>
      <c r="N23" s="584" t="s">
        <v>296</v>
      </c>
      <c r="O23" s="716"/>
      <c r="P23" s="716"/>
      <c r="Q23" s="716"/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>
        <v>1</v>
      </c>
      <c r="AC23" s="716"/>
      <c r="AD23" s="716"/>
      <c r="AE23" s="248">
        <f>SUM(O23:AD23)</f>
        <v>1</v>
      </c>
    </row>
    <row r="24" spans="2:31" x14ac:dyDescent="0.3">
      <c r="B24" s="598" t="s">
        <v>832</v>
      </c>
      <c r="C24" s="584" t="s">
        <v>296</v>
      </c>
      <c r="D24" s="577">
        <v>14.033124000000001</v>
      </c>
      <c r="E24" s="577">
        <v>20.95074</v>
      </c>
      <c r="F24" s="577">
        <v>34.785972000000001</v>
      </c>
      <c r="G24" s="577">
        <v>41.703588000000003</v>
      </c>
      <c r="H24" s="577">
        <v>41.703588000000003</v>
      </c>
      <c r="I24" s="577">
        <v>41.703588000000003</v>
      </c>
      <c r="J24" s="577">
        <v>41.703588000000003</v>
      </c>
      <c r="K24" s="577">
        <v>41.703588000000003</v>
      </c>
      <c r="M24" s="598" t="s">
        <v>832</v>
      </c>
      <c r="N24" s="584" t="s">
        <v>296</v>
      </c>
      <c r="O24" s="716"/>
      <c r="P24" s="716"/>
      <c r="Q24" s="716"/>
      <c r="R24" s="716"/>
      <c r="S24" s="716"/>
      <c r="T24" s="716"/>
      <c r="U24" s="716"/>
      <c r="V24" s="716"/>
      <c r="W24" s="716"/>
      <c r="X24" s="716"/>
      <c r="Y24" s="716"/>
      <c r="Z24" s="716"/>
      <c r="AA24" s="716"/>
      <c r="AB24" s="716">
        <v>1</v>
      </c>
      <c r="AC24" s="716"/>
      <c r="AD24" s="716"/>
      <c r="AE24" s="248">
        <f>SUM(O24:AD24)</f>
        <v>1</v>
      </c>
    </row>
    <row r="25" spans="2:31" x14ac:dyDescent="0.3">
      <c r="B25" s="598" t="s">
        <v>666</v>
      </c>
      <c r="C25" s="584" t="s">
        <v>296</v>
      </c>
      <c r="D25" s="577">
        <v>21.324912896875002</v>
      </c>
      <c r="E25" s="577">
        <v>26.470943942708331</v>
      </c>
      <c r="F25" s="577">
        <v>36.229672701041665</v>
      </c>
      <c r="G25" s="577">
        <v>42.709037080208333</v>
      </c>
      <c r="H25" s="577">
        <v>42.709037080208333</v>
      </c>
      <c r="I25" s="577">
        <v>42.709037080208333</v>
      </c>
      <c r="J25" s="577">
        <v>42.709037080208333</v>
      </c>
      <c r="K25" s="577">
        <v>42.709037080208333</v>
      </c>
      <c r="M25" s="598" t="s">
        <v>666</v>
      </c>
      <c r="N25" s="584" t="s">
        <v>296</v>
      </c>
      <c r="O25" s="716"/>
      <c r="P25" s="716"/>
      <c r="Q25" s="716"/>
      <c r="R25" s="716"/>
      <c r="S25" s="716"/>
      <c r="T25" s="716"/>
      <c r="U25" s="716"/>
      <c r="V25" s="716"/>
      <c r="W25" s="716"/>
      <c r="X25" s="716"/>
      <c r="Y25" s="716"/>
      <c r="Z25" s="716"/>
      <c r="AA25" s="716"/>
      <c r="AB25" s="716"/>
      <c r="AC25" s="716"/>
      <c r="AD25" s="716">
        <v>1</v>
      </c>
      <c r="AE25" s="248">
        <f>SUM(O25:AD25)</f>
        <v>1</v>
      </c>
    </row>
    <row r="26" spans="2:31" x14ac:dyDescent="0.3">
      <c r="B26" s="597" t="s">
        <v>409</v>
      </c>
      <c r="C26" s="584" t="s">
        <v>296</v>
      </c>
      <c r="D26" s="577">
        <v>146.79</v>
      </c>
      <c r="E26" s="577">
        <v>219.15</v>
      </c>
      <c r="F26" s="577">
        <v>363.87</v>
      </c>
      <c r="G26" s="577">
        <v>436.23</v>
      </c>
      <c r="H26" s="577">
        <v>436.23</v>
      </c>
      <c r="I26" s="577">
        <v>436.23</v>
      </c>
      <c r="J26" s="577">
        <v>436.23</v>
      </c>
      <c r="K26" s="577">
        <v>436.23</v>
      </c>
      <c r="M26" s="597" t="s">
        <v>409</v>
      </c>
      <c r="N26" s="584" t="s">
        <v>296</v>
      </c>
      <c r="O26" s="716">
        <v>1</v>
      </c>
      <c r="P26" s="716"/>
      <c r="Q26" s="716"/>
      <c r="R26" s="716"/>
      <c r="S26" s="716"/>
      <c r="T26" s="716"/>
      <c r="U26" s="716"/>
      <c r="V26" s="716"/>
      <c r="W26" s="716"/>
      <c r="X26" s="716"/>
      <c r="Y26" s="716"/>
      <c r="Z26" s="716"/>
      <c r="AA26" s="716"/>
      <c r="AB26" s="716"/>
      <c r="AC26" s="716"/>
      <c r="AD26" s="716"/>
      <c r="AE26" s="248">
        <f>SUM(O26:AD26)</f>
        <v>1</v>
      </c>
    </row>
    <row r="27" spans="2:31" x14ac:dyDescent="0.3">
      <c r="B27" s="595" t="s">
        <v>298</v>
      </c>
      <c r="C27" s="606"/>
      <c r="D27" s="1045"/>
      <c r="E27" s="1045"/>
      <c r="F27" s="1045"/>
      <c r="G27" s="1045"/>
      <c r="H27" s="1045"/>
      <c r="I27" s="1045"/>
      <c r="J27" s="1045"/>
      <c r="K27" s="1045"/>
      <c r="M27" s="595" t="s">
        <v>298</v>
      </c>
      <c r="N27" s="606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21"/>
    </row>
    <row r="28" spans="2:31" x14ac:dyDescent="0.3">
      <c r="B28" s="598" t="s">
        <v>298</v>
      </c>
      <c r="C28" s="584" t="s">
        <v>296</v>
      </c>
      <c r="D28" s="577">
        <v>275.83045048966818</v>
      </c>
      <c r="E28" s="577">
        <v>370.59114881614931</v>
      </c>
      <c r="F28" s="577">
        <v>632.76315708530024</v>
      </c>
      <c r="G28" s="577">
        <v>744.61815605658694</v>
      </c>
      <c r="H28" s="577">
        <v>744.52907916032211</v>
      </c>
      <c r="I28" s="577">
        <v>744.80689715709696</v>
      </c>
      <c r="J28" s="577">
        <v>735.4866203574677</v>
      </c>
      <c r="K28" s="577">
        <v>713.00584337560815</v>
      </c>
      <c r="M28" s="598" t="s">
        <v>298</v>
      </c>
      <c r="N28" s="584" t="s">
        <v>296</v>
      </c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>
        <v>1</v>
      </c>
      <c r="Z28" s="716"/>
      <c r="AA28" s="716"/>
      <c r="AB28" s="716"/>
      <c r="AC28" s="716"/>
      <c r="AD28" s="716"/>
      <c r="AE28" s="248">
        <f>SUM(O28:AD28)</f>
        <v>1</v>
      </c>
    </row>
    <row r="29" spans="2:31" x14ac:dyDescent="0.3">
      <c r="B29" s="595" t="s">
        <v>859</v>
      </c>
      <c r="C29" s="606"/>
      <c r="D29" s="1045"/>
      <c r="E29" s="1045"/>
      <c r="F29" s="1045"/>
      <c r="G29" s="1045"/>
      <c r="H29" s="1045"/>
      <c r="I29" s="1045"/>
      <c r="J29" s="1045"/>
      <c r="K29" s="1045"/>
      <c r="M29" s="595" t="s">
        <v>859</v>
      </c>
      <c r="N29" s="606"/>
      <c r="O29" s="807"/>
      <c r="P29" s="807"/>
      <c r="Q29" s="807"/>
      <c r="R29" s="807"/>
      <c r="S29" s="807"/>
      <c r="T29" s="807"/>
      <c r="U29" s="807"/>
      <c r="V29" s="807"/>
      <c r="W29" s="807"/>
      <c r="X29" s="807"/>
      <c r="Y29" s="807"/>
      <c r="Z29" s="807"/>
      <c r="AA29" s="807"/>
      <c r="AB29" s="807"/>
      <c r="AC29" s="807"/>
      <c r="AD29" s="807"/>
      <c r="AE29" s="821"/>
    </row>
    <row r="30" spans="2:31" x14ac:dyDescent="0.3">
      <c r="B30" s="598" t="s">
        <v>860</v>
      </c>
      <c r="C30" s="584" t="s">
        <v>296</v>
      </c>
      <c r="D30" s="577">
        <v>521.73857344054318</v>
      </c>
      <c r="E30" s="577">
        <v>741.22374482135763</v>
      </c>
      <c r="F30" s="577">
        <v>1251.474420274217</v>
      </c>
      <c r="G30" s="577">
        <v>1494.4708276924202</v>
      </c>
      <c r="H30" s="577">
        <v>1506.2662100655305</v>
      </c>
      <c r="I30" s="577">
        <v>1517.8625606998053</v>
      </c>
      <c r="J30" s="577">
        <v>1519.8608165376761</v>
      </c>
      <c r="K30" s="577">
        <v>1508.6985721933165</v>
      </c>
      <c r="M30" s="598" t="s">
        <v>860</v>
      </c>
      <c r="N30" s="584" t="s">
        <v>296</v>
      </c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>
        <v>-1</v>
      </c>
      <c r="AB30" s="716"/>
      <c r="AC30" s="716"/>
      <c r="AD30" s="716"/>
      <c r="AE30" s="248">
        <f>SUM(O30:AD30)</f>
        <v>-1</v>
      </c>
    </row>
    <row r="31" spans="2:31" x14ac:dyDescent="0.3">
      <c r="B31" s="595" t="s">
        <v>713</v>
      </c>
      <c r="C31" s="596"/>
      <c r="D31" s="1045"/>
      <c r="E31" s="1045"/>
      <c r="F31" s="1049"/>
      <c r="G31" s="1049"/>
      <c r="H31" s="1045"/>
      <c r="I31" s="1045"/>
      <c r="J31" s="1045"/>
      <c r="K31" s="1045"/>
      <c r="M31" s="595" t="s">
        <v>713</v>
      </c>
      <c r="N31" s="596"/>
      <c r="O31" s="807"/>
      <c r="P31" s="807"/>
      <c r="Q31" s="807"/>
      <c r="R31" s="807"/>
      <c r="S31" s="807"/>
      <c r="T31" s="807"/>
      <c r="U31" s="807"/>
      <c r="V31" s="807"/>
      <c r="W31" s="807"/>
      <c r="X31" s="807"/>
      <c r="Y31" s="807"/>
      <c r="Z31" s="807"/>
      <c r="AA31" s="807"/>
      <c r="AB31" s="807"/>
      <c r="AC31" s="807"/>
      <c r="AD31" s="807"/>
      <c r="AE31" s="821"/>
    </row>
    <row r="32" spans="2:31" x14ac:dyDescent="0.3">
      <c r="B32" s="597" t="s">
        <v>833</v>
      </c>
      <c r="C32" s="582" t="s">
        <v>412</v>
      </c>
      <c r="D32" s="577">
        <v>761.73000750000017</v>
      </c>
      <c r="E32" s="577">
        <v>1137.2241374999999</v>
      </c>
      <c r="F32" s="577">
        <v>1888.2123975000004</v>
      </c>
      <c r="G32" s="577">
        <v>2263.7065275000004</v>
      </c>
      <c r="H32" s="577">
        <v>2263.7065275000004</v>
      </c>
      <c r="I32" s="577">
        <v>2263.7065275000004</v>
      </c>
      <c r="J32" s="577">
        <v>2263.7065275000004</v>
      </c>
      <c r="K32" s="577">
        <v>2263.7065275000004</v>
      </c>
      <c r="M32" s="597" t="s">
        <v>833</v>
      </c>
      <c r="N32" s="582" t="s">
        <v>412</v>
      </c>
      <c r="O32" s="716"/>
      <c r="P32" s="716"/>
      <c r="Q32" s="716"/>
      <c r="R32" s="716"/>
      <c r="S32" s="716"/>
      <c r="T32" s="716"/>
      <c r="U32" s="716"/>
      <c r="V32" s="716"/>
      <c r="W32" s="716"/>
      <c r="X32" s="716"/>
      <c r="Y32" s="716"/>
      <c r="Z32" s="716"/>
      <c r="AA32" s="716"/>
      <c r="AB32" s="716"/>
      <c r="AC32" s="716"/>
      <c r="AD32" s="716"/>
      <c r="AE32" s="716"/>
    </row>
    <row r="33" spans="2:33" x14ac:dyDescent="0.3">
      <c r="B33" s="597" t="s">
        <v>308</v>
      </c>
      <c r="C33" s="582" t="s">
        <v>296</v>
      </c>
      <c r="D33" s="577">
        <v>5.4844560540000016</v>
      </c>
      <c r="E33" s="577">
        <v>17.058362062499999</v>
      </c>
      <c r="F33" s="577">
        <v>39.369228487875013</v>
      </c>
      <c r="G33" s="577">
        <v>56.026736555625007</v>
      </c>
      <c r="H33" s="577">
        <v>67.911195825000007</v>
      </c>
      <c r="I33" s="577">
        <v>79.229728462500006</v>
      </c>
      <c r="J33" s="577">
        <v>90.548261100000005</v>
      </c>
      <c r="K33" s="577">
        <v>101.86679373750002</v>
      </c>
      <c r="M33" s="597" t="s">
        <v>308</v>
      </c>
      <c r="N33" s="582" t="s">
        <v>296</v>
      </c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  <c r="AA33" s="716"/>
      <c r="AB33" s="716">
        <v>1</v>
      </c>
      <c r="AC33" s="716"/>
      <c r="AD33" s="716"/>
      <c r="AE33" s="248">
        <f>SUM(O33:AD33)</f>
        <v>1</v>
      </c>
    </row>
    <row r="34" spans="2:33" x14ac:dyDescent="0.3">
      <c r="B34" s="770"/>
      <c r="C34" s="219"/>
      <c r="D34" s="219"/>
      <c r="E34" s="219"/>
      <c r="F34" s="219"/>
      <c r="G34" s="219"/>
      <c r="H34" s="219"/>
      <c r="I34" s="219"/>
      <c r="J34" s="219"/>
      <c r="K34" s="219"/>
      <c r="M34" s="770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G34" s="256"/>
    </row>
    <row r="35" spans="2:33" outlineLevel="1" x14ac:dyDescent="0.3">
      <c r="B35" s="603" t="s">
        <v>882</v>
      </c>
      <c r="C35" s="615"/>
      <c r="D35" s="615"/>
      <c r="E35" s="615"/>
      <c r="F35" s="615"/>
      <c r="G35" s="615"/>
      <c r="H35" s="615"/>
      <c r="I35" s="615"/>
      <c r="J35" s="615"/>
      <c r="K35" s="605"/>
      <c r="M35" s="603" t="s">
        <v>821</v>
      </c>
      <c r="N35" s="615"/>
      <c r="O35" s="615"/>
      <c r="P35" s="615"/>
      <c r="Q35" s="615"/>
      <c r="R35" s="615"/>
      <c r="S35" s="615"/>
      <c r="T35" s="615"/>
      <c r="U35" s="615"/>
      <c r="V35" s="605"/>
    </row>
    <row r="36" spans="2:33" outlineLevel="1" x14ac:dyDescent="0.3">
      <c r="B36" s="602"/>
      <c r="C36" s="600" t="s">
        <v>293</v>
      </c>
      <c r="D36" s="617">
        <v>2015</v>
      </c>
      <c r="E36" s="617">
        <v>2020</v>
      </c>
      <c r="F36" s="617">
        <v>2025</v>
      </c>
      <c r="G36" s="600">
        <v>2030</v>
      </c>
      <c r="H36" s="600">
        <v>2035</v>
      </c>
      <c r="I36" s="600">
        <v>2040</v>
      </c>
      <c r="J36" s="617">
        <v>2045</v>
      </c>
      <c r="K36" s="621">
        <v>2050</v>
      </c>
      <c r="M36" s="602"/>
      <c r="N36" s="600" t="s">
        <v>293</v>
      </c>
      <c r="O36" s="617">
        <v>2015</v>
      </c>
      <c r="P36" s="617">
        <v>2020</v>
      </c>
      <c r="Q36" s="617">
        <v>2025</v>
      </c>
      <c r="R36" s="600">
        <v>2030</v>
      </c>
      <c r="S36" s="600">
        <v>2035</v>
      </c>
      <c r="T36" s="600">
        <v>2040</v>
      </c>
      <c r="U36" s="617">
        <v>2045</v>
      </c>
      <c r="V36" s="621">
        <v>2050</v>
      </c>
    </row>
    <row r="37" spans="2:33" outlineLevel="1" x14ac:dyDescent="0.3">
      <c r="B37" s="595" t="s">
        <v>54</v>
      </c>
      <c r="C37" s="596"/>
      <c r="D37" s="596"/>
      <c r="E37" s="596"/>
      <c r="F37" s="596"/>
      <c r="G37" s="596"/>
      <c r="H37" s="596"/>
      <c r="I37" s="626"/>
      <c r="J37" s="596"/>
      <c r="K37" s="596"/>
      <c r="M37" s="595" t="s">
        <v>54</v>
      </c>
      <c r="N37" s="596"/>
      <c r="O37" s="596"/>
      <c r="P37" s="596"/>
      <c r="Q37" s="596"/>
      <c r="R37" s="596"/>
      <c r="S37" s="596"/>
      <c r="T37" s="626"/>
      <c r="U37" s="596"/>
      <c r="V37" s="596"/>
    </row>
    <row r="38" spans="2:33" outlineLevel="1" x14ac:dyDescent="0.3">
      <c r="B38" s="627" t="s">
        <v>294</v>
      </c>
      <c r="C38" s="584" t="s">
        <v>75</v>
      </c>
      <c r="D38" s="1034">
        <f t="shared" ref="D38:K42" si="1">O38-D8</f>
        <v>0</v>
      </c>
      <c r="E38" s="1034">
        <f t="shared" si="1"/>
        <v>-8341.5</v>
      </c>
      <c r="F38" s="1034">
        <f t="shared" si="1"/>
        <v>-25024.5</v>
      </c>
      <c r="G38" s="629">
        <f t="shared" si="1"/>
        <v>-58390.500000000029</v>
      </c>
      <c r="H38" s="1035">
        <f t="shared" si="1"/>
        <v>-58390.500000000029</v>
      </c>
      <c r="I38" s="629">
        <f t="shared" si="1"/>
        <v>-58390.500000000029</v>
      </c>
      <c r="J38" s="1036">
        <f t="shared" si="1"/>
        <v>-58390.500000000029</v>
      </c>
      <c r="K38" s="1037">
        <f t="shared" si="1"/>
        <v>-58390.500000000029</v>
      </c>
      <c r="M38" s="627" t="s">
        <v>294</v>
      </c>
      <c r="N38" s="584" t="s">
        <v>75</v>
      </c>
      <c r="O38" s="572">
        <v>74805.5</v>
      </c>
      <c r="P38" s="572">
        <v>99830.000000000015</v>
      </c>
      <c r="Q38" s="572">
        <v>149879</v>
      </c>
      <c r="R38" s="572">
        <v>149879</v>
      </c>
      <c r="S38" s="572">
        <v>149879</v>
      </c>
      <c r="T38" s="572">
        <v>149879</v>
      </c>
      <c r="U38" s="572">
        <v>149879</v>
      </c>
      <c r="V38" s="572">
        <v>149879</v>
      </c>
    </row>
    <row r="39" spans="2:33" outlineLevel="1" x14ac:dyDescent="0.3">
      <c r="B39" s="573" t="s">
        <v>323</v>
      </c>
      <c r="C39" s="580" t="s">
        <v>75</v>
      </c>
      <c r="D39" s="1034">
        <f t="shared" si="1"/>
        <v>0</v>
      </c>
      <c r="E39" s="1034">
        <f t="shared" si="1"/>
        <v>-8341.5</v>
      </c>
      <c r="F39" s="1034">
        <f t="shared" si="1"/>
        <v>-25024.5</v>
      </c>
      <c r="G39" s="1034">
        <f t="shared" si="1"/>
        <v>-58390.500000000029</v>
      </c>
      <c r="H39" s="1034">
        <f t="shared" si="1"/>
        <v>-58390.500000000029</v>
      </c>
      <c r="I39" s="1034">
        <f t="shared" si="1"/>
        <v>-58390.500000000029</v>
      </c>
      <c r="J39" s="1034">
        <f t="shared" si="1"/>
        <v>-58390.500000000029</v>
      </c>
      <c r="K39" s="1034">
        <f t="shared" si="1"/>
        <v>-58390.500000000029</v>
      </c>
      <c r="M39" s="573" t="s">
        <v>323</v>
      </c>
      <c r="N39" s="580" t="s">
        <v>75</v>
      </c>
      <c r="O39" s="572">
        <v>74805.5</v>
      </c>
      <c r="P39" s="572">
        <v>99830.000000000015</v>
      </c>
      <c r="Q39" s="572">
        <v>149879</v>
      </c>
      <c r="R39" s="572">
        <v>149879</v>
      </c>
      <c r="S39" s="572">
        <v>149879</v>
      </c>
      <c r="T39" s="572">
        <v>149879</v>
      </c>
      <c r="U39" s="572">
        <v>149879</v>
      </c>
      <c r="V39" s="572">
        <v>149879</v>
      </c>
    </row>
    <row r="40" spans="2:33" outlineLevel="1" x14ac:dyDescent="0.3">
      <c r="B40" s="597" t="s">
        <v>648</v>
      </c>
      <c r="C40" s="591" t="s">
        <v>75</v>
      </c>
      <c r="D40" s="1038">
        <f t="shared" si="1"/>
        <v>0</v>
      </c>
      <c r="E40" s="1038">
        <f t="shared" si="1"/>
        <v>0</v>
      </c>
      <c r="F40" s="1038">
        <f t="shared" si="1"/>
        <v>0</v>
      </c>
      <c r="G40" s="1038">
        <f t="shared" si="1"/>
        <v>0</v>
      </c>
      <c r="H40" s="1038">
        <f t="shared" si="1"/>
        <v>0</v>
      </c>
      <c r="I40" s="1038">
        <f t="shared" si="1"/>
        <v>0</v>
      </c>
      <c r="J40" s="1038">
        <f t="shared" si="1"/>
        <v>0</v>
      </c>
      <c r="K40" s="1038">
        <f t="shared" si="1"/>
        <v>0</v>
      </c>
      <c r="M40" s="597" t="s">
        <v>648</v>
      </c>
      <c r="N40" s="591" t="s">
        <v>75</v>
      </c>
      <c r="O40" s="590">
        <v>0</v>
      </c>
      <c r="P40" s="590">
        <v>0</v>
      </c>
      <c r="Q40" s="590">
        <v>0</v>
      </c>
      <c r="R40" s="590">
        <v>0</v>
      </c>
      <c r="S40" s="590">
        <v>0</v>
      </c>
      <c r="T40" s="590">
        <v>0</v>
      </c>
      <c r="U40" s="590">
        <v>0</v>
      </c>
      <c r="V40" s="590">
        <v>0</v>
      </c>
    </row>
    <row r="41" spans="2:33" outlineLevel="1" x14ac:dyDescent="0.3">
      <c r="B41" s="599" t="s">
        <v>649</v>
      </c>
      <c r="C41" s="574" t="s">
        <v>75</v>
      </c>
      <c r="D41" s="629">
        <f t="shared" si="1"/>
        <v>0</v>
      </c>
      <c r="E41" s="629">
        <f t="shared" si="1"/>
        <v>0</v>
      </c>
      <c r="F41" s="629">
        <f t="shared" si="1"/>
        <v>0</v>
      </c>
      <c r="G41" s="629">
        <f t="shared" si="1"/>
        <v>0</v>
      </c>
      <c r="H41" s="629">
        <f t="shared" si="1"/>
        <v>0</v>
      </c>
      <c r="I41" s="629">
        <f t="shared" si="1"/>
        <v>0</v>
      </c>
      <c r="J41" s="629">
        <f t="shared" si="1"/>
        <v>0</v>
      </c>
      <c r="K41" s="629">
        <f t="shared" si="1"/>
        <v>0</v>
      </c>
      <c r="M41" s="599" t="s">
        <v>649</v>
      </c>
      <c r="N41" s="574" t="s">
        <v>75</v>
      </c>
      <c r="O41" s="577">
        <v>0</v>
      </c>
      <c r="P41" s="577">
        <v>0</v>
      </c>
      <c r="Q41" s="577">
        <v>0</v>
      </c>
      <c r="R41" s="577">
        <v>0</v>
      </c>
      <c r="S41" s="577">
        <v>0</v>
      </c>
      <c r="T41" s="577">
        <v>0</v>
      </c>
      <c r="U41" s="577">
        <v>0</v>
      </c>
      <c r="V41" s="577">
        <v>0</v>
      </c>
    </row>
    <row r="42" spans="2:33" outlineLevel="1" x14ac:dyDescent="0.3">
      <c r="B42" s="593" t="s">
        <v>305</v>
      </c>
      <c r="C42" s="574" t="s">
        <v>306</v>
      </c>
      <c r="D42" s="629">
        <f t="shared" si="1"/>
        <v>0</v>
      </c>
      <c r="E42" s="629">
        <f t="shared" si="1"/>
        <v>0</v>
      </c>
      <c r="F42" s="629">
        <f t="shared" si="1"/>
        <v>0</v>
      </c>
      <c r="G42" s="629">
        <f t="shared" si="1"/>
        <v>0</v>
      </c>
      <c r="H42" s="629">
        <f t="shared" si="1"/>
        <v>0</v>
      </c>
      <c r="I42" s="629">
        <f t="shared" si="1"/>
        <v>0</v>
      </c>
      <c r="J42" s="629">
        <f t="shared" si="1"/>
        <v>0</v>
      </c>
      <c r="K42" s="629">
        <f t="shared" si="1"/>
        <v>0</v>
      </c>
      <c r="M42" s="593" t="s">
        <v>305</v>
      </c>
      <c r="N42" s="574" t="s">
        <v>306</v>
      </c>
      <c r="O42" s="577">
        <v>0</v>
      </c>
      <c r="P42" s="577">
        <v>0</v>
      </c>
      <c r="Q42" s="577">
        <v>0</v>
      </c>
      <c r="R42" s="577">
        <v>0</v>
      </c>
      <c r="S42" s="577">
        <v>0</v>
      </c>
      <c r="T42" s="577">
        <v>0</v>
      </c>
      <c r="U42" s="577">
        <v>0</v>
      </c>
      <c r="V42" s="577">
        <v>0</v>
      </c>
    </row>
    <row r="43" spans="2:33" outlineLevel="1" x14ac:dyDescent="0.3">
      <c r="B43" s="595" t="s">
        <v>45</v>
      </c>
      <c r="C43" s="596"/>
      <c r="D43" s="596"/>
      <c r="E43" s="596"/>
      <c r="F43" s="596"/>
      <c r="G43" s="596"/>
      <c r="H43" s="596"/>
      <c r="I43" s="626"/>
      <c r="J43" s="596"/>
      <c r="K43" s="596"/>
      <c r="M43" s="595" t="s">
        <v>45</v>
      </c>
      <c r="N43" s="596"/>
      <c r="O43" s="606"/>
      <c r="P43" s="606"/>
      <c r="Q43" s="607"/>
      <c r="R43" s="607"/>
      <c r="S43" s="606"/>
      <c r="T43" s="606"/>
      <c r="U43" s="606"/>
      <c r="V43" s="606"/>
    </row>
    <row r="44" spans="2:33" outlineLevel="1" x14ac:dyDescent="0.3">
      <c r="B44" s="597" t="s">
        <v>822</v>
      </c>
      <c r="C44" s="583" t="s">
        <v>296</v>
      </c>
      <c r="D44" s="572">
        <f t="shared" ref="D44:K50" si="2">O44-D14</f>
        <v>0</v>
      </c>
      <c r="E44" s="572">
        <f t="shared" si="2"/>
        <v>0</v>
      </c>
      <c r="F44" s="572">
        <f t="shared" si="2"/>
        <v>0</v>
      </c>
      <c r="G44" s="572">
        <f t="shared" si="2"/>
        <v>0</v>
      </c>
      <c r="H44" s="572">
        <f t="shared" si="2"/>
        <v>0</v>
      </c>
      <c r="I44" s="572">
        <f t="shared" si="2"/>
        <v>0</v>
      </c>
      <c r="J44" s="572">
        <f t="shared" si="2"/>
        <v>0</v>
      </c>
      <c r="K44" s="572">
        <f t="shared" si="2"/>
        <v>0</v>
      </c>
      <c r="M44" s="597" t="s">
        <v>822</v>
      </c>
      <c r="N44" s="583" t="s">
        <v>296</v>
      </c>
      <c r="O44" s="584">
        <v>0</v>
      </c>
      <c r="P44" s="584">
        <v>0</v>
      </c>
      <c r="Q44" s="584">
        <v>0</v>
      </c>
      <c r="R44" s="584">
        <v>48</v>
      </c>
      <c r="S44" s="584">
        <v>0</v>
      </c>
      <c r="T44" s="584">
        <v>0</v>
      </c>
      <c r="U44" s="584">
        <v>0</v>
      </c>
      <c r="V44" s="584">
        <v>0</v>
      </c>
    </row>
    <row r="45" spans="2:33" outlineLevel="1" x14ac:dyDescent="0.3">
      <c r="B45" s="597" t="s">
        <v>823</v>
      </c>
      <c r="C45" s="584" t="s">
        <v>296</v>
      </c>
      <c r="D45" s="572">
        <f t="shared" si="2"/>
        <v>0</v>
      </c>
      <c r="E45" s="572">
        <f t="shared" si="2"/>
        <v>0</v>
      </c>
      <c r="F45" s="572">
        <f t="shared" si="2"/>
        <v>0</v>
      </c>
      <c r="G45" s="572">
        <f t="shared" si="2"/>
        <v>0</v>
      </c>
      <c r="H45" s="572">
        <f t="shared" si="2"/>
        <v>0</v>
      </c>
      <c r="I45" s="572">
        <f t="shared" si="2"/>
        <v>0</v>
      </c>
      <c r="J45" s="572">
        <f t="shared" si="2"/>
        <v>0</v>
      </c>
      <c r="K45" s="572">
        <f t="shared" si="2"/>
        <v>0</v>
      </c>
      <c r="M45" s="597" t="s">
        <v>823</v>
      </c>
      <c r="N45" s="584" t="s">
        <v>296</v>
      </c>
      <c r="O45" s="584">
        <v>1.2</v>
      </c>
      <c r="P45" s="584">
        <v>0</v>
      </c>
      <c r="Q45" s="584">
        <v>0</v>
      </c>
      <c r="R45" s="584">
        <v>0</v>
      </c>
      <c r="S45" s="584">
        <v>0</v>
      </c>
      <c r="T45" s="584">
        <v>0</v>
      </c>
      <c r="U45" s="584">
        <v>0</v>
      </c>
      <c r="V45" s="584">
        <v>0</v>
      </c>
    </row>
    <row r="46" spans="2:33" outlineLevel="1" x14ac:dyDescent="0.3">
      <c r="B46" s="597" t="s">
        <v>824</v>
      </c>
      <c r="C46" s="584" t="s">
        <v>296</v>
      </c>
      <c r="D46" s="572">
        <f t="shared" si="2"/>
        <v>0</v>
      </c>
      <c r="E46" s="572">
        <f t="shared" si="2"/>
        <v>0</v>
      </c>
      <c r="F46" s="572">
        <f t="shared" si="2"/>
        <v>0</v>
      </c>
      <c r="G46" s="572">
        <f t="shared" si="2"/>
        <v>0</v>
      </c>
      <c r="H46" s="572">
        <f t="shared" si="2"/>
        <v>0</v>
      </c>
      <c r="I46" s="572">
        <f t="shared" si="2"/>
        <v>0</v>
      </c>
      <c r="J46" s="572">
        <f t="shared" si="2"/>
        <v>0</v>
      </c>
      <c r="K46" s="572">
        <f t="shared" si="2"/>
        <v>0</v>
      </c>
      <c r="M46" s="597" t="s">
        <v>824</v>
      </c>
      <c r="N46" s="584" t="s">
        <v>296</v>
      </c>
      <c r="O46" s="584">
        <v>4.8</v>
      </c>
      <c r="P46" s="584">
        <v>0</v>
      </c>
      <c r="Q46" s="584">
        <v>0</v>
      </c>
      <c r="R46" s="584">
        <v>0</v>
      </c>
      <c r="S46" s="584">
        <v>0</v>
      </c>
      <c r="T46" s="584">
        <v>0</v>
      </c>
      <c r="U46" s="584">
        <v>0</v>
      </c>
      <c r="V46" s="584">
        <v>0</v>
      </c>
    </row>
    <row r="47" spans="2:33" outlineLevel="1" x14ac:dyDescent="0.3">
      <c r="B47" s="597" t="s">
        <v>825</v>
      </c>
      <c r="C47" s="584" t="s">
        <v>296</v>
      </c>
      <c r="D47" s="572">
        <f t="shared" si="2"/>
        <v>0</v>
      </c>
      <c r="E47" s="572">
        <f t="shared" si="2"/>
        <v>0</v>
      </c>
      <c r="F47" s="572">
        <f t="shared" si="2"/>
        <v>0</v>
      </c>
      <c r="G47" s="572">
        <f t="shared" si="2"/>
        <v>0</v>
      </c>
      <c r="H47" s="572">
        <f t="shared" si="2"/>
        <v>0</v>
      </c>
      <c r="I47" s="572">
        <f t="shared" si="2"/>
        <v>0</v>
      </c>
      <c r="J47" s="572">
        <f t="shared" si="2"/>
        <v>0</v>
      </c>
      <c r="K47" s="572">
        <f t="shared" si="2"/>
        <v>0</v>
      </c>
      <c r="M47" s="597" t="s">
        <v>825</v>
      </c>
      <c r="N47" s="584" t="s">
        <v>296</v>
      </c>
      <c r="O47" s="584">
        <v>4</v>
      </c>
      <c r="P47" s="584">
        <v>0</v>
      </c>
      <c r="Q47" s="584">
        <v>0</v>
      </c>
      <c r="R47" s="584">
        <v>0</v>
      </c>
      <c r="S47" s="584">
        <v>0</v>
      </c>
      <c r="T47" s="584">
        <v>0</v>
      </c>
      <c r="U47" s="584">
        <v>0</v>
      </c>
      <c r="V47" s="584">
        <v>0</v>
      </c>
    </row>
    <row r="48" spans="2:33" outlineLevel="1" x14ac:dyDescent="0.3">
      <c r="B48" s="597" t="s">
        <v>826</v>
      </c>
      <c r="C48" s="584" t="s">
        <v>296</v>
      </c>
      <c r="D48" s="572">
        <f t="shared" si="2"/>
        <v>0</v>
      </c>
      <c r="E48" s="572">
        <f t="shared" si="2"/>
        <v>-9.6836712187499927</v>
      </c>
      <c r="F48" s="572">
        <f t="shared" si="2"/>
        <v>-19.367342437500035</v>
      </c>
      <c r="G48" s="572">
        <f t="shared" si="2"/>
        <v>-38.734684874999957</v>
      </c>
      <c r="H48" s="572">
        <f t="shared" si="2"/>
        <v>0</v>
      </c>
      <c r="I48" s="572">
        <f t="shared" si="2"/>
        <v>0</v>
      </c>
      <c r="J48" s="572">
        <f t="shared" si="2"/>
        <v>0</v>
      </c>
      <c r="K48" s="572">
        <f t="shared" si="2"/>
        <v>0</v>
      </c>
      <c r="M48" s="597" t="s">
        <v>826</v>
      </c>
      <c r="N48" s="584" t="s">
        <v>296</v>
      </c>
      <c r="O48" s="584">
        <v>64.177451531250014</v>
      </c>
      <c r="P48" s="584">
        <v>29.051013656249978</v>
      </c>
      <c r="Q48" s="584">
        <v>58.102027312499992</v>
      </c>
      <c r="R48" s="584">
        <v>0</v>
      </c>
      <c r="S48" s="584">
        <v>0</v>
      </c>
      <c r="T48" s="584">
        <v>0</v>
      </c>
      <c r="U48" s="584">
        <v>0</v>
      </c>
      <c r="V48" s="584">
        <v>0</v>
      </c>
    </row>
    <row r="49" spans="2:22" outlineLevel="1" x14ac:dyDescent="0.3">
      <c r="B49" s="597" t="s">
        <v>827</v>
      </c>
      <c r="C49" s="584" t="s">
        <v>296</v>
      </c>
      <c r="D49" s="572">
        <f t="shared" si="2"/>
        <v>0</v>
      </c>
      <c r="E49" s="572">
        <f t="shared" si="2"/>
        <v>-18</v>
      </c>
      <c r="F49" s="572">
        <f t="shared" si="2"/>
        <v>-28</v>
      </c>
      <c r="G49" s="572">
        <f t="shared" si="2"/>
        <v>-56</v>
      </c>
      <c r="H49" s="572">
        <f t="shared" si="2"/>
        <v>0</v>
      </c>
      <c r="I49" s="572">
        <f t="shared" si="2"/>
        <v>0</v>
      </c>
      <c r="J49" s="572">
        <f t="shared" si="2"/>
        <v>0</v>
      </c>
      <c r="K49" s="572">
        <f t="shared" si="2"/>
        <v>0</v>
      </c>
      <c r="M49" s="597" t="s">
        <v>827</v>
      </c>
      <c r="N49" s="584" t="s">
        <v>296</v>
      </c>
      <c r="O49" s="584">
        <v>0</v>
      </c>
      <c r="P49" s="584">
        <v>46</v>
      </c>
      <c r="Q49" s="584">
        <v>84</v>
      </c>
      <c r="R49" s="584">
        <v>0</v>
      </c>
      <c r="S49" s="584">
        <v>0</v>
      </c>
      <c r="T49" s="584">
        <v>0</v>
      </c>
      <c r="U49" s="584">
        <v>0</v>
      </c>
      <c r="V49" s="584">
        <v>0</v>
      </c>
    </row>
    <row r="50" spans="2:22" outlineLevel="1" x14ac:dyDescent="0.3">
      <c r="B50" s="597" t="s">
        <v>828</v>
      </c>
      <c r="C50" s="584" t="s">
        <v>296</v>
      </c>
      <c r="D50" s="572">
        <f t="shared" si="2"/>
        <v>0</v>
      </c>
      <c r="E50" s="572">
        <f t="shared" si="2"/>
        <v>-12.911561624999997</v>
      </c>
      <c r="F50" s="572">
        <f t="shared" si="2"/>
        <v>-25.82312325000008</v>
      </c>
      <c r="G50" s="572">
        <f t="shared" si="2"/>
        <v>-51.64624649999994</v>
      </c>
      <c r="H50" s="572">
        <f t="shared" si="2"/>
        <v>0</v>
      </c>
      <c r="I50" s="572">
        <f t="shared" si="2"/>
        <v>0</v>
      </c>
      <c r="J50" s="572">
        <f t="shared" si="2"/>
        <v>0</v>
      </c>
      <c r="K50" s="572">
        <f t="shared" si="2"/>
        <v>0</v>
      </c>
      <c r="M50" s="597" t="s">
        <v>828</v>
      </c>
      <c r="N50" s="584" t="s">
        <v>296</v>
      </c>
      <c r="O50" s="584">
        <v>85.569935375000028</v>
      </c>
      <c r="P50" s="584">
        <v>38.734684874999964</v>
      </c>
      <c r="Q50" s="584">
        <v>77.469369749999984</v>
      </c>
      <c r="R50" s="584">
        <v>0</v>
      </c>
      <c r="S50" s="584">
        <v>0</v>
      </c>
      <c r="T50" s="584">
        <v>0</v>
      </c>
      <c r="U50" s="584">
        <v>0</v>
      </c>
      <c r="V50" s="584">
        <v>0</v>
      </c>
    </row>
    <row r="51" spans="2:22" outlineLevel="1" x14ac:dyDescent="0.3">
      <c r="B51" s="595" t="s">
        <v>829</v>
      </c>
      <c r="C51" s="606"/>
      <c r="D51" s="596"/>
      <c r="E51" s="596"/>
      <c r="F51" s="596"/>
      <c r="G51" s="596"/>
      <c r="H51" s="596"/>
      <c r="I51" s="626"/>
      <c r="J51" s="596"/>
      <c r="K51" s="596"/>
      <c r="M51" s="595" t="s">
        <v>829</v>
      </c>
      <c r="N51" s="606"/>
      <c r="O51" s="606"/>
      <c r="P51" s="606"/>
      <c r="Q51" s="606"/>
      <c r="R51" s="606"/>
      <c r="S51" s="606"/>
      <c r="T51" s="606"/>
      <c r="U51" s="606"/>
      <c r="V51" s="606"/>
    </row>
    <row r="52" spans="2:22" outlineLevel="1" x14ac:dyDescent="0.3">
      <c r="B52" s="598" t="s">
        <v>830</v>
      </c>
      <c r="C52" s="584" t="s">
        <v>296</v>
      </c>
      <c r="D52" s="572">
        <f t="shared" ref="D52:K56" si="3">O52-D22</f>
        <v>0</v>
      </c>
      <c r="E52" s="572">
        <f t="shared" si="3"/>
        <v>-7.1817300000000017</v>
      </c>
      <c r="F52" s="572">
        <f t="shared" si="3"/>
        <v>-21.545190000000005</v>
      </c>
      <c r="G52" s="572">
        <f t="shared" si="3"/>
        <v>-50.272110000000012</v>
      </c>
      <c r="H52" s="572">
        <f t="shared" si="3"/>
        <v>-50.272110000000012</v>
      </c>
      <c r="I52" s="572">
        <f t="shared" si="3"/>
        <v>-50.272110000000012</v>
      </c>
      <c r="J52" s="572">
        <f t="shared" si="3"/>
        <v>-50.272110000000012</v>
      </c>
      <c r="K52" s="572">
        <f t="shared" si="3"/>
        <v>-50.272110000000012</v>
      </c>
      <c r="M52" s="598" t="s">
        <v>830</v>
      </c>
      <c r="N52" s="584" t="s">
        <v>296</v>
      </c>
      <c r="O52" s="574">
        <v>58.27563</v>
      </c>
      <c r="P52" s="574">
        <v>79.820819999999998</v>
      </c>
      <c r="Q52" s="574">
        <v>122.91119999999999</v>
      </c>
      <c r="R52" s="574">
        <v>122.91119999999999</v>
      </c>
      <c r="S52" s="574">
        <v>122.91119999999999</v>
      </c>
      <c r="T52" s="574">
        <v>122.91119999999999</v>
      </c>
      <c r="U52" s="574">
        <v>122.91119999999999</v>
      </c>
      <c r="V52" s="574">
        <v>122.91119999999999</v>
      </c>
    </row>
    <row r="53" spans="2:22" outlineLevel="1" x14ac:dyDescent="0.3">
      <c r="B53" s="598" t="s">
        <v>831</v>
      </c>
      <c r="C53" s="584" t="s">
        <v>296</v>
      </c>
      <c r="D53" s="572">
        <f t="shared" si="3"/>
        <v>0</v>
      </c>
      <c r="E53" s="572">
        <f t="shared" si="3"/>
        <v>0</v>
      </c>
      <c r="F53" s="572">
        <f t="shared" si="3"/>
        <v>0</v>
      </c>
      <c r="G53" s="572">
        <f t="shared" si="3"/>
        <v>0</v>
      </c>
      <c r="H53" s="572">
        <f t="shared" si="3"/>
        <v>0</v>
      </c>
      <c r="I53" s="572">
        <f t="shared" si="3"/>
        <v>0</v>
      </c>
      <c r="J53" s="572">
        <f t="shared" si="3"/>
        <v>0</v>
      </c>
      <c r="K53" s="572">
        <f t="shared" si="3"/>
        <v>0</v>
      </c>
      <c r="M53" s="598" t="s">
        <v>831</v>
      </c>
      <c r="N53" s="584" t="s">
        <v>296</v>
      </c>
      <c r="O53" s="574">
        <v>0</v>
      </c>
      <c r="P53" s="574">
        <v>0</v>
      </c>
      <c r="Q53" s="574">
        <v>0</v>
      </c>
      <c r="R53" s="574">
        <v>0</v>
      </c>
      <c r="S53" s="574">
        <v>0</v>
      </c>
      <c r="T53" s="574">
        <v>0</v>
      </c>
      <c r="U53" s="574">
        <v>0</v>
      </c>
      <c r="V53" s="574">
        <v>0</v>
      </c>
    </row>
    <row r="54" spans="2:22" outlineLevel="1" x14ac:dyDescent="0.3">
      <c r="B54" s="598" t="s">
        <v>832</v>
      </c>
      <c r="C54" s="584" t="s">
        <v>296</v>
      </c>
      <c r="D54" s="572">
        <f t="shared" si="3"/>
        <v>0</v>
      </c>
      <c r="E54" s="572">
        <f t="shared" si="3"/>
        <v>-1.7294039999999988</v>
      </c>
      <c r="F54" s="572">
        <f t="shared" si="3"/>
        <v>-5.188212</v>
      </c>
      <c r="G54" s="572">
        <f t="shared" si="3"/>
        <v>-12.105828000000002</v>
      </c>
      <c r="H54" s="572">
        <f t="shared" si="3"/>
        <v>-12.105828000000002</v>
      </c>
      <c r="I54" s="572">
        <f t="shared" si="3"/>
        <v>-12.105828000000002</v>
      </c>
      <c r="J54" s="572">
        <f t="shared" si="3"/>
        <v>-12.105828000000002</v>
      </c>
      <c r="K54" s="572">
        <f t="shared" si="3"/>
        <v>-12.105828000000002</v>
      </c>
      <c r="M54" s="598" t="s">
        <v>832</v>
      </c>
      <c r="N54" s="584" t="s">
        <v>296</v>
      </c>
      <c r="O54" s="574">
        <v>14.033124000000001</v>
      </c>
      <c r="P54" s="574">
        <v>19.221336000000001</v>
      </c>
      <c r="Q54" s="574">
        <v>29.597760000000001</v>
      </c>
      <c r="R54" s="574">
        <v>29.597760000000001</v>
      </c>
      <c r="S54" s="574">
        <v>29.597760000000001</v>
      </c>
      <c r="T54" s="574">
        <v>29.597760000000001</v>
      </c>
      <c r="U54" s="574">
        <v>29.597760000000001</v>
      </c>
      <c r="V54" s="574">
        <v>29.597760000000001</v>
      </c>
    </row>
    <row r="55" spans="2:22" outlineLevel="1" x14ac:dyDescent="0.3">
      <c r="B55" s="598" t="s">
        <v>666</v>
      </c>
      <c r="C55" s="584" t="s">
        <v>296</v>
      </c>
      <c r="D55" s="572">
        <f t="shared" si="3"/>
        <v>0</v>
      </c>
      <c r="E55" s="572">
        <f t="shared" si="3"/>
        <v>-1.3531744281249978</v>
      </c>
      <c r="F55" s="572">
        <f t="shared" si="3"/>
        <v>-3.7928566177083312</v>
      </c>
      <c r="G55" s="572">
        <f t="shared" si="3"/>
        <v>-8.6722209968749979</v>
      </c>
      <c r="H55" s="572">
        <f t="shared" si="3"/>
        <v>-8.6722209968749979</v>
      </c>
      <c r="I55" s="572">
        <f t="shared" si="3"/>
        <v>-8.6722209968749979</v>
      </c>
      <c r="J55" s="572">
        <f t="shared" si="3"/>
        <v>-8.6722209968749979</v>
      </c>
      <c r="K55" s="572">
        <f t="shared" si="3"/>
        <v>-8.6722209968749979</v>
      </c>
      <c r="M55" s="598" t="s">
        <v>666</v>
      </c>
      <c r="N55" s="584" t="s">
        <v>296</v>
      </c>
      <c r="O55" s="574">
        <v>21.324912896875002</v>
      </c>
      <c r="P55" s="574">
        <v>25.117769514583333</v>
      </c>
      <c r="Q55" s="574">
        <v>32.436816083333333</v>
      </c>
      <c r="R55" s="574">
        <v>34.036816083333335</v>
      </c>
      <c r="S55" s="574">
        <v>34.036816083333335</v>
      </c>
      <c r="T55" s="574">
        <v>34.036816083333335</v>
      </c>
      <c r="U55" s="574">
        <v>34.036816083333335</v>
      </c>
      <c r="V55" s="574">
        <v>34.036816083333335</v>
      </c>
    </row>
    <row r="56" spans="2:22" outlineLevel="1" x14ac:dyDescent="0.3">
      <c r="B56" s="597" t="s">
        <v>409</v>
      </c>
      <c r="C56" s="584" t="s">
        <v>296</v>
      </c>
      <c r="D56" s="572">
        <f t="shared" si="3"/>
        <v>0</v>
      </c>
      <c r="E56" s="572">
        <f t="shared" si="3"/>
        <v>-18.090000000000003</v>
      </c>
      <c r="F56" s="572">
        <f t="shared" si="3"/>
        <v>-54.269999999999982</v>
      </c>
      <c r="G56" s="572">
        <f t="shared" si="3"/>
        <v>-126.63</v>
      </c>
      <c r="H56" s="572">
        <f t="shared" si="3"/>
        <v>-126.63</v>
      </c>
      <c r="I56" s="572">
        <f t="shared" si="3"/>
        <v>-126.63</v>
      </c>
      <c r="J56" s="572">
        <f t="shared" si="3"/>
        <v>-126.63</v>
      </c>
      <c r="K56" s="572">
        <f t="shared" si="3"/>
        <v>-126.63</v>
      </c>
      <c r="M56" s="597" t="s">
        <v>409</v>
      </c>
      <c r="N56" s="584" t="s">
        <v>296</v>
      </c>
      <c r="O56" s="574">
        <v>146.79</v>
      </c>
      <c r="P56" s="574">
        <v>201.06</v>
      </c>
      <c r="Q56" s="574">
        <v>309.60000000000002</v>
      </c>
      <c r="R56" s="574">
        <v>309.60000000000002</v>
      </c>
      <c r="S56" s="574">
        <v>309.60000000000002</v>
      </c>
      <c r="T56" s="574">
        <v>309.60000000000002</v>
      </c>
      <c r="U56" s="574">
        <v>309.60000000000002</v>
      </c>
      <c r="V56" s="574">
        <v>309.60000000000002</v>
      </c>
    </row>
    <row r="57" spans="2:22" outlineLevel="1" x14ac:dyDescent="0.3">
      <c r="B57" s="595" t="s">
        <v>298</v>
      </c>
      <c r="C57" s="606"/>
      <c r="D57" s="596"/>
      <c r="E57" s="596"/>
      <c r="F57" s="596"/>
      <c r="G57" s="596"/>
      <c r="H57" s="596"/>
      <c r="I57" s="626"/>
      <c r="J57" s="596"/>
      <c r="K57" s="596"/>
      <c r="M57" s="595" t="s">
        <v>298</v>
      </c>
      <c r="N57" s="606"/>
      <c r="O57" s="606"/>
      <c r="P57" s="606"/>
      <c r="Q57" s="606"/>
      <c r="R57" s="606"/>
      <c r="S57" s="606"/>
      <c r="T57" s="606"/>
      <c r="U57" s="606"/>
      <c r="V57" s="606"/>
    </row>
    <row r="58" spans="2:22" outlineLevel="1" x14ac:dyDescent="0.3">
      <c r="B58" s="598" t="s">
        <v>298</v>
      </c>
      <c r="C58" s="584" t="s">
        <v>296</v>
      </c>
      <c r="D58" s="572">
        <f t="shared" ref="D58:K58" si="4">O58-D28</f>
        <v>0</v>
      </c>
      <c r="E58" s="572">
        <f t="shared" si="4"/>
        <v>-31.422792982359738</v>
      </c>
      <c r="F58" s="572">
        <f t="shared" si="4"/>
        <v>-95.985198381343025</v>
      </c>
      <c r="G58" s="572">
        <f t="shared" si="4"/>
        <v>-219.875202304852</v>
      </c>
      <c r="H58" s="572">
        <f t="shared" si="4"/>
        <v>-219.84934482743415</v>
      </c>
      <c r="I58" s="572">
        <f t="shared" si="4"/>
        <v>-219.92999057149484</v>
      </c>
      <c r="J58" s="572">
        <f t="shared" si="4"/>
        <v>-217.22447593211405</v>
      </c>
      <c r="K58" s="572">
        <f t="shared" si="4"/>
        <v>-210.69869643686411</v>
      </c>
      <c r="M58" s="598" t="s">
        <v>298</v>
      </c>
      <c r="N58" s="584" t="s">
        <v>296</v>
      </c>
      <c r="O58" s="574">
        <v>275.83045048966818</v>
      </c>
      <c r="P58" s="574">
        <v>339.16835583378958</v>
      </c>
      <c r="Q58" s="574">
        <v>536.77795870395721</v>
      </c>
      <c r="R58" s="574">
        <v>524.74295375173494</v>
      </c>
      <c r="S58" s="574">
        <v>524.67973433288796</v>
      </c>
      <c r="T58" s="574">
        <v>524.87690658560211</v>
      </c>
      <c r="U58" s="574">
        <v>518.26214442535365</v>
      </c>
      <c r="V58" s="574">
        <v>502.30714693874404</v>
      </c>
    </row>
    <row r="59" spans="2:22" outlineLevel="1" x14ac:dyDescent="0.3">
      <c r="B59" s="595" t="s">
        <v>859</v>
      </c>
      <c r="C59" s="606"/>
      <c r="D59" s="606"/>
      <c r="E59" s="606"/>
      <c r="F59" s="606"/>
      <c r="G59" s="606"/>
      <c r="H59" s="606"/>
      <c r="I59" s="606"/>
      <c r="J59" s="606"/>
      <c r="K59" s="606"/>
      <c r="M59" s="595" t="s">
        <v>859</v>
      </c>
      <c r="N59" s="606"/>
      <c r="O59" s="606"/>
      <c r="P59" s="606"/>
      <c r="Q59" s="606"/>
      <c r="R59" s="606"/>
      <c r="S59" s="606"/>
      <c r="T59" s="606"/>
      <c r="U59" s="606"/>
      <c r="V59" s="606"/>
    </row>
    <row r="60" spans="2:22" outlineLevel="1" x14ac:dyDescent="0.3">
      <c r="B60" s="598" t="s">
        <v>860</v>
      </c>
      <c r="C60" s="584" t="s">
        <v>296</v>
      </c>
      <c r="D60" s="572">
        <f>O60-D30</f>
        <v>0</v>
      </c>
      <c r="E60" s="572">
        <f t="shared" ref="E60:K60" si="5">P60-E30</f>
        <v>-61.185204397984648</v>
      </c>
      <c r="F60" s="572">
        <f t="shared" si="5"/>
        <v>-186.65324645692635</v>
      </c>
      <c r="G60" s="572">
        <f t="shared" si="5"/>
        <v>-433.81895080735194</v>
      </c>
      <c r="H60" s="572">
        <f t="shared" si="5"/>
        <v>-437.24294564930915</v>
      </c>
      <c r="I60" s="572">
        <f t="shared" si="5"/>
        <v>-440.60916503086992</v>
      </c>
      <c r="J60" s="572">
        <f t="shared" si="5"/>
        <v>-441.1892240289892</v>
      </c>
      <c r="K60" s="572">
        <f t="shared" si="5"/>
        <v>-437.94901817123923</v>
      </c>
      <c r="M60" s="598" t="s">
        <v>860</v>
      </c>
      <c r="N60" s="584" t="s">
        <v>296</v>
      </c>
      <c r="O60" s="574">
        <v>521.73857344054318</v>
      </c>
      <c r="P60" s="574">
        <v>680.03854042337298</v>
      </c>
      <c r="Q60" s="574">
        <v>1064.8211738172906</v>
      </c>
      <c r="R60" s="574">
        <v>1060.6518768850683</v>
      </c>
      <c r="S60" s="574">
        <v>1069.0232644162213</v>
      </c>
      <c r="T60" s="574">
        <v>1077.2533956689354</v>
      </c>
      <c r="U60" s="574">
        <v>1078.6715925086869</v>
      </c>
      <c r="V60" s="574">
        <v>1070.7495540220773</v>
      </c>
    </row>
    <row r="61" spans="2:22" outlineLevel="1" x14ac:dyDescent="0.3">
      <c r="B61" s="595" t="s">
        <v>713</v>
      </c>
      <c r="C61" s="596"/>
      <c r="D61" s="596"/>
      <c r="E61" s="596"/>
      <c r="F61" s="596"/>
      <c r="G61" s="596"/>
      <c r="H61" s="596"/>
      <c r="I61" s="626"/>
      <c r="J61" s="596"/>
      <c r="K61" s="596"/>
      <c r="M61" s="595" t="s">
        <v>713</v>
      </c>
      <c r="N61" s="596"/>
      <c r="O61" s="606"/>
      <c r="P61" s="606"/>
      <c r="Q61" s="606"/>
      <c r="R61" s="606"/>
      <c r="S61" s="606"/>
      <c r="T61" s="606"/>
      <c r="U61" s="606"/>
      <c r="V61" s="606"/>
    </row>
    <row r="62" spans="2:22" outlineLevel="1" x14ac:dyDescent="0.3">
      <c r="B62" s="597" t="s">
        <v>833</v>
      </c>
      <c r="C62" s="582" t="s">
        <v>412</v>
      </c>
      <c r="D62" s="572">
        <f t="shared" ref="D62:K63" si="6">O62-D32</f>
        <v>0</v>
      </c>
      <c r="E62" s="572">
        <f t="shared" si="6"/>
        <v>-93.873532499999556</v>
      </c>
      <c r="F62" s="572">
        <f t="shared" si="6"/>
        <v>-281.62059750000026</v>
      </c>
      <c r="G62" s="572">
        <f t="shared" si="6"/>
        <v>-657.1147275000003</v>
      </c>
      <c r="H62" s="572">
        <f t="shared" si="6"/>
        <v>-657.1147275000003</v>
      </c>
      <c r="I62" s="572">
        <f t="shared" si="6"/>
        <v>-657.1147275000003</v>
      </c>
      <c r="J62" s="572">
        <f t="shared" si="6"/>
        <v>-657.1147275000003</v>
      </c>
      <c r="K62" s="572">
        <f t="shared" si="6"/>
        <v>-657.1147275000003</v>
      </c>
      <c r="M62" s="597" t="s">
        <v>833</v>
      </c>
      <c r="N62" s="582" t="s">
        <v>412</v>
      </c>
      <c r="O62" s="574">
        <v>761.73000750000017</v>
      </c>
      <c r="P62" s="574">
        <v>1043.3506050000003</v>
      </c>
      <c r="Q62" s="574">
        <v>1606.5918000000001</v>
      </c>
      <c r="R62" s="574">
        <v>1606.5918000000001</v>
      </c>
      <c r="S62" s="574">
        <v>1606.5918000000001</v>
      </c>
      <c r="T62" s="574">
        <v>1606.5918000000001</v>
      </c>
      <c r="U62" s="574">
        <v>1606.5918000000001</v>
      </c>
      <c r="V62" s="574">
        <v>1606.5918000000001</v>
      </c>
    </row>
    <row r="63" spans="2:22" outlineLevel="1" x14ac:dyDescent="0.3">
      <c r="B63" s="597" t="s">
        <v>308</v>
      </c>
      <c r="C63" s="582" t="s">
        <v>296</v>
      </c>
      <c r="D63" s="572">
        <f t="shared" si="6"/>
        <v>0</v>
      </c>
      <c r="E63" s="572">
        <f t="shared" si="6"/>
        <v>-1.408102987499996</v>
      </c>
      <c r="F63" s="572">
        <f t="shared" si="6"/>
        <v>-5.8717894578750105</v>
      </c>
      <c r="G63" s="572">
        <f t="shared" si="6"/>
        <v>-16.263589505624999</v>
      </c>
      <c r="H63" s="572">
        <f t="shared" si="6"/>
        <v>-19.713441825000004</v>
      </c>
      <c r="I63" s="572">
        <f t="shared" si="6"/>
        <v>-22.999015462500005</v>
      </c>
      <c r="J63" s="572">
        <f t="shared" si="6"/>
        <v>-26.284589100000005</v>
      </c>
      <c r="K63" s="572">
        <f t="shared" si="6"/>
        <v>-29.570162737500013</v>
      </c>
      <c r="M63" s="597" t="s">
        <v>308</v>
      </c>
      <c r="N63" s="582" t="s">
        <v>296</v>
      </c>
      <c r="O63" s="574">
        <v>5.4844560540000016</v>
      </c>
      <c r="P63" s="574">
        <v>15.650259075000003</v>
      </c>
      <c r="Q63" s="574">
        <v>33.497439030000002</v>
      </c>
      <c r="R63" s="574">
        <v>39.763147050000008</v>
      </c>
      <c r="S63" s="574">
        <v>48.197754000000003</v>
      </c>
      <c r="T63" s="574">
        <v>56.230713000000002</v>
      </c>
      <c r="U63" s="574">
        <v>64.263672</v>
      </c>
      <c r="V63" s="574">
        <v>72.296631000000005</v>
      </c>
    </row>
    <row r="64" spans="2:22" outlineLevel="1" x14ac:dyDescent="0.3"/>
    <row r="65" spans="2:22" outlineLevel="1" x14ac:dyDescent="0.3">
      <c r="B65" s="603" t="s">
        <v>883</v>
      </c>
      <c r="C65" s="615"/>
      <c r="D65" s="615"/>
      <c r="E65" s="615"/>
      <c r="F65" s="615"/>
      <c r="G65" s="615"/>
      <c r="H65" s="615"/>
      <c r="I65" s="615"/>
      <c r="J65" s="615"/>
      <c r="K65" s="605"/>
      <c r="M65" s="603" t="s">
        <v>835</v>
      </c>
      <c r="N65" s="615"/>
      <c r="O65" s="615"/>
      <c r="P65" s="615"/>
      <c r="Q65" s="615"/>
      <c r="R65" s="615"/>
      <c r="S65" s="615"/>
      <c r="T65" s="615"/>
      <c r="U65" s="615"/>
      <c r="V65" s="605"/>
    </row>
    <row r="66" spans="2:22" outlineLevel="1" x14ac:dyDescent="0.3">
      <c r="B66" s="602"/>
      <c r="C66" s="600" t="s">
        <v>293</v>
      </c>
      <c r="D66" s="617">
        <v>2015</v>
      </c>
      <c r="E66" s="617">
        <v>2020</v>
      </c>
      <c r="F66" s="617">
        <v>2025</v>
      </c>
      <c r="G66" s="600">
        <v>2030</v>
      </c>
      <c r="H66" s="600">
        <v>2035</v>
      </c>
      <c r="I66" s="600">
        <v>2040</v>
      </c>
      <c r="J66" s="617">
        <v>2045</v>
      </c>
      <c r="K66" s="621">
        <v>2050</v>
      </c>
      <c r="M66" s="602"/>
      <c r="N66" s="600" t="s">
        <v>293</v>
      </c>
      <c r="O66" s="617">
        <v>2015</v>
      </c>
      <c r="P66" s="617">
        <v>2020</v>
      </c>
      <c r="Q66" s="617">
        <v>2025</v>
      </c>
      <c r="R66" s="600">
        <v>2030</v>
      </c>
      <c r="S66" s="600">
        <v>2035</v>
      </c>
      <c r="T66" s="600">
        <v>2040</v>
      </c>
      <c r="U66" s="617">
        <v>2045</v>
      </c>
      <c r="V66" s="621">
        <v>2050</v>
      </c>
    </row>
    <row r="67" spans="2:22" outlineLevel="1" x14ac:dyDescent="0.3">
      <c r="B67" s="595" t="s">
        <v>54</v>
      </c>
      <c r="C67" s="596"/>
      <c r="D67" s="596"/>
      <c r="E67" s="596"/>
      <c r="F67" s="596"/>
      <c r="G67" s="596"/>
      <c r="H67" s="596"/>
      <c r="I67" s="626"/>
      <c r="J67" s="596"/>
      <c r="K67" s="596"/>
      <c r="M67" s="595" t="s">
        <v>54</v>
      </c>
      <c r="N67" s="596"/>
      <c r="O67" s="596"/>
      <c r="P67" s="596"/>
      <c r="Q67" s="596"/>
      <c r="R67" s="596"/>
      <c r="S67" s="596"/>
      <c r="T67" s="626"/>
      <c r="U67" s="596"/>
      <c r="V67" s="596"/>
    </row>
    <row r="68" spans="2:22" outlineLevel="1" x14ac:dyDescent="0.3">
      <c r="B68" s="627" t="s">
        <v>294</v>
      </c>
      <c r="C68" s="584" t="s">
        <v>75</v>
      </c>
      <c r="D68" s="1034">
        <f t="shared" ref="D68:K72" si="7">O68-D8</f>
        <v>0</v>
      </c>
      <c r="E68" s="1034">
        <f t="shared" si="7"/>
        <v>0</v>
      </c>
      <c r="F68" s="1034">
        <f t="shared" si="7"/>
        <v>0</v>
      </c>
      <c r="G68" s="629">
        <f t="shared" si="7"/>
        <v>50049</v>
      </c>
      <c r="H68" s="1035">
        <f t="shared" si="7"/>
        <v>50049</v>
      </c>
      <c r="I68" s="629">
        <f t="shared" si="7"/>
        <v>50049</v>
      </c>
      <c r="J68" s="1036">
        <f t="shared" si="7"/>
        <v>50049</v>
      </c>
      <c r="K68" s="1037">
        <f t="shared" si="7"/>
        <v>50049</v>
      </c>
      <c r="M68" s="627" t="s">
        <v>294</v>
      </c>
      <c r="N68" s="584" t="s">
        <v>75</v>
      </c>
      <c r="O68" s="572">
        <v>74805.5</v>
      </c>
      <c r="P68" s="572">
        <v>108171.50000000001</v>
      </c>
      <c r="Q68" s="572">
        <v>174903.5</v>
      </c>
      <c r="R68" s="572">
        <v>258318.50000000003</v>
      </c>
      <c r="S68" s="572">
        <v>258318.50000000003</v>
      </c>
      <c r="T68" s="572">
        <v>258318.50000000003</v>
      </c>
      <c r="U68" s="572">
        <v>258318.50000000003</v>
      </c>
      <c r="V68" s="572">
        <v>258318.50000000003</v>
      </c>
    </row>
    <row r="69" spans="2:22" outlineLevel="1" x14ac:dyDescent="0.3">
      <c r="B69" s="573" t="s">
        <v>323</v>
      </c>
      <c r="C69" s="580" t="s">
        <v>75</v>
      </c>
      <c r="D69" s="1034">
        <f t="shared" si="7"/>
        <v>0</v>
      </c>
      <c r="E69" s="1034">
        <f t="shared" si="7"/>
        <v>0</v>
      </c>
      <c r="F69" s="1034">
        <f t="shared" si="7"/>
        <v>0</v>
      </c>
      <c r="G69" s="1034">
        <f t="shared" si="7"/>
        <v>50049</v>
      </c>
      <c r="H69" s="1034">
        <f t="shared" si="7"/>
        <v>50049</v>
      </c>
      <c r="I69" s="1034">
        <f t="shared" si="7"/>
        <v>50049</v>
      </c>
      <c r="J69" s="1034">
        <f t="shared" si="7"/>
        <v>50049</v>
      </c>
      <c r="K69" s="1034">
        <f t="shared" si="7"/>
        <v>50049</v>
      </c>
      <c r="M69" s="573" t="s">
        <v>323</v>
      </c>
      <c r="N69" s="580" t="s">
        <v>75</v>
      </c>
      <c r="O69" s="572">
        <v>74805.5</v>
      </c>
      <c r="P69" s="572">
        <v>108171.50000000001</v>
      </c>
      <c r="Q69" s="572">
        <v>174903.5</v>
      </c>
      <c r="R69" s="572">
        <v>258318.50000000003</v>
      </c>
      <c r="S69" s="572">
        <v>258318.50000000003</v>
      </c>
      <c r="T69" s="572">
        <v>258318.50000000003</v>
      </c>
      <c r="U69" s="572">
        <v>258318.50000000003</v>
      </c>
      <c r="V69" s="572">
        <v>258318.50000000003</v>
      </c>
    </row>
    <row r="70" spans="2:22" outlineLevel="1" x14ac:dyDescent="0.3">
      <c r="B70" s="597" t="s">
        <v>648</v>
      </c>
      <c r="C70" s="591" t="s">
        <v>75</v>
      </c>
      <c r="D70" s="1038">
        <f t="shared" si="7"/>
        <v>0</v>
      </c>
      <c r="E70" s="1038">
        <f t="shared" si="7"/>
        <v>0</v>
      </c>
      <c r="F70" s="1038">
        <f t="shared" si="7"/>
        <v>0</v>
      </c>
      <c r="G70" s="1038">
        <f t="shared" si="7"/>
        <v>0</v>
      </c>
      <c r="H70" s="1038">
        <f t="shared" si="7"/>
        <v>0</v>
      </c>
      <c r="I70" s="1038">
        <f t="shared" si="7"/>
        <v>0</v>
      </c>
      <c r="J70" s="1038">
        <f t="shared" si="7"/>
        <v>0</v>
      </c>
      <c r="K70" s="1038">
        <f t="shared" si="7"/>
        <v>0</v>
      </c>
      <c r="M70" s="597" t="s">
        <v>648</v>
      </c>
      <c r="N70" s="591" t="s">
        <v>75</v>
      </c>
      <c r="O70" s="590">
        <v>0</v>
      </c>
      <c r="P70" s="590">
        <v>0</v>
      </c>
      <c r="Q70" s="590">
        <v>0</v>
      </c>
      <c r="R70" s="590">
        <v>0</v>
      </c>
      <c r="S70" s="590">
        <v>0</v>
      </c>
      <c r="T70" s="590">
        <v>0</v>
      </c>
      <c r="U70" s="590">
        <v>0</v>
      </c>
      <c r="V70" s="590">
        <v>0</v>
      </c>
    </row>
    <row r="71" spans="2:22" outlineLevel="1" x14ac:dyDescent="0.3">
      <c r="B71" s="599" t="s">
        <v>649</v>
      </c>
      <c r="C71" s="574" t="s">
        <v>75</v>
      </c>
      <c r="D71" s="629">
        <f t="shared" si="7"/>
        <v>0</v>
      </c>
      <c r="E71" s="629">
        <f t="shared" si="7"/>
        <v>0</v>
      </c>
      <c r="F71" s="629">
        <f t="shared" si="7"/>
        <v>0</v>
      </c>
      <c r="G71" s="629">
        <f t="shared" si="7"/>
        <v>0</v>
      </c>
      <c r="H71" s="629">
        <f t="shared" si="7"/>
        <v>0</v>
      </c>
      <c r="I71" s="629">
        <f t="shared" si="7"/>
        <v>0</v>
      </c>
      <c r="J71" s="629">
        <f t="shared" si="7"/>
        <v>0</v>
      </c>
      <c r="K71" s="629">
        <f t="shared" si="7"/>
        <v>0</v>
      </c>
      <c r="M71" s="599" t="s">
        <v>649</v>
      </c>
      <c r="N71" s="574" t="s">
        <v>75</v>
      </c>
      <c r="O71" s="577">
        <v>0</v>
      </c>
      <c r="P71" s="577">
        <v>0</v>
      </c>
      <c r="Q71" s="577">
        <v>0</v>
      </c>
      <c r="R71" s="577">
        <v>0</v>
      </c>
      <c r="S71" s="577">
        <v>0</v>
      </c>
      <c r="T71" s="577">
        <v>0</v>
      </c>
      <c r="U71" s="577">
        <v>0</v>
      </c>
      <c r="V71" s="577">
        <v>0</v>
      </c>
    </row>
    <row r="72" spans="2:22" outlineLevel="1" x14ac:dyDescent="0.3">
      <c r="B72" s="593" t="s">
        <v>305</v>
      </c>
      <c r="C72" s="574" t="s">
        <v>306</v>
      </c>
      <c r="D72" s="629">
        <f t="shared" si="7"/>
        <v>0</v>
      </c>
      <c r="E72" s="629">
        <f t="shared" si="7"/>
        <v>0</v>
      </c>
      <c r="F72" s="629">
        <f t="shared" si="7"/>
        <v>0</v>
      </c>
      <c r="G72" s="629">
        <f t="shared" si="7"/>
        <v>0</v>
      </c>
      <c r="H72" s="629">
        <f t="shared" si="7"/>
        <v>0</v>
      </c>
      <c r="I72" s="629">
        <f t="shared" si="7"/>
        <v>0</v>
      </c>
      <c r="J72" s="629">
        <f t="shared" si="7"/>
        <v>0</v>
      </c>
      <c r="K72" s="629">
        <f t="shared" si="7"/>
        <v>0</v>
      </c>
      <c r="M72" s="593" t="s">
        <v>305</v>
      </c>
      <c r="N72" s="574" t="s">
        <v>306</v>
      </c>
      <c r="O72" s="577">
        <v>0</v>
      </c>
      <c r="P72" s="577">
        <v>0</v>
      </c>
      <c r="Q72" s="577">
        <v>0</v>
      </c>
      <c r="R72" s="577">
        <v>0</v>
      </c>
      <c r="S72" s="577">
        <v>0</v>
      </c>
      <c r="T72" s="577">
        <v>0</v>
      </c>
      <c r="U72" s="577">
        <v>0</v>
      </c>
      <c r="V72" s="577">
        <v>0</v>
      </c>
    </row>
    <row r="73" spans="2:22" outlineLevel="1" x14ac:dyDescent="0.3">
      <c r="B73" s="595" t="s">
        <v>45</v>
      </c>
      <c r="C73" s="596"/>
      <c r="D73" s="596"/>
      <c r="E73" s="596"/>
      <c r="F73" s="596"/>
      <c r="G73" s="596"/>
      <c r="H73" s="596"/>
      <c r="I73" s="626"/>
      <c r="J73" s="596"/>
      <c r="K73" s="596"/>
      <c r="M73" s="595" t="s">
        <v>45</v>
      </c>
      <c r="N73" s="596"/>
      <c r="O73" s="606"/>
      <c r="P73" s="606"/>
      <c r="Q73" s="607"/>
      <c r="R73" s="607"/>
      <c r="S73" s="606"/>
      <c r="T73" s="606"/>
      <c r="U73" s="606"/>
      <c r="V73" s="606"/>
    </row>
    <row r="74" spans="2:22" outlineLevel="1" x14ac:dyDescent="0.3">
      <c r="B74" s="597" t="s">
        <v>822</v>
      </c>
      <c r="C74" s="583" t="s">
        <v>296</v>
      </c>
      <c r="D74" s="572">
        <f t="shared" ref="D74:K80" si="8">O74-D14</f>
        <v>0</v>
      </c>
      <c r="E74" s="572">
        <f t="shared" si="8"/>
        <v>0</v>
      </c>
      <c r="F74" s="572">
        <f t="shared" si="8"/>
        <v>0</v>
      </c>
      <c r="G74" s="572">
        <f t="shared" si="8"/>
        <v>0</v>
      </c>
      <c r="H74" s="572">
        <f t="shared" si="8"/>
        <v>0</v>
      </c>
      <c r="I74" s="572">
        <f t="shared" si="8"/>
        <v>0</v>
      </c>
      <c r="J74" s="572">
        <f t="shared" si="8"/>
        <v>0</v>
      </c>
      <c r="K74" s="572">
        <f t="shared" si="8"/>
        <v>0</v>
      </c>
      <c r="M74" s="597" t="s">
        <v>822</v>
      </c>
      <c r="N74" s="583" t="s">
        <v>296</v>
      </c>
      <c r="O74" s="584">
        <v>0</v>
      </c>
      <c r="P74" s="584">
        <v>0</v>
      </c>
      <c r="Q74" s="584">
        <v>0</v>
      </c>
      <c r="R74" s="584">
        <v>48</v>
      </c>
      <c r="S74" s="584">
        <v>0</v>
      </c>
      <c r="T74" s="584">
        <v>0</v>
      </c>
      <c r="U74" s="584">
        <v>0</v>
      </c>
      <c r="V74" s="584">
        <v>0</v>
      </c>
    </row>
    <row r="75" spans="2:22" outlineLevel="1" x14ac:dyDescent="0.3">
      <c r="B75" s="597" t="s">
        <v>823</v>
      </c>
      <c r="C75" s="584" t="s">
        <v>296</v>
      </c>
      <c r="D75" s="572">
        <f t="shared" si="8"/>
        <v>0</v>
      </c>
      <c r="E75" s="572">
        <f t="shared" si="8"/>
        <v>0</v>
      </c>
      <c r="F75" s="572">
        <f t="shared" si="8"/>
        <v>0</v>
      </c>
      <c r="G75" s="572">
        <f t="shared" si="8"/>
        <v>0</v>
      </c>
      <c r="H75" s="572">
        <f t="shared" si="8"/>
        <v>0</v>
      </c>
      <c r="I75" s="572">
        <f t="shared" si="8"/>
        <v>0</v>
      </c>
      <c r="J75" s="572">
        <f t="shared" si="8"/>
        <v>0</v>
      </c>
      <c r="K75" s="572">
        <f t="shared" si="8"/>
        <v>0</v>
      </c>
      <c r="M75" s="597" t="s">
        <v>823</v>
      </c>
      <c r="N75" s="584" t="s">
        <v>296</v>
      </c>
      <c r="O75" s="584">
        <v>1.2</v>
      </c>
      <c r="P75" s="584">
        <v>0</v>
      </c>
      <c r="Q75" s="584">
        <v>0</v>
      </c>
      <c r="R75" s="584">
        <v>0</v>
      </c>
      <c r="S75" s="584">
        <v>0</v>
      </c>
      <c r="T75" s="584">
        <v>0</v>
      </c>
      <c r="U75" s="584">
        <v>0</v>
      </c>
      <c r="V75" s="584">
        <v>0</v>
      </c>
    </row>
    <row r="76" spans="2:22" outlineLevel="1" x14ac:dyDescent="0.3">
      <c r="B76" s="597" t="s">
        <v>824</v>
      </c>
      <c r="C76" s="584" t="s">
        <v>296</v>
      </c>
      <c r="D76" s="572">
        <f t="shared" si="8"/>
        <v>0</v>
      </c>
      <c r="E76" s="572">
        <f t="shared" si="8"/>
        <v>0</v>
      </c>
      <c r="F76" s="572">
        <f t="shared" si="8"/>
        <v>0</v>
      </c>
      <c r="G76" s="572">
        <f t="shared" si="8"/>
        <v>0</v>
      </c>
      <c r="H76" s="572">
        <f t="shared" si="8"/>
        <v>0</v>
      </c>
      <c r="I76" s="572">
        <f t="shared" si="8"/>
        <v>0</v>
      </c>
      <c r="J76" s="572">
        <f t="shared" si="8"/>
        <v>0</v>
      </c>
      <c r="K76" s="572">
        <f t="shared" si="8"/>
        <v>0</v>
      </c>
      <c r="M76" s="597" t="s">
        <v>824</v>
      </c>
      <c r="N76" s="584" t="s">
        <v>296</v>
      </c>
      <c r="O76" s="584">
        <v>4.8</v>
      </c>
      <c r="P76" s="584">
        <v>0</v>
      </c>
      <c r="Q76" s="584">
        <v>0</v>
      </c>
      <c r="R76" s="584">
        <v>0</v>
      </c>
      <c r="S76" s="584">
        <v>0</v>
      </c>
      <c r="T76" s="584">
        <v>0</v>
      </c>
      <c r="U76" s="584">
        <v>0</v>
      </c>
      <c r="V76" s="584">
        <v>0</v>
      </c>
    </row>
    <row r="77" spans="2:22" outlineLevel="1" x14ac:dyDescent="0.3">
      <c r="B77" s="597" t="s">
        <v>825</v>
      </c>
      <c r="C77" s="584" t="s">
        <v>296</v>
      </c>
      <c r="D77" s="572">
        <f t="shared" si="8"/>
        <v>0</v>
      </c>
      <c r="E77" s="572">
        <f t="shared" si="8"/>
        <v>0</v>
      </c>
      <c r="F77" s="572">
        <f t="shared" si="8"/>
        <v>0</v>
      </c>
      <c r="G77" s="572">
        <f t="shared" si="8"/>
        <v>0</v>
      </c>
      <c r="H77" s="572">
        <f t="shared" si="8"/>
        <v>0</v>
      </c>
      <c r="I77" s="572">
        <f t="shared" si="8"/>
        <v>0</v>
      </c>
      <c r="J77" s="572">
        <f t="shared" si="8"/>
        <v>0</v>
      </c>
      <c r="K77" s="572">
        <f t="shared" si="8"/>
        <v>0</v>
      </c>
      <c r="M77" s="597" t="s">
        <v>825</v>
      </c>
      <c r="N77" s="584" t="s">
        <v>296</v>
      </c>
      <c r="O77" s="584">
        <v>4</v>
      </c>
      <c r="P77" s="584">
        <v>0</v>
      </c>
      <c r="Q77" s="584">
        <v>0</v>
      </c>
      <c r="R77" s="584">
        <v>0</v>
      </c>
      <c r="S77" s="584">
        <v>0</v>
      </c>
      <c r="T77" s="584">
        <v>0</v>
      </c>
      <c r="U77" s="584">
        <v>0</v>
      </c>
      <c r="V77" s="584">
        <v>0</v>
      </c>
    </row>
    <row r="78" spans="2:22" outlineLevel="1" x14ac:dyDescent="0.3">
      <c r="B78" s="597" t="s">
        <v>826</v>
      </c>
      <c r="C78" s="584" t="s">
        <v>296</v>
      </c>
      <c r="D78" s="572">
        <f t="shared" si="8"/>
        <v>0</v>
      </c>
      <c r="E78" s="572">
        <f t="shared" si="8"/>
        <v>0</v>
      </c>
      <c r="F78" s="572">
        <f t="shared" si="8"/>
        <v>0</v>
      </c>
      <c r="G78" s="572">
        <f t="shared" si="8"/>
        <v>58.102027312499985</v>
      </c>
      <c r="H78" s="572">
        <f t="shared" si="8"/>
        <v>0</v>
      </c>
      <c r="I78" s="572">
        <f t="shared" si="8"/>
        <v>0</v>
      </c>
      <c r="J78" s="572">
        <f t="shared" si="8"/>
        <v>0</v>
      </c>
      <c r="K78" s="572">
        <f t="shared" si="8"/>
        <v>0</v>
      </c>
      <c r="M78" s="597" t="s">
        <v>826</v>
      </c>
      <c r="N78" s="584" t="s">
        <v>296</v>
      </c>
      <c r="O78" s="584">
        <v>64.177451531250014</v>
      </c>
      <c r="P78" s="584">
        <v>38.734684874999971</v>
      </c>
      <c r="Q78" s="584">
        <v>77.469369750000027</v>
      </c>
      <c r="R78" s="584">
        <v>96.836712187499941</v>
      </c>
      <c r="S78" s="584">
        <v>0</v>
      </c>
      <c r="T78" s="584">
        <v>0</v>
      </c>
      <c r="U78" s="584">
        <v>0</v>
      </c>
      <c r="V78" s="584">
        <v>0</v>
      </c>
    </row>
    <row r="79" spans="2:22" outlineLevel="1" x14ac:dyDescent="0.3">
      <c r="B79" s="597" t="s">
        <v>827</v>
      </c>
      <c r="C79" s="584" t="s">
        <v>296</v>
      </c>
      <c r="D79" s="572">
        <f t="shared" si="8"/>
        <v>0</v>
      </c>
      <c r="E79" s="572">
        <f t="shared" si="8"/>
        <v>0</v>
      </c>
      <c r="F79" s="572">
        <f t="shared" si="8"/>
        <v>0</v>
      </c>
      <c r="G79" s="572">
        <f t="shared" si="8"/>
        <v>84</v>
      </c>
      <c r="H79" s="572">
        <f t="shared" si="8"/>
        <v>0</v>
      </c>
      <c r="I79" s="572">
        <f t="shared" si="8"/>
        <v>0</v>
      </c>
      <c r="J79" s="572">
        <f t="shared" si="8"/>
        <v>0</v>
      </c>
      <c r="K79" s="572">
        <f t="shared" si="8"/>
        <v>0</v>
      </c>
      <c r="M79" s="597" t="s">
        <v>827</v>
      </c>
      <c r="N79" s="584" t="s">
        <v>296</v>
      </c>
      <c r="O79" s="584">
        <v>0</v>
      </c>
      <c r="P79" s="584">
        <v>64</v>
      </c>
      <c r="Q79" s="584">
        <v>112</v>
      </c>
      <c r="R79" s="584">
        <v>140</v>
      </c>
      <c r="S79" s="584">
        <v>0</v>
      </c>
      <c r="T79" s="584">
        <v>0</v>
      </c>
      <c r="U79" s="584">
        <v>0</v>
      </c>
      <c r="V79" s="584">
        <v>0</v>
      </c>
    </row>
    <row r="80" spans="2:22" outlineLevel="1" x14ac:dyDescent="0.3">
      <c r="B80" s="597" t="s">
        <v>828</v>
      </c>
      <c r="C80" s="584" t="s">
        <v>296</v>
      </c>
      <c r="D80" s="572">
        <f t="shared" si="8"/>
        <v>0</v>
      </c>
      <c r="E80" s="572">
        <f t="shared" si="8"/>
        <v>0</v>
      </c>
      <c r="F80" s="572">
        <f t="shared" si="8"/>
        <v>0</v>
      </c>
      <c r="G80" s="572">
        <f t="shared" si="8"/>
        <v>77.46936974999997</v>
      </c>
      <c r="H80" s="572">
        <f t="shared" si="8"/>
        <v>0</v>
      </c>
      <c r="I80" s="572">
        <f t="shared" si="8"/>
        <v>0</v>
      </c>
      <c r="J80" s="572">
        <f t="shared" si="8"/>
        <v>0</v>
      </c>
      <c r="K80" s="572">
        <f t="shared" si="8"/>
        <v>0</v>
      </c>
      <c r="M80" s="597" t="s">
        <v>828</v>
      </c>
      <c r="N80" s="584" t="s">
        <v>296</v>
      </c>
      <c r="O80" s="584">
        <v>85.569935375000028</v>
      </c>
      <c r="P80" s="584">
        <v>51.646246499999961</v>
      </c>
      <c r="Q80" s="584">
        <v>103.29249300000006</v>
      </c>
      <c r="R80" s="584">
        <v>129.1156162499999</v>
      </c>
      <c r="S80" s="584">
        <v>0</v>
      </c>
      <c r="T80" s="584">
        <v>0</v>
      </c>
      <c r="U80" s="584">
        <v>0</v>
      </c>
      <c r="V80" s="584">
        <v>0</v>
      </c>
    </row>
    <row r="81" spans="2:22" outlineLevel="1" x14ac:dyDescent="0.3">
      <c r="B81" s="595" t="s">
        <v>829</v>
      </c>
      <c r="C81" s="606"/>
      <c r="D81" s="596"/>
      <c r="E81" s="596"/>
      <c r="F81" s="596"/>
      <c r="G81" s="596"/>
      <c r="H81" s="596"/>
      <c r="I81" s="626"/>
      <c r="J81" s="596"/>
      <c r="K81" s="596"/>
      <c r="M81" s="595" t="s">
        <v>829</v>
      </c>
      <c r="N81" s="606"/>
      <c r="O81" s="606"/>
      <c r="P81" s="613"/>
      <c r="Q81" s="613"/>
      <c r="R81" s="596"/>
      <c r="S81" s="596"/>
      <c r="T81" s="610"/>
      <c r="U81" s="613"/>
      <c r="V81" s="596"/>
    </row>
    <row r="82" spans="2:22" outlineLevel="1" x14ac:dyDescent="0.3">
      <c r="B82" s="598" t="s">
        <v>830</v>
      </c>
      <c r="C82" s="584" t="s">
        <v>296</v>
      </c>
      <c r="D82" s="572">
        <f t="shared" ref="D82:K86" si="9">O82-D22</f>
        <v>0</v>
      </c>
      <c r="E82" s="572">
        <f t="shared" si="9"/>
        <v>0</v>
      </c>
      <c r="F82" s="572">
        <f t="shared" si="9"/>
        <v>0</v>
      </c>
      <c r="G82" s="572">
        <f t="shared" si="9"/>
        <v>43.090379999999982</v>
      </c>
      <c r="H82" s="572">
        <f t="shared" si="9"/>
        <v>43.090379999999982</v>
      </c>
      <c r="I82" s="572">
        <f t="shared" si="9"/>
        <v>43.090379999999982</v>
      </c>
      <c r="J82" s="572">
        <f t="shared" si="9"/>
        <v>43.090379999999982</v>
      </c>
      <c r="K82" s="572">
        <f t="shared" si="9"/>
        <v>43.090379999999982</v>
      </c>
      <c r="M82" s="598" t="s">
        <v>830</v>
      </c>
      <c r="N82" s="584" t="s">
        <v>296</v>
      </c>
      <c r="O82" s="574">
        <v>58.27563</v>
      </c>
      <c r="P82" s="574">
        <v>87.002549999999999</v>
      </c>
      <c r="Q82" s="574">
        <v>144.45639</v>
      </c>
      <c r="R82" s="574">
        <v>216.27368999999999</v>
      </c>
      <c r="S82" s="574">
        <v>216.27368999999999</v>
      </c>
      <c r="T82" s="574">
        <v>216.27368999999999</v>
      </c>
      <c r="U82" s="574">
        <v>216.27368999999999</v>
      </c>
      <c r="V82" s="574">
        <v>216.27368999999999</v>
      </c>
    </row>
    <row r="83" spans="2:22" outlineLevel="1" x14ac:dyDescent="0.3">
      <c r="B83" s="598" t="s">
        <v>831</v>
      </c>
      <c r="C83" s="584" t="s">
        <v>296</v>
      </c>
      <c r="D83" s="572">
        <f t="shared" si="9"/>
        <v>0</v>
      </c>
      <c r="E83" s="572">
        <f t="shared" si="9"/>
        <v>0</v>
      </c>
      <c r="F83" s="572">
        <f t="shared" si="9"/>
        <v>0</v>
      </c>
      <c r="G83" s="572">
        <f t="shared" si="9"/>
        <v>0</v>
      </c>
      <c r="H83" s="572">
        <f t="shared" si="9"/>
        <v>0</v>
      </c>
      <c r="I83" s="572">
        <f t="shared" si="9"/>
        <v>0</v>
      </c>
      <c r="J83" s="572">
        <f t="shared" si="9"/>
        <v>0</v>
      </c>
      <c r="K83" s="572">
        <f t="shared" si="9"/>
        <v>0</v>
      </c>
      <c r="M83" s="598" t="s">
        <v>831</v>
      </c>
      <c r="N83" s="584" t="s">
        <v>296</v>
      </c>
      <c r="O83" s="574">
        <v>0</v>
      </c>
      <c r="P83" s="574">
        <v>0</v>
      </c>
      <c r="Q83" s="574">
        <v>0</v>
      </c>
      <c r="R83" s="574">
        <v>0</v>
      </c>
      <c r="S83" s="574">
        <v>0</v>
      </c>
      <c r="T83" s="574">
        <v>0</v>
      </c>
      <c r="U83" s="574">
        <v>0</v>
      </c>
      <c r="V83" s="574">
        <v>0</v>
      </c>
    </row>
    <row r="84" spans="2:22" outlineLevel="1" x14ac:dyDescent="0.3">
      <c r="B84" s="598" t="s">
        <v>832</v>
      </c>
      <c r="C84" s="584" t="s">
        <v>296</v>
      </c>
      <c r="D84" s="572">
        <f t="shared" si="9"/>
        <v>0</v>
      </c>
      <c r="E84" s="572">
        <f t="shared" si="9"/>
        <v>0</v>
      </c>
      <c r="F84" s="572">
        <f t="shared" si="9"/>
        <v>0</v>
      </c>
      <c r="G84" s="572">
        <f t="shared" si="9"/>
        <v>10.376424</v>
      </c>
      <c r="H84" s="572">
        <f t="shared" si="9"/>
        <v>10.376424</v>
      </c>
      <c r="I84" s="572">
        <f t="shared" si="9"/>
        <v>10.376424</v>
      </c>
      <c r="J84" s="572">
        <f t="shared" si="9"/>
        <v>10.376424</v>
      </c>
      <c r="K84" s="572">
        <f t="shared" si="9"/>
        <v>10.376424</v>
      </c>
      <c r="M84" s="598" t="s">
        <v>832</v>
      </c>
      <c r="N84" s="584" t="s">
        <v>296</v>
      </c>
      <c r="O84" s="574">
        <v>14.033124000000001</v>
      </c>
      <c r="P84" s="574">
        <v>20.95074</v>
      </c>
      <c r="Q84" s="574">
        <v>34.785972000000001</v>
      </c>
      <c r="R84" s="574">
        <v>52.080012000000004</v>
      </c>
      <c r="S84" s="574">
        <v>52.080012000000004</v>
      </c>
      <c r="T84" s="574">
        <v>52.080012000000004</v>
      </c>
      <c r="U84" s="574">
        <v>52.080012000000004</v>
      </c>
      <c r="V84" s="574">
        <v>52.080012000000004</v>
      </c>
    </row>
    <row r="85" spans="2:22" outlineLevel="1" x14ac:dyDescent="0.3">
      <c r="B85" s="598" t="s">
        <v>666</v>
      </c>
      <c r="C85" s="584" t="s">
        <v>296</v>
      </c>
      <c r="D85" s="572">
        <f t="shared" si="9"/>
        <v>0</v>
      </c>
      <c r="E85" s="572">
        <f t="shared" si="9"/>
        <v>0</v>
      </c>
      <c r="F85" s="572">
        <f t="shared" si="9"/>
        <v>0</v>
      </c>
      <c r="G85" s="572">
        <f t="shared" si="9"/>
        <v>7.3190465687499966</v>
      </c>
      <c r="H85" s="572">
        <f t="shared" si="9"/>
        <v>7.3190465687499966</v>
      </c>
      <c r="I85" s="572">
        <f t="shared" si="9"/>
        <v>7.3190465687499966</v>
      </c>
      <c r="J85" s="572">
        <f t="shared" si="9"/>
        <v>7.3190465687499966</v>
      </c>
      <c r="K85" s="572">
        <f t="shared" si="9"/>
        <v>7.3190465687499966</v>
      </c>
      <c r="M85" s="598" t="s">
        <v>666</v>
      </c>
      <c r="N85" s="584" t="s">
        <v>296</v>
      </c>
      <c r="O85" s="574">
        <v>21.324912896875002</v>
      </c>
      <c r="P85" s="574">
        <v>26.470943942708331</v>
      </c>
      <c r="Q85" s="574">
        <v>36.229672701041665</v>
      </c>
      <c r="R85" s="574">
        <v>50.028083648958329</v>
      </c>
      <c r="S85" s="574">
        <v>50.028083648958329</v>
      </c>
      <c r="T85" s="574">
        <v>50.028083648958329</v>
      </c>
      <c r="U85" s="574">
        <v>50.028083648958329</v>
      </c>
      <c r="V85" s="574">
        <v>50.028083648958329</v>
      </c>
    </row>
    <row r="86" spans="2:22" ht="13.5" customHeight="1" outlineLevel="1" x14ac:dyDescent="0.3">
      <c r="B86" s="597" t="s">
        <v>409</v>
      </c>
      <c r="C86" s="584" t="s">
        <v>296</v>
      </c>
      <c r="D86" s="572">
        <f t="shared" si="9"/>
        <v>0</v>
      </c>
      <c r="E86" s="572">
        <f t="shared" si="9"/>
        <v>0</v>
      </c>
      <c r="F86" s="572">
        <f t="shared" si="9"/>
        <v>0</v>
      </c>
      <c r="G86" s="572">
        <f t="shared" si="9"/>
        <v>108.53999999999996</v>
      </c>
      <c r="H86" s="572">
        <f t="shared" si="9"/>
        <v>108.53999999999996</v>
      </c>
      <c r="I86" s="572">
        <f t="shared" si="9"/>
        <v>108.53999999999996</v>
      </c>
      <c r="J86" s="572">
        <f t="shared" si="9"/>
        <v>108.53999999999996</v>
      </c>
      <c r="K86" s="572">
        <f t="shared" si="9"/>
        <v>108.53999999999996</v>
      </c>
      <c r="M86" s="597" t="s">
        <v>409</v>
      </c>
      <c r="N86" s="584" t="s">
        <v>296</v>
      </c>
      <c r="O86" s="574">
        <v>146.79</v>
      </c>
      <c r="P86" s="574">
        <v>219.15</v>
      </c>
      <c r="Q86" s="574">
        <v>363.87</v>
      </c>
      <c r="R86" s="574">
        <v>544.77</v>
      </c>
      <c r="S86" s="574">
        <v>544.77</v>
      </c>
      <c r="T86" s="574">
        <v>544.77</v>
      </c>
      <c r="U86" s="574">
        <v>544.77</v>
      </c>
      <c r="V86" s="574">
        <v>544.77</v>
      </c>
    </row>
    <row r="87" spans="2:22" outlineLevel="1" x14ac:dyDescent="0.3">
      <c r="B87" s="595" t="s">
        <v>298</v>
      </c>
      <c r="C87" s="606"/>
      <c r="D87" s="606"/>
      <c r="E87" s="606"/>
      <c r="F87" s="607"/>
      <c r="G87" s="607"/>
      <c r="H87" s="606"/>
      <c r="I87" s="606"/>
      <c r="J87" s="606"/>
      <c r="K87" s="606"/>
      <c r="M87" s="595" t="s">
        <v>298</v>
      </c>
      <c r="N87" s="606"/>
      <c r="O87" s="606"/>
      <c r="P87" s="606"/>
      <c r="Q87" s="606"/>
      <c r="R87" s="606"/>
      <c r="S87" s="606"/>
      <c r="T87" s="606"/>
      <c r="U87" s="606"/>
      <c r="V87" s="606"/>
    </row>
    <row r="88" spans="2:22" outlineLevel="1" x14ac:dyDescent="0.3">
      <c r="B88" s="598" t="s">
        <v>298</v>
      </c>
      <c r="C88" s="584" t="s">
        <v>296</v>
      </c>
      <c r="D88" s="572">
        <f t="shared" ref="D88:K88" si="10">O88-D28</f>
        <v>0</v>
      </c>
      <c r="E88" s="572">
        <f t="shared" si="10"/>
        <v>0</v>
      </c>
      <c r="F88" s="572">
        <f t="shared" si="10"/>
        <v>0</v>
      </c>
      <c r="G88" s="572">
        <f t="shared" si="10"/>
        <v>188.57874483273008</v>
      </c>
      <c r="H88" s="572">
        <f t="shared" si="10"/>
        <v>188.55658128065795</v>
      </c>
      <c r="I88" s="572">
        <f t="shared" si="10"/>
        <v>188.6257062041384</v>
      </c>
      <c r="J88" s="572">
        <f t="shared" si="10"/>
        <v>186.30669365609765</v>
      </c>
      <c r="K88" s="572">
        <f t="shared" si="10"/>
        <v>180.71316837445499</v>
      </c>
      <c r="M88" s="598" t="s">
        <v>298</v>
      </c>
      <c r="N88" s="584" t="s">
        <v>296</v>
      </c>
      <c r="O88" s="574">
        <v>275.83045048966818</v>
      </c>
      <c r="P88" s="574">
        <v>370.59114881614931</v>
      </c>
      <c r="Q88" s="574">
        <v>632.76315708530024</v>
      </c>
      <c r="R88" s="574">
        <v>933.19690088931702</v>
      </c>
      <c r="S88" s="574">
        <v>933.08566044098006</v>
      </c>
      <c r="T88" s="574">
        <v>933.43260336123535</v>
      </c>
      <c r="U88" s="574">
        <v>921.79331401356535</v>
      </c>
      <c r="V88" s="574">
        <v>893.71901175006315</v>
      </c>
    </row>
    <row r="89" spans="2:22" outlineLevel="1" x14ac:dyDescent="0.3">
      <c r="B89" s="595" t="s">
        <v>859</v>
      </c>
      <c r="C89" s="606"/>
      <c r="D89" s="606"/>
      <c r="E89" s="606"/>
      <c r="F89" s="606"/>
      <c r="G89" s="606"/>
      <c r="H89" s="606"/>
      <c r="I89" s="606"/>
      <c r="J89" s="606"/>
      <c r="K89" s="606"/>
      <c r="M89" s="595" t="s">
        <v>859</v>
      </c>
      <c r="N89" s="606"/>
      <c r="O89" s="606"/>
      <c r="P89" s="606"/>
      <c r="Q89" s="606"/>
      <c r="R89" s="606"/>
      <c r="S89" s="606"/>
      <c r="T89" s="606"/>
      <c r="U89" s="606"/>
      <c r="V89" s="606"/>
    </row>
    <row r="90" spans="2:22" outlineLevel="1" x14ac:dyDescent="0.3">
      <c r="B90" s="598" t="s">
        <v>860</v>
      </c>
      <c r="C90" s="584" t="s">
        <v>296</v>
      </c>
      <c r="D90" s="572">
        <f>O90-D30</f>
        <v>0</v>
      </c>
      <c r="E90" s="572">
        <f t="shared" ref="E90:K90" si="11">P90-E30</f>
        <v>0</v>
      </c>
      <c r="F90" s="572">
        <f t="shared" si="11"/>
        <v>0</v>
      </c>
      <c r="G90" s="572">
        <f t="shared" si="11"/>
        <v>371.84481497773004</v>
      </c>
      <c r="H90" s="572">
        <f t="shared" si="11"/>
        <v>374.77966769940781</v>
      </c>
      <c r="I90" s="572">
        <f t="shared" si="11"/>
        <v>377.66499859788837</v>
      </c>
      <c r="J90" s="572">
        <f t="shared" si="11"/>
        <v>378.16219202484763</v>
      </c>
      <c r="K90" s="572">
        <f t="shared" si="11"/>
        <v>375.38487271820486</v>
      </c>
      <c r="M90" s="598" t="s">
        <v>860</v>
      </c>
      <c r="N90" s="584" t="s">
        <v>296</v>
      </c>
      <c r="O90" s="574">
        <v>521.73857344054318</v>
      </c>
      <c r="P90" s="574">
        <v>741.22374482135763</v>
      </c>
      <c r="Q90" s="574">
        <v>1251.474420274217</v>
      </c>
      <c r="R90" s="574">
        <v>1866.3156426701503</v>
      </c>
      <c r="S90" s="574">
        <v>1881.0458777649383</v>
      </c>
      <c r="T90" s="574">
        <v>1895.5275592976936</v>
      </c>
      <c r="U90" s="574">
        <v>1898.0230085625237</v>
      </c>
      <c r="V90" s="574">
        <v>1884.0834449115214</v>
      </c>
    </row>
    <row r="91" spans="2:22" outlineLevel="1" x14ac:dyDescent="0.3">
      <c r="B91" s="595" t="s">
        <v>713</v>
      </c>
      <c r="C91" s="596"/>
      <c r="D91" s="596"/>
      <c r="E91" s="596"/>
      <c r="F91" s="596"/>
      <c r="G91" s="596"/>
      <c r="H91" s="596"/>
      <c r="I91" s="626"/>
      <c r="J91" s="596"/>
      <c r="K91" s="596"/>
      <c r="M91" s="595" t="s">
        <v>713</v>
      </c>
      <c r="N91" s="596"/>
      <c r="O91" s="606"/>
      <c r="P91" s="606"/>
      <c r="Q91" s="606"/>
      <c r="R91" s="606"/>
      <c r="S91" s="606"/>
      <c r="T91" s="606"/>
      <c r="U91" s="606"/>
      <c r="V91" s="606"/>
    </row>
    <row r="92" spans="2:22" outlineLevel="1" x14ac:dyDescent="0.3">
      <c r="B92" s="597" t="s">
        <v>833</v>
      </c>
      <c r="C92" s="582" t="s">
        <v>412</v>
      </c>
      <c r="D92" s="572">
        <f t="shared" ref="D92:K93" si="12">O92-D32</f>
        <v>0</v>
      </c>
      <c r="E92" s="572">
        <f t="shared" si="12"/>
        <v>0</v>
      </c>
      <c r="F92" s="572">
        <f t="shared" si="12"/>
        <v>0</v>
      </c>
      <c r="G92" s="572">
        <f t="shared" si="12"/>
        <v>563.24119500000006</v>
      </c>
      <c r="H92" s="572">
        <f t="shared" si="12"/>
        <v>563.24119500000006</v>
      </c>
      <c r="I92" s="572">
        <f t="shared" si="12"/>
        <v>563.24119500000006</v>
      </c>
      <c r="J92" s="572">
        <f t="shared" si="12"/>
        <v>563.24119500000006</v>
      </c>
      <c r="K92" s="572">
        <f t="shared" si="12"/>
        <v>563.24119500000006</v>
      </c>
      <c r="M92" s="597" t="s">
        <v>833</v>
      </c>
      <c r="N92" s="582" t="s">
        <v>412</v>
      </c>
      <c r="O92" s="574">
        <v>761.73000750000017</v>
      </c>
      <c r="P92" s="574">
        <v>1137.2241374999999</v>
      </c>
      <c r="Q92" s="574">
        <v>1888.2123975000004</v>
      </c>
      <c r="R92" s="574">
        <v>2826.9477225000005</v>
      </c>
      <c r="S92" s="574">
        <v>2826.9477225000005</v>
      </c>
      <c r="T92" s="574">
        <v>2826.9477225000005</v>
      </c>
      <c r="U92" s="574">
        <v>2826.9477225000005</v>
      </c>
      <c r="V92" s="574">
        <v>2826.9477225000005</v>
      </c>
    </row>
    <row r="93" spans="2:22" outlineLevel="1" x14ac:dyDescent="0.3">
      <c r="B93" s="597" t="s">
        <v>308</v>
      </c>
      <c r="C93" s="582" t="s">
        <v>296</v>
      </c>
      <c r="D93" s="572">
        <f t="shared" si="12"/>
        <v>0</v>
      </c>
      <c r="E93" s="572">
        <f t="shared" si="12"/>
        <v>0</v>
      </c>
      <c r="F93" s="572">
        <f t="shared" si="12"/>
        <v>0</v>
      </c>
      <c r="G93" s="572">
        <f t="shared" si="12"/>
        <v>13.940219576250001</v>
      </c>
      <c r="H93" s="572">
        <f t="shared" si="12"/>
        <v>16.897235850000001</v>
      </c>
      <c r="I93" s="572">
        <f t="shared" si="12"/>
        <v>19.713441825000018</v>
      </c>
      <c r="J93" s="572">
        <f t="shared" si="12"/>
        <v>22.529647800000021</v>
      </c>
      <c r="K93" s="572">
        <f t="shared" si="12"/>
        <v>25.345853775000009</v>
      </c>
      <c r="M93" s="597" t="s">
        <v>308</v>
      </c>
      <c r="N93" s="582" t="s">
        <v>296</v>
      </c>
      <c r="O93" s="574">
        <v>5.4844560540000016</v>
      </c>
      <c r="P93" s="574">
        <v>17.058362062499999</v>
      </c>
      <c r="Q93" s="574">
        <v>39.369228487875013</v>
      </c>
      <c r="R93" s="574">
        <v>69.966956131875008</v>
      </c>
      <c r="S93" s="574">
        <v>84.808431675000008</v>
      </c>
      <c r="T93" s="574">
        <v>98.943170287500024</v>
      </c>
      <c r="U93" s="574">
        <v>113.07790890000003</v>
      </c>
      <c r="V93" s="574">
        <v>127.21264751250003</v>
      </c>
    </row>
    <row r="94" spans="2:22" outlineLevel="1" x14ac:dyDescent="0.3"/>
    <row r="95" spans="2:22" outlineLevel="1" x14ac:dyDescent="0.3"/>
    <row r="96" spans="2:22" outlineLevel="1" x14ac:dyDescent="0.3">
      <c r="B96" s="179" t="s">
        <v>884</v>
      </c>
      <c r="C96" s="180"/>
      <c r="D96" s="180"/>
      <c r="E96" s="180"/>
      <c r="F96" s="180"/>
      <c r="G96" s="180"/>
      <c r="H96" s="180"/>
      <c r="I96" s="180"/>
      <c r="J96" s="180"/>
      <c r="K96" s="180"/>
    </row>
    <row r="97" spans="2:11" outlineLevel="1" x14ac:dyDescent="0.3">
      <c r="B97" s="809"/>
      <c r="C97" s="809" t="s">
        <v>318</v>
      </c>
      <c r="D97" s="617">
        <v>2015</v>
      </c>
      <c r="E97" s="617">
        <v>2020</v>
      </c>
      <c r="F97" s="617">
        <v>2025</v>
      </c>
      <c r="G97" s="600">
        <v>2030</v>
      </c>
      <c r="H97" s="600">
        <v>2035</v>
      </c>
      <c r="I97" s="600">
        <v>2040</v>
      </c>
      <c r="J97" s="617">
        <v>2045</v>
      </c>
      <c r="K97" s="621">
        <v>2050</v>
      </c>
    </row>
    <row r="98" spans="2:11" outlineLevel="1" x14ac:dyDescent="0.3">
      <c r="B98" s="809"/>
      <c r="C98" s="816">
        <v>1</v>
      </c>
      <c r="D98" s="817">
        <v>2</v>
      </c>
      <c r="E98" s="816">
        <v>3</v>
      </c>
      <c r="F98" s="817">
        <v>4</v>
      </c>
      <c r="G98" s="816">
        <v>5</v>
      </c>
      <c r="H98" s="817">
        <v>6</v>
      </c>
      <c r="I98" s="816">
        <v>7</v>
      </c>
      <c r="J98" s="817">
        <v>8</v>
      </c>
      <c r="K98" s="816">
        <v>9</v>
      </c>
    </row>
    <row r="99" spans="2:11" outlineLevel="1" x14ac:dyDescent="0.3">
      <c r="B99" s="818" t="s">
        <v>231</v>
      </c>
      <c r="C99" s="809">
        <v>1</v>
      </c>
      <c r="D99" s="1050"/>
      <c r="E99" s="1050"/>
      <c r="F99" s="1050"/>
      <c r="G99" s="1050"/>
      <c r="H99" s="1050"/>
      <c r="I99" s="1050"/>
      <c r="J99" s="1050"/>
      <c r="K99" s="1050"/>
    </row>
    <row r="100" spans="2:11" outlineLevel="1" x14ac:dyDescent="0.3">
      <c r="B100" s="818" t="s">
        <v>209</v>
      </c>
      <c r="C100" s="809">
        <v>2</v>
      </c>
      <c r="D100" s="1050"/>
      <c r="E100" s="1050"/>
      <c r="F100" s="1050"/>
      <c r="G100" s="1050"/>
      <c r="H100" s="1050"/>
      <c r="I100" s="1050"/>
      <c r="J100" s="1050"/>
      <c r="K100" s="1050"/>
    </row>
    <row r="101" spans="2:11" outlineLevel="1" x14ac:dyDescent="0.3">
      <c r="B101" s="818" t="s">
        <v>417</v>
      </c>
      <c r="C101" s="809">
        <v>4</v>
      </c>
      <c r="D101" s="1050">
        <f t="shared" ref="D101:K101" si="13">SUMPRODUCT($O8:$O33,D$38:D$63)</f>
        <v>0</v>
      </c>
      <c r="E101" s="1050">
        <f t="shared" si="13"/>
        <v>-18.090000000000003</v>
      </c>
      <c r="F101" s="1050">
        <f t="shared" si="13"/>
        <v>-54.269999999999982</v>
      </c>
      <c r="G101" s="1050">
        <f t="shared" si="13"/>
        <v>-126.63</v>
      </c>
      <c r="H101" s="1050">
        <f t="shared" si="13"/>
        <v>-126.63</v>
      </c>
      <c r="I101" s="1050">
        <f t="shared" si="13"/>
        <v>-126.63</v>
      </c>
      <c r="J101" s="1050">
        <f t="shared" si="13"/>
        <v>-126.63</v>
      </c>
      <c r="K101" s="1050">
        <f t="shared" si="13"/>
        <v>-126.63</v>
      </c>
    </row>
    <row r="102" spans="2:11" outlineLevel="1" x14ac:dyDescent="0.3">
      <c r="B102" s="818" t="s">
        <v>124</v>
      </c>
      <c r="C102" s="809">
        <v>10</v>
      </c>
      <c r="D102" s="1050"/>
      <c r="E102" s="1050"/>
      <c r="F102" s="1050"/>
      <c r="G102" s="1050"/>
      <c r="H102" s="1050"/>
      <c r="I102" s="1050"/>
      <c r="J102" s="1050"/>
      <c r="K102" s="1050"/>
    </row>
    <row r="103" spans="2:11" outlineLevel="1" x14ac:dyDescent="0.3">
      <c r="B103" s="818" t="s">
        <v>133</v>
      </c>
      <c r="C103" s="809">
        <v>23</v>
      </c>
      <c r="D103" s="1050">
        <f t="shared" ref="D103:K103" si="14">SUMPRODUCT($P8:$P33,D$38:D$63)</f>
        <v>0</v>
      </c>
      <c r="E103" s="1050">
        <f t="shared" si="14"/>
        <v>-16.919289271874998</v>
      </c>
      <c r="F103" s="1050">
        <f t="shared" si="14"/>
        <v>-36.824876043750038</v>
      </c>
      <c r="G103" s="1050">
        <f t="shared" si="14"/>
        <v>-79.036049587499974</v>
      </c>
      <c r="H103" s="1050">
        <f t="shared" si="14"/>
        <v>-37.704082500000013</v>
      </c>
      <c r="I103" s="1050">
        <f t="shared" si="14"/>
        <v>-37.704082500000013</v>
      </c>
      <c r="J103" s="1050">
        <f t="shared" si="14"/>
        <v>-37.704082500000013</v>
      </c>
      <c r="K103" s="1050">
        <f t="shared" si="14"/>
        <v>-37.704082500000013</v>
      </c>
    </row>
    <row r="104" spans="2:11" outlineLevel="1" x14ac:dyDescent="0.3">
      <c r="B104" s="818" t="s">
        <v>285</v>
      </c>
      <c r="C104" s="809">
        <v>24</v>
      </c>
      <c r="D104" s="1050">
        <f t="shared" ref="D104:K104" si="15">SUMPRODUCT($Q8:$Q33,D$38:D$63)</f>
        <v>0</v>
      </c>
      <c r="E104" s="1050">
        <f t="shared" si="15"/>
        <v>0</v>
      </c>
      <c r="F104" s="1050">
        <f t="shared" si="15"/>
        <v>0</v>
      </c>
      <c r="G104" s="1050">
        <f t="shared" si="15"/>
        <v>0</v>
      </c>
      <c r="H104" s="1050">
        <f t="shared" si="15"/>
        <v>0</v>
      </c>
      <c r="I104" s="1050">
        <f t="shared" si="15"/>
        <v>0</v>
      </c>
      <c r="J104" s="1050">
        <f t="shared" si="15"/>
        <v>0</v>
      </c>
      <c r="K104" s="1050">
        <f t="shared" si="15"/>
        <v>0</v>
      </c>
    </row>
    <row r="105" spans="2:11" outlineLevel="1" x14ac:dyDescent="0.3">
      <c r="B105" s="818" t="s">
        <v>315</v>
      </c>
      <c r="C105" s="809">
        <v>26</v>
      </c>
      <c r="D105" s="1050">
        <f t="shared" ref="D105:K105" si="16">SUMPRODUCT($R8:$R33,D$38:D$63)</f>
        <v>0</v>
      </c>
      <c r="E105" s="1050">
        <f t="shared" si="16"/>
        <v>0</v>
      </c>
      <c r="F105" s="1050">
        <f t="shared" si="16"/>
        <v>0</v>
      </c>
      <c r="G105" s="1050">
        <f t="shared" si="16"/>
        <v>0</v>
      </c>
      <c r="H105" s="1050">
        <f t="shared" si="16"/>
        <v>0</v>
      </c>
      <c r="I105" s="1050">
        <f t="shared" si="16"/>
        <v>0</v>
      </c>
      <c r="J105" s="1050">
        <f t="shared" si="16"/>
        <v>0</v>
      </c>
      <c r="K105" s="1050">
        <f t="shared" si="16"/>
        <v>0</v>
      </c>
    </row>
    <row r="106" spans="2:11" outlineLevel="1" x14ac:dyDescent="0.3">
      <c r="B106" s="818" t="s">
        <v>38</v>
      </c>
      <c r="C106" s="809">
        <v>29</v>
      </c>
      <c r="D106" s="1050">
        <f t="shared" ref="D106:K106" si="17">SUMPRODUCT($S8:$S33,D$38:D$63)</f>
        <v>0</v>
      </c>
      <c r="E106" s="1050">
        <f t="shared" si="17"/>
        <v>-11.678181609374997</v>
      </c>
      <c r="F106" s="1050">
        <f t="shared" si="17"/>
        <v>-22.392709218750024</v>
      </c>
      <c r="G106" s="1050">
        <f t="shared" si="17"/>
        <v>-46.221764437499978</v>
      </c>
      <c r="H106" s="1050">
        <f t="shared" si="17"/>
        <v>-10.054422000000002</v>
      </c>
      <c r="I106" s="1050">
        <f t="shared" si="17"/>
        <v>-10.054422000000002</v>
      </c>
      <c r="J106" s="1050">
        <f t="shared" si="17"/>
        <v>-10.054422000000002</v>
      </c>
      <c r="K106" s="1050">
        <f t="shared" si="17"/>
        <v>-10.054422000000002</v>
      </c>
    </row>
    <row r="107" spans="2:11" outlineLevel="1" x14ac:dyDescent="0.3">
      <c r="B107" s="818" t="s">
        <v>136</v>
      </c>
      <c r="C107" s="809">
        <v>30</v>
      </c>
      <c r="D107" s="1050">
        <f t="shared" ref="D107:K107" si="18">SUMPRODUCT($T8:$T33,D$38:D$63)</f>
        <v>0</v>
      </c>
      <c r="E107" s="1050">
        <f t="shared" si="18"/>
        <v>0</v>
      </c>
      <c r="F107" s="1050">
        <f t="shared" si="18"/>
        <v>0</v>
      </c>
      <c r="G107" s="1050">
        <f t="shared" si="18"/>
        <v>0</v>
      </c>
      <c r="H107" s="1050">
        <f t="shared" si="18"/>
        <v>0</v>
      </c>
      <c r="I107" s="1050">
        <f t="shared" si="18"/>
        <v>0</v>
      </c>
      <c r="J107" s="1050">
        <f t="shared" si="18"/>
        <v>0</v>
      </c>
      <c r="K107" s="1050">
        <f t="shared" si="18"/>
        <v>0</v>
      </c>
    </row>
    <row r="108" spans="2:11" outlineLevel="1" x14ac:dyDescent="0.3">
      <c r="B108" s="818" t="s">
        <v>360</v>
      </c>
      <c r="C108" s="809">
        <v>31</v>
      </c>
      <c r="D108" s="1050">
        <f t="shared" ref="D108:K108" si="19">SUMPRODUCT($U8:$U33,D$38:D$63)</f>
        <v>0</v>
      </c>
      <c r="E108" s="1050">
        <f t="shared" si="19"/>
        <v>0</v>
      </c>
      <c r="F108" s="1050">
        <f t="shared" si="19"/>
        <v>0</v>
      </c>
      <c r="G108" s="1050">
        <f t="shared" si="19"/>
        <v>0</v>
      </c>
      <c r="H108" s="1050">
        <f t="shared" si="19"/>
        <v>0</v>
      </c>
      <c r="I108" s="1050">
        <f t="shared" si="19"/>
        <v>0</v>
      </c>
      <c r="J108" s="1050">
        <f t="shared" si="19"/>
        <v>0</v>
      </c>
      <c r="K108" s="1050">
        <f t="shared" si="19"/>
        <v>0</v>
      </c>
    </row>
    <row r="109" spans="2:11" outlineLevel="1" x14ac:dyDescent="0.3">
      <c r="B109" s="818" t="s">
        <v>361</v>
      </c>
      <c r="C109" s="809">
        <v>32</v>
      </c>
      <c r="D109" s="1050">
        <f t="shared" ref="D109:K109" si="20">SUMPRODUCT($V8:$V33,D$38:D$63)</f>
        <v>0</v>
      </c>
      <c r="E109" s="1050">
        <f t="shared" si="20"/>
        <v>0</v>
      </c>
      <c r="F109" s="1050">
        <f t="shared" si="20"/>
        <v>0</v>
      </c>
      <c r="G109" s="1050">
        <f t="shared" si="20"/>
        <v>0</v>
      </c>
      <c r="H109" s="1050">
        <f t="shared" si="20"/>
        <v>0</v>
      </c>
      <c r="I109" s="1050">
        <f t="shared" si="20"/>
        <v>0</v>
      </c>
      <c r="J109" s="1050">
        <f t="shared" si="20"/>
        <v>0</v>
      </c>
      <c r="K109" s="1050">
        <f t="shared" si="20"/>
        <v>0</v>
      </c>
    </row>
    <row r="110" spans="2:11" outlineLevel="1" x14ac:dyDescent="0.3">
      <c r="B110" s="818" t="s">
        <v>362</v>
      </c>
      <c r="C110" s="809">
        <v>33</v>
      </c>
      <c r="D110" s="1050">
        <f t="shared" ref="D110:K110" si="21">SUMPRODUCT($W8:$W33,D$38:D$63)</f>
        <v>0</v>
      </c>
      <c r="E110" s="1050">
        <f t="shared" si="21"/>
        <v>-0.35908650000000009</v>
      </c>
      <c r="F110" s="1050">
        <f t="shared" si="21"/>
        <v>-1.0772595000000003</v>
      </c>
      <c r="G110" s="1050">
        <f t="shared" si="21"/>
        <v>-2.5136055000000006</v>
      </c>
      <c r="H110" s="1050">
        <f t="shared" si="21"/>
        <v>-2.5136055000000006</v>
      </c>
      <c r="I110" s="1050">
        <f t="shared" si="21"/>
        <v>-2.5136055000000006</v>
      </c>
      <c r="J110" s="1050">
        <f t="shared" si="21"/>
        <v>-2.5136055000000006</v>
      </c>
      <c r="K110" s="1050">
        <f t="shared" si="21"/>
        <v>-2.5136055000000006</v>
      </c>
    </row>
    <row r="111" spans="2:11" outlineLevel="1" x14ac:dyDescent="0.3">
      <c r="B111" s="818" t="s">
        <v>363</v>
      </c>
      <c r="C111" s="809">
        <v>55</v>
      </c>
      <c r="D111" s="1050">
        <f t="shared" ref="D111:K111" si="22">SUMPRODUCT($X8:$X33,D$38:D$63)</f>
        <v>0</v>
      </c>
      <c r="E111" s="1050">
        <f t="shared" si="22"/>
        <v>0</v>
      </c>
      <c r="F111" s="1050">
        <f t="shared" si="22"/>
        <v>0</v>
      </c>
      <c r="G111" s="1050">
        <f t="shared" si="22"/>
        <v>0</v>
      </c>
      <c r="H111" s="1050">
        <f t="shared" si="22"/>
        <v>0</v>
      </c>
      <c r="I111" s="1050">
        <f t="shared" si="22"/>
        <v>0</v>
      </c>
      <c r="J111" s="1050">
        <f t="shared" si="22"/>
        <v>0</v>
      </c>
      <c r="K111" s="1050">
        <f t="shared" si="22"/>
        <v>0</v>
      </c>
    </row>
    <row r="112" spans="2:11" outlineLevel="1" x14ac:dyDescent="0.3">
      <c r="B112" s="858" t="s">
        <v>204</v>
      </c>
      <c r="C112" s="859">
        <v>101</v>
      </c>
      <c r="D112" s="1050">
        <f t="shared" ref="D112:K112" si="23">SUMPRODUCT($Y8:$Y33,D$38:D$63)</f>
        <v>0</v>
      </c>
      <c r="E112" s="1050">
        <f t="shared" si="23"/>
        <v>-31.422792982359738</v>
      </c>
      <c r="F112" s="1050">
        <f t="shared" si="23"/>
        <v>-95.985198381343025</v>
      </c>
      <c r="G112" s="1050">
        <f t="shared" si="23"/>
        <v>-219.875202304852</v>
      </c>
      <c r="H112" s="1050">
        <f t="shared" si="23"/>
        <v>-219.84934482743415</v>
      </c>
      <c r="I112" s="1050">
        <f t="shared" si="23"/>
        <v>-219.92999057149484</v>
      </c>
      <c r="J112" s="1050">
        <f t="shared" si="23"/>
        <v>-217.22447593211405</v>
      </c>
      <c r="K112" s="1050">
        <f t="shared" si="23"/>
        <v>-210.69869643686411</v>
      </c>
    </row>
    <row r="113" spans="2:11" outlineLevel="1" x14ac:dyDescent="0.3">
      <c r="B113" s="858" t="s">
        <v>364</v>
      </c>
      <c r="C113" s="859">
        <v>102</v>
      </c>
      <c r="D113" s="1050">
        <f t="shared" ref="D113:K113" si="24">SUMPRODUCT($Z8:$Z33,D$38:D$63)</f>
        <v>0</v>
      </c>
      <c r="E113" s="1050">
        <f t="shared" si="24"/>
        <v>0</v>
      </c>
      <c r="F113" s="1050">
        <f t="shared" si="24"/>
        <v>0</v>
      </c>
      <c r="G113" s="1050">
        <f t="shared" si="24"/>
        <v>0</v>
      </c>
      <c r="H113" s="1050">
        <f t="shared" si="24"/>
        <v>0</v>
      </c>
      <c r="I113" s="1050">
        <f t="shared" si="24"/>
        <v>0</v>
      </c>
      <c r="J113" s="1050">
        <f t="shared" si="24"/>
        <v>0</v>
      </c>
      <c r="K113" s="1050">
        <f t="shared" si="24"/>
        <v>0</v>
      </c>
    </row>
    <row r="114" spans="2:11" outlineLevel="1" x14ac:dyDescent="0.3">
      <c r="B114" s="858" t="s">
        <v>457</v>
      </c>
      <c r="C114" s="859">
        <v>103</v>
      </c>
      <c r="D114" s="1050">
        <f t="shared" ref="D114:K114" si="25">-SUMPRODUCT($AA8:$AA33,D$38:D$63)</f>
        <v>0</v>
      </c>
      <c r="E114" s="1050">
        <f t="shared" si="25"/>
        <v>-42.364798935484657</v>
      </c>
      <c r="F114" s="1050">
        <f t="shared" si="25"/>
        <v>-152.2124355319263</v>
      </c>
      <c r="G114" s="1050">
        <f t="shared" si="25"/>
        <v>-364.93732895735201</v>
      </c>
      <c r="H114" s="1050">
        <f t="shared" si="25"/>
        <v>-437.24294564930915</v>
      </c>
      <c r="I114" s="1050">
        <f t="shared" si="25"/>
        <v>-440.60916503086992</v>
      </c>
      <c r="J114" s="1050">
        <f t="shared" si="25"/>
        <v>-441.1892240289892</v>
      </c>
      <c r="K114" s="1050">
        <f t="shared" si="25"/>
        <v>-437.94901817123923</v>
      </c>
    </row>
    <row r="115" spans="2:11" outlineLevel="1" x14ac:dyDescent="0.3">
      <c r="B115" s="858" t="s">
        <v>110</v>
      </c>
      <c r="C115" s="859">
        <v>104</v>
      </c>
      <c r="D115" s="1050">
        <f t="shared" ref="D115:K115" si="26">SUMPRODUCT($AB8:$AB33,D$38:D$63)</f>
        <v>0</v>
      </c>
      <c r="E115" s="1050">
        <f t="shared" si="26"/>
        <v>-3.1375069874999948</v>
      </c>
      <c r="F115" s="1050">
        <f t="shared" si="26"/>
        <v>-11.060001457875011</v>
      </c>
      <c r="G115" s="1050">
        <f t="shared" si="26"/>
        <v>-28.369417505625002</v>
      </c>
      <c r="H115" s="1050">
        <f t="shared" si="26"/>
        <v>-31.819269825000006</v>
      </c>
      <c r="I115" s="1050">
        <f t="shared" si="26"/>
        <v>-35.104843462500007</v>
      </c>
      <c r="J115" s="1050">
        <f t="shared" si="26"/>
        <v>-38.390417100000008</v>
      </c>
      <c r="K115" s="1050">
        <f t="shared" si="26"/>
        <v>-41.675990737500015</v>
      </c>
    </row>
    <row r="116" spans="2:11" outlineLevel="1" x14ac:dyDescent="0.3">
      <c r="B116" s="858" t="s">
        <v>53</v>
      </c>
      <c r="C116" s="859">
        <v>105</v>
      </c>
      <c r="D116" s="1050">
        <f t="shared" ref="D116:K116" si="27">-SUMPRODUCT($AC8:$AC33,D$38:D$63)</f>
        <v>0</v>
      </c>
      <c r="E116" s="1050">
        <f t="shared" si="27"/>
        <v>0</v>
      </c>
      <c r="F116" s="1050">
        <f t="shared" si="27"/>
        <v>0</v>
      </c>
      <c r="G116" s="1050">
        <f t="shared" si="27"/>
        <v>0</v>
      </c>
      <c r="H116" s="1050">
        <f t="shared" si="27"/>
        <v>0</v>
      </c>
      <c r="I116" s="1050">
        <f t="shared" si="27"/>
        <v>0</v>
      </c>
      <c r="J116" s="1050">
        <f t="shared" si="27"/>
        <v>0</v>
      </c>
      <c r="K116" s="1050">
        <f t="shared" si="27"/>
        <v>0</v>
      </c>
    </row>
    <row r="117" spans="2:11" outlineLevel="1" x14ac:dyDescent="0.3">
      <c r="B117" s="858" t="s">
        <v>666</v>
      </c>
      <c r="C117" s="859">
        <v>106</v>
      </c>
      <c r="D117" s="1050">
        <f t="shared" ref="D117:K117" si="28">SUMPRODUCT($AD8:$AD33,D$38:D$63)</f>
        <v>0</v>
      </c>
      <c r="E117" s="1050">
        <f t="shared" si="28"/>
        <v>-1.3531744281249978</v>
      </c>
      <c r="F117" s="1050">
        <f t="shared" si="28"/>
        <v>-3.7928566177083312</v>
      </c>
      <c r="G117" s="1050">
        <f t="shared" si="28"/>
        <v>-8.6722209968749979</v>
      </c>
      <c r="H117" s="1050">
        <f t="shared" si="28"/>
        <v>-8.6722209968749979</v>
      </c>
      <c r="I117" s="1050">
        <f t="shared" si="28"/>
        <v>-8.6722209968749979</v>
      </c>
      <c r="J117" s="1050">
        <f t="shared" si="28"/>
        <v>-8.6722209968749979</v>
      </c>
      <c r="K117" s="1050">
        <f t="shared" si="28"/>
        <v>-8.6722209968749979</v>
      </c>
    </row>
    <row r="118" spans="2:11" outlineLevel="1" x14ac:dyDescent="0.3"/>
    <row r="119" spans="2:11" outlineLevel="1" x14ac:dyDescent="0.3">
      <c r="B119" s="179" t="s">
        <v>836</v>
      </c>
      <c r="C119" s="180"/>
      <c r="D119" s="180"/>
      <c r="E119" s="180"/>
      <c r="F119" s="180"/>
      <c r="G119" s="180"/>
      <c r="H119" s="180"/>
      <c r="I119" s="180"/>
      <c r="J119" s="180"/>
      <c r="K119" s="180"/>
    </row>
    <row r="120" spans="2:11" outlineLevel="1" x14ac:dyDescent="0.3">
      <c r="B120" s="809"/>
      <c r="C120" s="809" t="s">
        <v>318</v>
      </c>
      <c r="D120" s="617">
        <v>2015</v>
      </c>
      <c r="E120" s="617">
        <v>2020</v>
      </c>
      <c r="F120" s="617">
        <v>2025</v>
      </c>
      <c r="G120" s="600">
        <v>2030</v>
      </c>
      <c r="H120" s="600">
        <v>2035</v>
      </c>
      <c r="I120" s="600">
        <v>2040</v>
      </c>
      <c r="J120" s="617">
        <v>2045</v>
      </c>
      <c r="K120" s="621">
        <v>2050</v>
      </c>
    </row>
    <row r="121" spans="2:11" outlineLevel="1" x14ac:dyDescent="0.3">
      <c r="B121" s="809"/>
      <c r="C121" s="816">
        <v>1</v>
      </c>
      <c r="D121" s="817">
        <v>2</v>
      </c>
      <c r="E121" s="816">
        <v>3</v>
      </c>
      <c r="F121" s="817">
        <v>4</v>
      </c>
      <c r="G121" s="816">
        <v>5</v>
      </c>
      <c r="H121" s="817">
        <v>6</v>
      </c>
      <c r="I121" s="816">
        <v>7</v>
      </c>
      <c r="J121" s="817">
        <v>8</v>
      </c>
      <c r="K121" s="816">
        <v>9</v>
      </c>
    </row>
    <row r="122" spans="2:11" outlineLevel="1" x14ac:dyDescent="0.3">
      <c r="B122" s="818" t="s">
        <v>231</v>
      </c>
      <c r="C122" s="809">
        <v>1</v>
      </c>
      <c r="D122" s="1050"/>
      <c r="E122" s="1050"/>
      <c r="F122" s="1050"/>
      <c r="G122" s="1050"/>
      <c r="H122" s="1050"/>
      <c r="I122" s="1050"/>
      <c r="J122" s="1050"/>
      <c r="K122" s="1050"/>
    </row>
    <row r="123" spans="2:11" outlineLevel="1" x14ac:dyDescent="0.3">
      <c r="B123" s="818" t="s">
        <v>209</v>
      </c>
      <c r="C123" s="809">
        <v>2</v>
      </c>
      <c r="D123" s="1050"/>
      <c r="E123" s="1050"/>
      <c r="F123" s="1050"/>
      <c r="G123" s="1050"/>
      <c r="H123" s="1050"/>
      <c r="I123" s="1050"/>
      <c r="J123" s="1050"/>
      <c r="K123" s="1050"/>
    </row>
    <row r="124" spans="2:11" outlineLevel="1" x14ac:dyDescent="0.3">
      <c r="B124" s="818" t="s">
        <v>417</v>
      </c>
      <c r="C124" s="809">
        <v>4</v>
      </c>
      <c r="D124" s="1050">
        <f t="shared" ref="D124:K124" si="29">SUMPRODUCT($O8:$O33,D$68:D$93)</f>
        <v>0</v>
      </c>
      <c r="E124" s="1050">
        <f t="shared" si="29"/>
        <v>0</v>
      </c>
      <c r="F124" s="1050">
        <f t="shared" si="29"/>
        <v>0</v>
      </c>
      <c r="G124" s="1050">
        <f t="shared" si="29"/>
        <v>108.53999999999996</v>
      </c>
      <c r="H124" s="1050">
        <f t="shared" si="29"/>
        <v>108.53999999999996</v>
      </c>
      <c r="I124" s="1050">
        <f t="shared" si="29"/>
        <v>108.53999999999996</v>
      </c>
      <c r="J124" s="1050">
        <f t="shared" si="29"/>
        <v>108.53999999999996</v>
      </c>
      <c r="K124" s="1050">
        <f t="shared" si="29"/>
        <v>108.53999999999996</v>
      </c>
    </row>
    <row r="125" spans="2:11" outlineLevel="1" x14ac:dyDescent="0.3">
      <c r="B125" s="818" t="s">
        <v>124</v>
      </c>
      <c r="C125" s="809">
        <v>10</v>
      </c>
      <c r="D125" s="1050"/>
      <c r="E125" s="1050"/>
      <c r="F125" s="1050"/>
      <c r="G125" s="1050"/>
      <c r="H125" s="1050"/>
      <c r="I125" s="1050"/>
      <c r="J125" s="1050"/>
      <c r="K125" s="1050"/>
    </row>
    <row r="126" spans="2:11" outlineLevel="1" x14ac:dyDescent="0.3">
      <c r="B126" s="818" t="s">
        <v>133</v>
      </c>
      <c r="C126" s="809">
        <v>23</v>
      </c>
      <c r="D126" s="1050">
        <f t="shared" ref="D126:K126" si="30">SUMPRODUCT($P8:$P33,D$68:D$93)</f>
        <v>0</v>
      </c>
      <c r="E126" s="1050">
        <f t="shared" si="30"/>
        <v>0</v>
      </c>
      <c r="F126" s="1050">
        <f t="shared" si="30"/>
        <v>0</v>
      </c>
      <c r="G126" s="1050">
        <f t="shared" si="30"/>
        <v>94.315735631249964</v>
      </c>
      <c r="H126" s="1050">
        <f t="shared" si="30"/>
        <v>32.317784999999986</v>
      </c>
      <c r="I126" s="1050">
        <f t="shared" si="30"/>
        <v>32.317784999999986</v>
      </c>
      <c r="J126" s="1050">
        <f t="shared" si="30"/>
        <v>32.317784999999986</v>
      </c>
      <c r="K126" s="1050">
        <f t="shared" si="30"/>
        <v>32.317784999999986</v>
      </c>
    </row>
    <row r="127" spans="2:11" outlineLevel="1" x14ac:dyDescent="0.3">
      <c r="B127" s="818" t="s">
        <v>285</v>
      </c>
      <c r="C127" s="809">
        <v>24</v>
      </c>
      <c r="D127" s="1050">
        <f t="shared" ref="D127:K127" si="31">SUMPRODUCT($Q8:$Q33,D$68:D$93)</f>
        <v>0</v>
      </c>
      <c r="E127" s="1050">
        <f t="shared" si="31"/>
        <v>0</v>
      </c>
      <c r="F127" s="1050">
        <f t="shared" si="31"/>
        <v>0</v>
      </c>
      <c r="G127" s="1050">
        <f t="shared" si="31"/>
        <v>0</v>
      </c>
      <c r="H127" s="1050">
        <f t="shared" si="31"/>
        <v>0</v>
      </c>
      <c r="I127" s="1050">
        <f t="shared" si="31"/>
        <v>0</v>
      </c>
      <c r="J127" s="1050">
        <f t="shared" si="31"/>
        <v>0</v>
      </c>
      <c r="K127" s="1050">
        <f t="shared" si="31"/>
        <v>0</v>
      </c>
    </row>
    <row r="128" spans="2:11" outlineLevel="1" x14ac:dyDescent="0.3">
      <c r="B128" s="818" t="s">
        <v>315</v>
      </c>
      <c r="C128" s="809">
        <v>26</v>
      </c>
      <c r="D128" s="1050">
        <f t="shared" ref="D128:K128" si="32">SUMPRODUCT($R8:$R33,D$68:D$93)</f>
        <v>0</v>
      </c>
      <c r="E128" s="1050">
        <f t="shared" si="32"/>
        <v>0</v>
      </c>
      <c r="F128" s="1050">
        <f t="shared" si="32"/>
        <v>0</v>
      </c>
      <c r="G128" s="1050">
        <f t="shared" si="32"/>
        <v>0</v>
      </c>
      <c r="H128" s="1050">
        <f t="shared" si="32"/>
        <v>0</v>
      </c>
      <c r="I128" s="1050">
        <f t="shared" si="32"/>
        <v>0</v>
      </c>
      <c r="J128" s="1050">
        <f t="shared" si="32"/>
        <v>0</v>
      </c>
      <c r="K128" s="1050">
        <f t="shared" si="32"/>
        <v>0</v>
      </c>
    </row>
    <row r="129" spans="2:11" outlineLevel="1" x14ac:dyDescent="0.3">
      <c r="B129" s="818" t="s">
        <v>38</v>
      </c>
      <c r="C129" s="809">
        <v>29</v>
      </c>
      <c r="D129" s="1050">
        <f t="shared" ref="D129:K129" si="33">SUMPRODUCT($S8:$S33,D$68:D$93)</f>
        <v>0</v>
      </c>
      <c r="E129" s="1050">
        <f t="shared" si="33"/>
        <v>0</v>
      </c>
      <c r="F129" s="1050">
        <f t="shared" si="33"/>
        <v>0</v>
      </c>
      <c r="G129" s="1050">
        <f t="shared" si="33"/>
        <v>62.869089656249983</v>
      </c>
      <c r="H129" s="1050">
        <f t="shared" si="33"/>
        <v>8.6180759999999967</v>
      </c>
      <c r="I129" s="1050">
        <f t="shared" si="33"/>
        <v>8.6180759999999967</v>
      </c>
      <c r="J129" s="1050">
        <f t="shared" si="33"/>
        <v>8.6180759999999967</v>
      </c>
      <c r="K129" s="1050">
        <f t="shared" si="33"/>
        <v>8.6180759999999967</v>
      </c>
    </row>
    <row r="130" spans="2:11" outlineLevel="1" x14ac:dyDescent="0.3">
      <c r="B130" s="818" t="s">
        <v>136</v>
      </c>
      <c r="C130" s="809">
        <v>30</v>
      </c>
      <c r="D130" s="1050">
        <f t="shared" ref="D130:K130" si="34">SUMPRODUCT($T8:$T33,D$68:D$93)</f>
        <v>0</v>
      </c>
      <c r="E130" s="1050">
        <f t="shared" si="34"/>
        <v>0</v>
      </c>
      <c r="F130" s="1050">
        <f t="shared" si="34"/>
        <v>0</v>
      </c>
      <c r="G130" s="1050">
        <f t="shared" si="34"/>
        <v>0</v>
      </c>
      <c r="H130" s="1050">
        <f t="shared" si="34"/>
        <v>0</v>
      </c>
      <c r="I130" s="1050">
        <f t="shared" si="34"/>
        <v>0</v>
      </c>
      <c r="J130" s="1050">
        <f t="shared" si="34"/>
        <v>0</v>
      </c>
      <c r="K130" s="1050">
        <f t="shared" si="34"/>
        <v>0</v>
      </c>
    </row>
    <row r="131" spans="2:11" outlineLevel="1" x14ac:dyDescent="0.3">
      <c r="B131" s="818" t="s">
        <v>360</v>
      </c>
      <c r="C131" s="809">
        <v>31</v>
      </c>
      <c r="D131" s="1050">
        <f t="shared" ref="D131:K131" si="35">SUMPRODUCT($U8:$U33,D$68:D$93)</f>
        <v>0</v>
      </c>
      <c r="E131" s="1050">
        <f t="shared" si="35"/>
        <v>0</v>
      </c>
      <c r="F131" s="1050">
        <f t="shared" si="35"/>
        <v>0</v>
      </c>
      <c r="G131" s="1050">
        <f t="shared" si="35"/>
        <v>0</v>
      </c>
      <c r="H131" s="1050">
        <f t="shared" si="35"/>
        <v>0</v>
      </c>
      <c r="I131" s="1050">
        <f t="shared" si="35"/>
        <v>0</v>
      </c>
      <c r="J131" s="1050">
        <f t="shared" si="35"/>
        <v>0</v>
      </c>
      <c r="K131" s="1050">
        <f t="shared" si="35"/>
        <v>0</v>
      </c>
    </row>
    <row r="132" spans="2:11" outlineLevel="1" x14ac:dyDescent="0.3">
      <c r="B132" s="818" t="s">
        <v>361</v>
      </c>
      <c r="C132" s="809">
        <v>32</v>
      </c>
      <c r="D132" s="1050">
        <f t="shared" ref="D132:K132" si="36">SUMPRODUCT($V8:$V33,D$68:D$93)</f>
        <v>0</v>
      </c>
      <c r="E132" s="1050">
        <f t="shared" si="36"/>
        <v>0</v>
      </c>
      <c r="F132" s="1050">
        <f t="shared" si="36"/>
        <v>0</v>
      </c>
      <c r="G132" s="1050">
        <f t="shared" si="36"/>
        <v>0</v>
      </c>
      <c r="H132" s="1050">
        <f t="shared" si="36"/>
        <v>0</v>
      </c>
      <c r="I132" s="1050">
        <f t="shared" si="36"/>
        <v>0</v>
      </c>
      <c r="J132" s="1050">
        <f t="shared" si="36"/>
        <v>0</v>
      </c>
      <c r="K132" s="1050">
        <f t="shared" si="36"/>
        <v>0</v>
      </c>
    </row>
    <row r="133" spans="2:11" outlineLevel="1" x14ac:dyDescent="0.3">
      <c r="B133" s="818" t="s">
        <v>362</v>
      </c>
      <c r="C133" s="809">
        <v>33</v>
      </c>
      <c r="D133" s="1050">
        <f t="shared" ref="D133:K133" si="37">SUMPRODUCT($W8:$W33,D$68:D$93)</f>
        <v>0</v>
      </c>
      <c r="E133" s="1050">
        <f t="shared" si="37"/>
        <v>0</v>
      </c>
      <c r="F133" s="1050">
        <f t="shared" si="37"/>
        <v>0</v>
      </c>
      <c r="G133" s="1050">
        <f t="shared" si="37"/>
        <v>2.1545189999999992</v>
      </c>
      <c r="H133" s="1050">
        <f t="shared" si="37"/>
        <v>2.1545189999999992</v>
      </c>
      <c r="I133" s="1050">
        <f t="shared" si="37"/>
        <v>2.1545189999999992</v>
      </c>
      <c r="J133" s="1050">
        <f t="shared" si="37"/>
        <v>2.1545189999999992</v>
      </c>
      <c r="K133" s="1050">
        <f t="shared" si="37"/>
        <v>2.1545189999999992</v>
      </c>
    </row>
    <row r="134" spans="2:11" outlineLevel="1" x14ac:dyDescent="0.3">
      <c r="B134" s="818" t="s">
        <v>363</v>
      </c>
      <c r="C134" s="809">
        <v>55</v>
      </c>
      <c r="D134" s="1050">
        <f t="shared" ref="D134:K134" si="38">SUMPRODUCT($X8:$X33,D$68:D$93)</f>
        <v>0</v>
      </c>
      <c r="E134" s="1050">
        <f t="shared" si="38"/>
        <v>0</v>
      </c>
      <c r="F134" s="1050">
        <f t="shared" si="38"/>
        <v>0</v>
      </c>
      <c r="G134" s="1050">
        <f t="shared" si="38"/>
        <v>0</v>
      </c>
      <c r="H134" s="1050">
        <f t="shared" si="38"/>
        <v>0</v>
      </c>
      <c r="I134" s="1050">
        <f t="shared" si="38"/>
        <v>0</v>
      </c>
      <c r="J134" s="1050">
        <f t="shared" si="38"/>
        <v>0</v>
      </c>
      <c r="K134" s="1050">
        <f t="shared" si="38"/>
        <v>0</v>
      </c>
    </row>
    <row r="135" spans="2:11" outlineLevel="1" x14ac:dyDescent="0.3">
      <c r="B135" s="858" t="s">
        <v>204</v>
      </c>
      <c r="C135" s="859">
        <v>101</v>
      </c>
      <c r="D135" s="1050">
        <f t="shared" ref="D135:K135" si="39">SUMPRODUCT($Y8:$Y33,D$68:D$93)</f>
        <v>0</v>
      </c>
      <c r="E135" s="1050">
        <f t="shared" si="39"/>
        <v>0</v>
      </c>
      <c r="F135" s="1050">
        <f t="shared" si="39"/>
        <v>0</v>
      </c>
      <c r="G135" s="1050">
        <f t="shared" si="39"/>
        <v>188.57874483273008</v>
      </c>
      <c r="H135" s="1050">
        <f t="shared" si="39"/>
        <v>188.55658128065795</v>
      </c>
      <c r="I135" s="1050">
        <f t="shared" si="39"/>
        <v>188.6257062041384</v>
      </c>
      <c r="J135" s="1050">
        <f t="shared" si="39"/>
        <v>186.30669365609765</v>
      </c>
      <c r="K135" s="1050">
        <f t="shared" si="39"/>
        <v>180.71316837445499</v>
      </c>
    </row>
    <row r="136" spans="2:11" outlineLevel="1" x14ac:dyDescent="0.3">
      <c r="B136" s="858" t="s">
        <v>364</v>
      </c>
      <c r="C136" s="859">
        <v>102</v>
      </c>
      <c r="D136" s="1050">
        <f t="shared" ref="D136:K136" si="40">SUMPRODUCT($Z8:$Z33,D$68:D$93)</f>
        <v>0</v>
      </c>
      <c r="E136" s="1050">
        <f t="shared" si="40"/>
        <v>0</v>
      </c>
      <c r="F136" s="1050">
        <f t="shared" si="40"/>
        <v>0</v>
      </c>
      <c r="G136" s="1050">
        <f t="shared" si="40"/>
        <v>0</v>
      </c>
      <c r="H136" s="1050">
        <f t="shared" si="40"/>
        <v>0</v>
      </c>
      <c r="I136" s="1050">
        <f t="shared" si="40"/>
        <v>0</v>
      </c>
      <c r="J136" s="1050">
        <f t="shared" si="40"/>
        <v>0</v>
      </c>
      <c r="K136" s="1050">
        <f t="shared" si="40"/>
        <v>0</v>
      </c>
    </row>
    <row r="137" spans="2:11" outlineLevel="1" x14ac:dyDescent="0.3">
      <c r="B137" s="858" t="s">
        <v>457</v>
      </c>
      <c r="C137" s="859">
        <v>103</v>
      </c>
      <c r="D137" s="1050">
        <f t="shared" ref="D137:K137" si="41">-SUMPRODUCT($AA8:$AA33,D$68:D$93)</f>
        <v>0</v>
      </c>
      <c r="E137" s="1050">
        <f t="shared" si="41"/>
        <v>0</v>
      </c>
      <c r="F137" s="1050">
        <f t="shared" si="41"/>
        <v>0</v>
      </c>
      <c r="G137" s="1050">
        <f t="shared" si="41"/>
        <v>268.52238220273006</v>
      </c>
      <c r="H137" s="1050">
        <f t="shared" si="41"/>
        <v>374.77966769940781</v>
      </c>
      <c r="I137" s="1050">
        <f t="shared" si="41"/>
        <v>377.66499859788837</v>
      </c>
      <c r="J137" s="1050">
        <f t="shared" si="41"/>
        <v>378.16219202484763</v>
      </c>
      <c r="K137" s="1050">
        <f t="shared" si="41"/>
        <v>375.38487271820486</v>
      </c>
    </row>
    <row r="138" spans="2:11" outlineLevel="1" x14ac:dyDescent="0.3">
      <c r="B138" s="858" t="s">
        <v>110</v>
      </c>
      <c r="C138" s="859">
        <v>104</v>
      </c>
      <c r="D138" s="1050">
        <f t="shared" ref="D138:K138" si="42">SUMPRODUCT($AB8:$AB33,D$68:D$93)</f>
        <v>0</v>
      </c>
      <c r="E138" s="1050">
        <f t="shared" si="42"/>
        <v>0</v>
      </c>
      <c r="F138" s="1050">
        <f t="shared" si="42"/>
        <v>0</v>
      </c>
      <c r="G138" s="1050">
        <f t="shared" si="42"/>
        <v>24.316643576250002</v>
      </c>
      <c r="H138" s="1050">
        <f t="shared" si="42"/>
        <v>27.273659850000001</v>
      </c>
      <c r="I138" s="1050">
        <f t="shared" si="42"/>
        <v>30.089865825000018</v>
      </c>
      <c r="J138" s="1050">
        <f t="shared" si="42"/>
        <v>32.906071800000021</v>
      </c>
      <c r="K138" s="1050">
        <f t="shared" si="42"/>
        <v>35.722277775000009</v>
      </c>
    </row>
    <row r="139" spans="2:11" outlineLevel="1" x14ac:dyDescent="0.3">
      <c r="B139" s="858" t="s">
        <v>53</v>
      </c>
      <c r="C139" s="859">
        <v>105</v>
      </c>
      <c r="D139" s="1050">
        <f t="shared" ref="D139:K139" si="43">-SUMPRODUCT($AC8:$AC33,D$68:D$93)</f>
        <v>0</v>
      </c>
      <c r="E139" s="1050">
        <f t="shared" si="43"/>
        <v>0</v>
      </c>
      <c r="F139" s="1050">
        <f t="shared" si="43"/>
        <v>0</v>
      </c>
      <c r="G139" s="1050">
        <f t="shared" si="43"/>
        <v>0</v>
      </c>
      <c r="H139" s="1050">
        <f t="shared" si="43"/>
        <v>0</v>
      </c>
      <c r="I139" s="1050">
        <f t="shared" si="43"/>
        <v>0</v>
      </c>
      <c r="J139" s="1050">
        <f t="shared" si="43"/>
        <v>0</v>
      </c>
      <c r="K139" s="1050">
        <f t="shared" si="43"/>
        <v>0</v>
      </c>
    </row>
    <row r="140" spans="2:11" outlineLevel="1" x14ac:dyDescent="0.3">
      <c r="B140" s="858" t="s">
        <v>666</v>
      </c>
      <c r="C140" s="859">
        <v>106</v>
      </c>
      <c r="D140" s="1050">
        <f t="shared" ref="D140:K140" si="44">SUMPRODUCT($AD8:$AD33,D$68:D$93)</f>
        <v>0</v>
      </c>
      <c r="E140" s="1050">
        <f t="shared" si="44"/>
        <v>0</v>
      </c>
      <c r="F140" s="1050">
        <f t="shared" si="44"/>
        <v>0</v>
      </c>
      <c r="G140" s="1050">
        <f t="shared" si="44"/>
        <v>7.3190465687499966</v>
      </c>
      <c r="H140" s="1050">
        <f t="shared" si="44"/>
        <v>7.3190465687499966</v>
      </c>
      <c r="I140" s="1050">
        <f t="shared" si="44"/>
        <v>7.3190465687499966</v>
      </c>
      <c r="J140" s="1050">
        <f t="shared" si="44"/>
        <v>7.3190465687499966</v>
      </c>
      <c r="K140" s="1050">
        <f t="shared" si="44"/>
        <v>7.3190465687499966</v>
      </c>
    </row>
    <row r="141" spans="2:11" outlineLevel="1" x14ac:dyDescent="0.3"/>
    <row r="142" spans="2:11" outlineLevel="1" x14ac:dyDescent="0.3"/>
    <row r="143" spans="2:11" outlineLevel="1" x14ac:dyDescent="0.3"/>
    <row r="144" spans="2:11" outlineLevel="1" x14ac:dyDescent="0.3"/>
  </sheetData>
  <conditionalFormatting sqref="AE26 AE14:AE20">
    <cfRule type="cellIs" dxfId="11" priority="11" operator="lessThan">
      <formula>1</formula>
    </cfRule>
    <cfRule type="cellIs" dxfId="10" priority="12" operator="greaterThan">
      <formula>1</formula>
    </cfRule>
  </conditionalFormatting>
  <conditionalFormatting sqref="AE28">
    <cfRule type="cellIs" dxfId="9" priority="5" operator="lessThan">
      <formula>1</formula>
    </cfRule>
    <cfRule type="cellIs" dxfId="8" priority="6" operator="greaterThan">
      <formula>1</formula>
    </cfRule>
  </conditionalFormatting>
  <conditionalFormatting sqref="AE22:AE24">
    <cfRule type="cellIs" dxfId="7" priority="9" operator="lessThan">
      <formula>1</formula>
    </cfRule>
    <cfRule type="cellIs" dxfId="6" priority="10" operator="greaterThan">
      <formula>1</formula>
    </cfRule>
  </conditionalFormatting>
  <conditionalFormatting sqref="AE25">
    <cfRule type="cellIs" dxfId="5" priority="7" operator="lessThan">
      <formula>1</formula>
    </cfRule>
    <cfRule type="cellIs" dxfId="4" priority="8" operator="greaterThan">
      <formula>1</formula>
    </cfRule>
  </conditionalFormatting>
  <conditionalFormatting sqref="AE33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E30">
    <cfRule type="cellIs" dxfId="1" priority="1" operator="lessThan">
      <formula>1</formula>
    </cfRule>
    <cfRule type="cellIs" dxfId="0" priority="2" operator="greaterThan">
      <formula>1</formula>
    </cfRule>
  </conditionalFormatting>
  <hyperlinks>
    <hyperlink ref="A1" location="Tiitel!A1" display="Tiitel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11"/>
  <dimension ref="A1:CE549"/>
  <sheetViews>
    <sheetView zoomScale="85" zoomScaleNormal="85" workbookViewId="0">
      <pane xSplit="5" ySplit="6" topLeftCell="F259" activePane="bottomRight" state="frozen"/>
      <selection pane="topRight" activeCell="D1" sqref="D1"/>
      <selection pane="bottomLeft" activeCell="A6" sqref="A6"/>
      <selection pane="bottomRight" activeCell="U6" sqref="U6"/>
    </sheetView>
  </sheetViews>
  <sheetFormatPr defaultColWidth="9.109375" defaultRowHeight="13.8" outlineLevelRow="1" x14ac:dyDescent="0.3"/>
  <cols>
    <col min="1" max="1" width="3.5546875" style="3" customWidth="1"/>
    <col min="2" max="2" width="28.5546875" style="3" customWidth="1"/>
    <col min="3" max="4" width="8.44140625" style="3" customWidth="1"/>
    <col min="5" max="5" width="14.88671875" style="3" customWidth="1"/>
    <col min="6" max="6" width="8.109375" style="3" customWidth="1"/>
    <col min="7" max="7" width="6.44140625" style="3" customWidth="1"/>
    <col min="8" max="9" width="7.6640625" style="3" customWidth="1"/>
    <col min="10" max="10" width="7.109375" style="3" customWidth="1"/>
    <col min="11" max="11" width="6.44140625" style="3" customWidth="1"/>
    <col min="12" max="12" width="7.33203125" style="3" customWidth="1"/>
    <col min="13" max="13" width="6.44140625" style="3" customWidth="1"/>
    <col min="14" max="14" width="7.44140625" style="3" customWidth="1"/>
    <col min="15" max="18" width="6.44140625" style="3" customWidth="1"/>
    <col min="19" max="19" width="7.33203125" style="3" customWidth="1"/>
    <col min="20" max="37" width="6.44140625" style="3" customWidth="1"/>
    <col min="38" max="38" width="7.33203125" style="3" customWidth="1"/>
    <col min="39" max="39" width="8.33203125" style="3" bestFit="1" customWidth="1"/>
    <col min="40" max="54" width="6.44140625" style="3" customWidth="1"/>
    <col min="55" max="55" width="7.44140625" style="3" customWidth="1"/>
    <col min="56" max="57" width="6.44140625" style="3" customWidth="1"/>
    <col min="58" max="58" width="8.109375" style="3" bestFit="1" customWidth="1"/>
    <col min="59" max="62" width="6.44140625" style="3" customWidth="1"/>
    <col min="63" max="63" width="8.109375" style="3" bestFit="1" customWidth="1"/>
    <col min="64" max="65" width="7.88671875" style="3" customWidth="1"/>
    <col min="66" max="66" width="7.44140625" style="3" customWidth="1"/>
    <col min="67" max="67" width="8.44140625" style="3" customWidth="1"/>
    <col min="68" max="68" width="6.44140625" style="3" customWidth="1"/>
    <col min="69" max="69" width="7.44140625" style="3" customWidth="1"/>
    <col min="70" max="74" width="6.44140625" style="3" customWidth="1"/>
    <col min="75" max="75" width="9.33203125" style="3" bestFit="1" customWidth="1"/>
    <col min="76" max="16384" width="9.109375" style="3"/>
  </cols>
  <sheetData>
    <row r="1" spans="1:83" x14ac:dyDescent="0.3">
      <c r="A1" s="786" t="s">
        <v>338</v>
      </c>
    </row>
    <row r="2" spans="1:83" x14ac:dyDescent="0.3">
      <c r="A2" s="16" t="s">
        <v>34</v>
      </c>
    </row>
    <row r="3" spans="1:83" x14ac:dyDescent="0.3">
      <c r="A3" s="4" t="s">
        <v>35</v>
      </c>
      <c r="AC3" s="155"/>
      <c r="AD3" s="155"/>
      <c r="AE3" s="155"/>
    </row>
    <row r="5" spans="1:83" ht="15" customHeight="1" x14ac:dyDescent="0.3">
      <c r="F5" s="7">
        <v>1</v>
      </c>
      <c r="G5" s="7">
        <v>2</v>
      </c>
      <c r="H5" s="7">
        <v>3</v>
      </c>
      <c r="I5" s="7">
        <v>4</v>
      </c>
      <c r="J5" s="7">
        <v>5</v>
      </c>
      <c r="K5" s="7">
        <v>6</v>
      </c>
      <c r="L5" s="7">
        <v>7</v>
      </c>
      <c r="M5" s="7">
        <v>8</v>
      </c>
      <c r="N5" s="7">
        <v>9</v>
      </c>
      <c r="O5" s="7">
        <v>10</v>
      </c>
      <c r="P5" s="7">
        <v>11</v>
      </c>
      <c r="Q5" s="7">
        <v>12</v>
      </c>
      <c r="R5" s="7">
        <v>13</v>
      </c>
      <c r="S5" s="7">
        <v>14</v>
      </c>
      <c r="T5" s="7">
        <v>15</v>
      </c>
      <c r="U5" s="7">
        <v>16</v>
      </c>
      <c r="V5" s="7">
        <v>17</v>
      </c>
      <c r="W5" s="7">
        <v>18</v>
      </c>
      <c r="X5" s="7">
        <v>19</v>
      </c>
      <c r="Y5" s="7">
        <v>20</v>
      </c>
      <c r="Z5" s="7">
        <v>21</v>
      </c>
      <c r="AA5" s="7">
        <v>22</v>
      </c>
      <c r="AB5" s="7">
        <v>23</v>
      </c>
      <c r="AC5" s="7">
        <v>24</v>
      </c>
      <c r="AD5" s="7">
        <v>25</v>
      </c>
      <c r="AE5" s="7">
        <v>26</v>
      </c>
      <c r="AF5" s="7">
        <v>27</v>
      </c>
      <c r="AG5" s="7">
        <v>28</v>
      </c>
      <c r="AH5" s="7">
        <v>29</v>
      </c>
      <c r="AI5" s="7">
        <v>30</v>
      </c>
      <c r="AJ5" s="7">
        <v>31</v>
      </c>
      <c r="AK5" s="7">
        <v>32</v>
      </c>
      <c r="AL5" s="7">
        <v>33</v>
      </c>
      <c r="AM5" s="7">
        <v>34</v>
      </c>
      <c r="AN5" s="7">
        <v>35</v>
      </c>
      <c r="AO5" s="7">
        <v>36</v>
      </c>
      <c r="AP5" s="7">
        <v>37</v>
      </c>
      <c r="AQ5" s="7">
        <v>38</v>
      </c>
      <c r="AR5" s="7">
        <v>39</v>
      </c>
      <c r="AS5" s="7">
        <v>40</v>
      </c>
      <c r="AT5" s="7">
        <v>41</v>
      </c>
      <c r="AU5" s="7">
        <v>42</v>
      </c>
      <c r="AV5" s="7">
        <v>43</v>
      </c>
      <c r="AW5" s="7">
        <v>44</v>
      </c>
      <c r="AX5" s="7">
        <v>45</v>
      </c>
      <c r="AY5" s="7">
        <v>46</v>
      </c>
      <c r="AZ5" s="7">
        <v>47</v>
      </c>
      <c r="BA5" s="7">
        <v>48</v>
      </c>
      <c r="BB5" s="7">
        <v>49</v>
      </c>
      <c r="BC5" s="7">
        <v>50</v>
      </c>
      <c r="BD5" s="7">
        <v>51</v>
      </c>
      <c r="BE5" s="7">
        <v>52</v>
      </c>
      <c r="BF5" s="7">
        <v>53</v>
      </c>
      <c r="BG5" s="7">
        <v>54</v>
      </c>
      <c r="BH5" s="7">
        <v>55</v>
      </c>
      <c r="BI5" s="7">
        <v>56</v>
      </c>
      <c r="BJ5" s="7">
        <v>57</v>
      </c>
      <c r="BK5" s="7">
        <v>58</v>
      </c>
      <c r="BL5" s="7">
        <v>59</v>
      </c>
      <c r="BM5" s="7">
        <v>60</v>
      </c>
      <c r="BN5" s="7">
        <v>61</v>
      </c>
      <c r="BO5" s="7">
        <v>62</v>
      </c>
      <c r="BP5" s="7">
        <v>63</v>
      </c>
      <c r="BQ5" s="7">
        <v>64</v>
      </c>
      <c r="BR5" s="7">
        <v>65</v>
      </c>
      <c r="BS5" s="7">
        <v>66</v>
      </c>
      <c r="BT5" s="7">
        <v>67</v>
      </c>
      <c r="BU5" s="7">
        <v>68</v>
      </c>
      <c r="BV5" s="7">
        <v>69</v>
      </c>
      <c r="BW5" s="7">
        <v>70</v>
      </c>
      <c r="BX5" s="7">
        <v>71</v>
      </c>
      <c r="BY5" s="7">
        <v>72</v>
      </c>
      <c r="BZ5" s="7">
        <v>73</v>
      </c>
      <c r="CA5" s="7">
        <v>74</v>
      </c>
      <c r="CB5" s="7">
        <v>75</v>
      </c>
      <c r="CC5" s="7">
        <v>76</v>
      </c>
    </row>
    <row r="6" spans="1:83" s="7" customFormat="1" ht="81.75" customHeight="1" x14ac:dyDescent="0.3">
      <c r="B6" s="9">
        <v>2010</v>
      </c>
      <c r="C6" s="9"/>
      <c r="D6" s="9"/>
      <c r="E6" s="9"/>
      <c r="F6" s="406" t="s">
        <v>502</v>
      </c>
      <c r="G6" s="406" t="s">
        <v>116</v>
      </c>
      <c r="H6" s="406" t="s">
        <v>117</v>
      </c>
      <c r="I6" s="1029" t="s">
        <v>118</v>
      </c>
      <c r="J6" s="406" t="s">
        <v>119</v>
      </c>
      <c r="K6" s="406" t="s">
        <v>120</v>
      </c>
      <c r="L6" s="406" t="s">
        <v>121</v>
      </c>
      <c r="M6" s="406" t="s">
        <v>122</v>
      </c>
      <c r="N6" s="406" t="s">
        <v>123</v>
      </c>
      <c r="O6" s="1029" t="s">
        <v>124</v>
      </c>
      <c r="P6" s="406" t="s">
        <v>125</v>
      </c>
      <c r="Q6" s="406" t="s">
        <v>126</v>
      </c>
      <c r="R6" s="406" t="s">
        <v>8</v>
      </c>
      <c r="S6" s="406" t="s">
        <v>9</v>
      </c>
      <c r="T6" s="406" t="s">
        <v>10</v>
      </c>
      <c r="U6" s="406" t="s">
        <v>127</v>
      </c>
      <c r="V6" s="406" t="s">
        <v>128</v>
      </c>
      <c r="W6" s="406" t="s">
        <v>129</v>
      </c>
      <c r="X6" s="406" t="s">
        <v>130</v>
      </c>
      <c r="Y6" s="406" t="s">
        <v>131</v>
      </c>
      <c r="Z6" s="406" t="s">
        <v>11</v>
      </c>
      <c r="AA6" s="406" t="s">
        <v>132</v>
      </c>
      <c r="AB6" s="406" t="s">
        <v>133</v>
      </c>
      <c r="AC6" s="1005" t="s">
        <v>286</v>
      </c>
      <c r="AD6" s="1005" t="s">
        <v>287</v>
      </c>
      <c r="AE6" s="1005" t="s">
        <v>288</v>
      </c>
      <c r="AF6" s="406" t="s">
        <v>134</v>
      </c>
      <c r="AG6" s="406" t="s">
        <v>114</v>
      </c>
      <c r="AH6" s="406" t="s">
        <v>135</v>
      </c>
      <c r="AI6" s="406" t="s">
        <v>616</v>
      </c>
      <c r="AJ6" s="406" t="s">
        <v>137</v>
      </c>
      <c r="AK6" s="406" t="s">
        <v>138</v>
      </c>
      <c r="AL6" s="406" t="s">
        <v>139</v>
      </c>
      <c r="AM6" s="406" t="s">
        <v>140</v>
      </c>
      <c r="AN6" s="406" t="s">
        <v>141</v>
      </c>
      <c r="AO6" s="406" t="s">
        <v>142</v>
      </c>
      <c r="AP6" s="406" t="s">
        <v>143</v>
      </c>
      <c r="AQ6" s="406" t="s">
        <v>144</v>
      </c>
      <c r="AR6" s="406" t="s">
        <v>145</v>
      </c>
      <c r="AS6" s="406" t="s">
        <v>146</v>
      </c>
      <c r="AT6" s="406" t="s">
        <v>147</v>
      </c>
      <c r="AU6" s="406" t="s">
        <v>148</v>
      </c>
      <c r="AV6" s="406" t="s">
        <v>149</v>
      </c>
      <c r="AW6" s="406" t="s">
        <v>150</v>
      </c>
      <c r="AX6" s="406" t="s">
        <v>151</v>
      </c>
      <c r="AY6" s="406" t="s">
        <v>12</v>
      </c>
      <c r="AZ6" s="406" t="s">
        <v>152</v>
      </c>
      <c r="BA6" s="406" t="s">
        <v>153</v>
      </c>
      <c r="BB6" s="406" t="s">
        <v>154</v>
      </c>
      <c r="BC6" s="406" t="s">
        <v>155</v>
      </c>
      <c r="BD6" s="406" t="s">
        <v>156</v>
      </c>
      <c r="BE6" s="406" t="s">
        <v>157</v>
      </c>
      <c r="BF6" s="406" t="s">
        <v>158</v>
      </c>
      <c r="BG6" s="406" t="s">
        <v>159</v>
      </c>
      <c r="BH6" s="406" t="s">
        <v>160</v>
      </c>
      <c r="BI6" s="406" t="s">
        <v>161</v>
      </c>
      <c r="BJ6" s="406" t="s">
        <v>162</v>
      </c>
      <c r="BK6" s="406" t="s">
        <v>163</v>
      </c>
      <c r="BL6" s="406" t="s">
        <v>164</v>
      </c>
      <c r="BM6" s="406" t="s">
        <v>165</v>
      </c>
      <c r="BN6" s="406" t="s">
        <v>166</v>
      </c>
      <c r="BO6" s="406" t="s">
        <v>167</v>
      </c>
      <c r="BP6" s="406" t="s">
        <v>168</v>
      </c>
      <c r="BQ6" s="406" t="s">
        <v>169</v>
      </c>
      <c r="BR6" s="406" t="s">
        <v>170</v>
      </c>
      <c r="BS6" s="1006" t="s">
        <v>13</v>
      </c>
      <c r="BT6" s="1007" t="s">
        <v>0</v>
      </c>
      <c r="BU6" s="406" t="s">
        <v>1</v>
      </c>
      <c r="BV6" s="1007" t="s">
        <v>2</v>
      </c>
      <c r="BW6" s="1006" t="s">
        <v>15</v>
      </c>
      <c r="BX6" s="1007" t="s">
        <v>284</v>
      </c>
      <c r="BY6" s="406" t="s">
        <v>3</v>
      </c>
      <c r="BZ6" s="406" t="s">
        <v>4</v>
      </c>
      <c r="CA6" s="406" t="s">
        <v>5</v>
      </c>
      <c r="CB6" s="1008" t="s">
        <v>16</v>
      </c>
      <c r="CC6" s="1009" t="s">
        <v>39</v>
      </c>
    </row>
    <row r="7" spans="1:83" x14ac:dyDescent="0.3">
      <c r="A7" s="7">
        <v>1</v>
      </c>
      <c r="B7" s="150" t="s">
        <v>115</v>
      </c>
      <c r="C7" s="150"/>
      <c r="D7" s="150"/>
      <c r="E7" s="150"/>
      <c r="F7" s="392">
        <v>132.82</v>
      </c>
      <c r="G7" s="392">
        <v>2.5988000000000002</v>
      </c>
      <c r="H7" s="392"/>
      <c r="I7" s="392"/>
      <c r="J7" s="392">
        <v>292.36309999999997</v>
      </c>
      <c r="K7" s="392">
        <v>14.6843</v>
      </c>
      <c r="L7" s="392"/>
      <c r="M7" s="392"/>
      <c r="N7" s="392"/>
      <c r="O7" s="392"/>
      <c r="P7" s="392">
        <v>3.3700000000000001E-2</v>
      </c>
      <c r="Q7" s="392"/>
      <c r="R7" s="392">
        <v>1.3100000000000001E-2</v>
      </c>
      <c r="S7" s="392"/>
      <c r="T7" s="392"/>
      <c r="U7" s="392"/>
      <c r="V7" s="392"/>
      <c r="W7" s="392">
        <v>1.3899999999999999E-2</v>
      </c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>
        <v>0.3</v>
      </c>
      <c r="AI7" s="392">
        <v>2.87E-2</v>
      </c>
      <c r="AJ7" s="392"/>
      <c r="AK7" s="392">
        <v>0.53200000000000003</v>
      </c>
      <c r="AL7" s="392">
        <v>5.3699999999999998E-2</v>
      </c>
      <c r="AM7" s="392"/>
      <c r="AN7" s="392"/>
      <c r="AO7" s="392">
        <v>0.13919999999999999</v>
      </c>
      <c r="AP7" s="392"/>
      <c r="AQ7" s="392">
        <v>12.8893</v>
      </c>
      <c r="AR7" s="392"/>
      <c r="AS7" s="392">
        <v>2.2700000000000001E-2</v>
      </c>
      <c r="AT7" s="392">
        <v>4.7000000000000002E-3</v>
      </c>
      <c r="AU7" s="392"/>
      <c r="AV7" s="392">
        <v>3.3099999999999997E-2</v>
      </c>
      <c r="AW7" s="392">
        <v>1.3100000000000001E-2</v>
      </c>
      <c r="AX7" s="392">
        <v>1.95E-2</v>
      </c>
      <c r="AY7" s="392">
        <v>0.61799999999999999</v>
      </c>
      <c r="AZ7" s="392">
        <v>0.1923</v>
      </c>
      <c r="BA7" s="392">
        <v>4.3E-3</v>
      </c>
      <c r="BB7" s="392">
        <v>0.2059</v>
      </c>
      <c r="BC7" s="392">
        <v>1.7064999999999999</v>
      </c>
      <c r="BD7" s="392">
        <v>0.15290000000000001</v>
      </c>
      <c r="BE7" s="392">
        <v>0.1061</v>
      </c>
      <c r="BF7" s="392"/>
      <c r="BG7" s="392"/>
      <c r="BH7" s="392">
        <v>1.3321000000000001</v>
      </c>
      <c r="BI7" s="392">
        <v>0.93120000000000003</v>
      </c>
      <c r="BJ7" s="392">
        <v>0.96250000000000002</v>
      </c>
      <c r="BK7" s="392">
        <v>0.1666</v>
      </c>
      <c r="BL7" s="392">
        <v>0.23050000000000001</v>
      </c>
      <c r="BM7" s="392">
        <v>0.18740000000000001</v>
      </c>
      <c r="BN7" s="392">
        <v>0.31900000000000001</v>
      </c>
      <c r="BO7" s="392"/>
      <c r="BP7" s="392"/>
      <c r="BQ7" s="392">
        <v>0.13170000000000001</v>
      </c>
      <c r="BR7" s="392"/>
      <c r="BS7" s="392">
        <v>463.80990000000003</v>
      </c>
      <c r="BT7" s="393">
        <v>156.63759999999999</v>
      </c>
      <c r="BU7" s="394"/>
      <c r="BV7" s="394"/>
      <c r="BW7" s="395">
        <v>156.63759999999999</v>
      </c>
      <c r="BX7" s="393">
        <v>18.751999999999999</v>
      </c>
      <c r="BY7" s="394">
        <v>13.255800000000001</v>
      </c>
      <c r="BZ7" s="394">
        <v>32.007800000000003</v>
      </c>
      <c r="CA7" s="394">
        <v>120.0984</v>
      </c>
      <c r="CB7" s="396">
        <v>308.74380000000002</v>
      </c>
      <c r="CC7" s="397">
        <v>772.55370000000005</v>
      </c>
      <c r="CE7" s="5"/>
    </row>
    <row r="8" spans="1:83" x14ac:dyDescent="0.3">
      <c r="A8" s="7">
        <v>2</v>
      </c>
      <c r="B8" s="150" t="s">
        <v>116</v>
      </c>
      <c r="C8" s="150"/>
      <c r="D8" s="150"/>
      <c r="E8" s="150"/>
      <c r="F8" s="392"/>
      <c r="G8" s="392">
        <v>56.3</v>
      </c>
      <c r="H8" s="392">
        <v>5.0000000000000001E-4</v>
      </c>
      <c r="I8" s="392">
        <v>0.41789999999999999</v>
      </c>
      <c r="J8" s="392">
        <v>6.3E-2</v>
      </c>
      <c r="K8" s="392"/>
      <c r="L8" s="392">
        <v>210.08160000000001</v>
      </c>
      <c r="M8" s="392">
        <v>17.486599999999999</v>
      </c>
      <c r="N8" s="392"/>
      <c r="O8" s="392"/>
      <c r="P8" s="392">
        <v>1.8100000000000002E-2</v>
      </c>
      <c r="Q8" s="392"/>
      <c r="R8" s="392"/>
      <c r="S8" s="392">
        <v>1.9599999999999999E-2</v>
      </c>
      <c r="T8" s="392">
        <v>2.0999999999999999E-3</v>
      </c>
      <c r="U8" s="392">
        <v>7.0699999999999999E-2</v>
      </c>
      <c r="V8" s="392"/>
      <c r="W8" s="392"/>
      <c r="X8" s="392">
        <v>8.5999999999999993E-2</v>
      </c>
      <c r="Y8" s="392"/>
      <c r="Z8" s="392">
        <v>2.2599999999999999E-2</v>
      </c>
      <c r="AA8" s="392">
        <v>7.4945000000000004</v>
      </c>
      <c r="AB8" s="392"/>
      <c r="AC8" s="392"/>
      <c r="AD8" s="392"/>
      <c r="AE8" s="392">
        <v>0.20230000000000001</v>
      </c>
      <c r="AF8" s="392">
        <v>5.8999999999999999E-3</v>
      </c>
      <c r="AG8" s="392">
        <v>6.6E-3</v>
      </c>
      <c r="AH8" s="392">
        <v>0.1875</v>
      </c>
      <c r="AI8" s="392">
        <v>2.2700000000000001E-2</v>
      </c>
      <c r="AJ8" s="392">
        <v>0.35210000000000002</v>
      </c>
      <c r="AK8" s="392">
        <v>1.7100000000000001E-2</v>
      </c>
      <c r="AL8" s="392">
        <v>9.4E-2</v>
      </c>
      <c r="AM8" s="392"/>
      <c r="AN8" s="392"/>
      <c r="AO8" s="392">
        <v>0.21740000000000001</v>
      </c>
      <c r="AP8" s="392">
        <v>8.4099999999999994E-2</v>
      </c>
      <c r="AQ8" s="392">
        <v>0.31709999999999999</v>
      </c>
      <c r="AR8" s="392">
        <v>2.5999999999999999E-3</v>
      </c>
      <c r="AS8" s="392">
        <v>2.5000000000000001E-3</v>
      </c>
      <c r="AT8" s="392">
        <v>3.78E-2</v>
      </c>
      <c r="AU8" s="392"/>
      <c r="AV8" s="392">
        <v>1.6000000000000001E-3</v>
      </c>
      <c r="AW8" s="392">
        <v>3.0999999999999999E-3</v>
      </c>
      <c r="AX8" s="392">
        <v>4.6300000000000001E-2</v>
      </c>
      <c r="AY8" s="392">
        <v>0.56879999999999997</v>
      </c>
      <c r="AZ8" s="392">
        <v>0.377</v>
      </c>
      <c r="BA8" s="392">
        <v>4.0000000000000002E-4</v>
      </c>
      <c r="BB8" s="392">
        <v>1E-4</v>
      </c>
      <c r="BC8" s="392">
        <v>8.7800000000000003E-2</v>
      </c>
      <c r="BD8" s="392">
        <v>2.3999999999999998E-3</v>
      </c>
      <c r="BE8" s="392">
        <v>2.2000000000000001E-3</v>
      </c>
      <c r="BF8" s="392"/>
      <c r="BG8" s="392">
        <v>1.2E-2</v>
      </c>
      <c r="BH8" s="392">
        <v>4.1000000000000003E-3</v>
      </c>
      <c r="BI8" s="392">
        <v>0.4662</v>
      </c>
      <c r="BJ8" s="392">
        <v>6.0299999999999999E-2</v>
      </c>
      <c r="BK8" s="392">
        <v>0.05</v>
      </c>
      <c r="BL8" s="392">
        <v>1.5599999999999999E-2</v>
      </c>
      <c r="BM8" s="392">
        <v>4.0000000000000002E-4</v>
      </c>
      <c r="BN8" s="392">
        <v>1.2999999999999999E-2</v>
      </c>
      <c r="BO8" s="392"/>
      <c r="BP8" s="392"/>
      <c r="BQ8" s="392">
        <v>1.3100000000000001E-2</v>
      </c>
      <c r="BR8" s="392"/>
      <c r="BS8" s="392">
        <v>295.33730000000003</v>
      </c>
      <c r="BT8" s="393">
        <v>10.9176</v>
      </c>
      <c r="BU8" s="394"/>
      <c r="BV8" s="394"/>
      <c r="BW8" s="395">
        <v>10.9176</v>
      </c>
      <c r="BX8" s="393"/>
      <c r="BY8" s="394">
        <v>3.7806000000000002</v>
      </c>
      <c r="BZ8" s="394">
        <v>3.7806000000000002</v>
      </c>
      <c r="CA8" s="394">
        <v>109.8503</v>
      </c>
      <c r="CB8" s="396">
        <v>124.5485</v>
      </c>
      <c r="CC8" s="397">
        <v>419.88580000000002</v>
      </c>
      <c r="CE8" s="5"/>
    </row>
    <row r="9" spans="1:83" x14ac:dyDescent="0.3">
      <c r="A9" s="7">
        <v>3</v>
      </c>
      <c r="B9" s="150" t="s">
        <v>117</v>
      </c>
      <c r="C9" s="150"/>
      <c r="D9" s="150"/>
      <c r="E9" s="150"/>
      <c r="F9" s="392"/>
      <c r="G9" s="392"/>
      <c r="H9" s="392">
        <v>0.29110000000000003</v>
      </c>
      <c r="I9" s="392"/>
      <c r="J9" s="392">
        <v>30.121400000000001</v>
      </c>
      <c r="K9" s="392"/>
      <c r="L9" s="392"/>
      <c r="M9" s="392"/>
      <c r="N9" s="392"/>
      <c r="O9" s="392"/>
      <c r="P9" s="392"/>
      <c r="Q9" s="392"/>
      <c r="R9" s="392"/>
      <c r="S9" s="392">
        <v>4.4999999999999997E-3</v>
      </c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>
        <v>1.55E-2</v>
      </c>
      <c r="AM9" s="392"/>
      <c r="AN9" s="392"/>
      <c r="AO9" s="392">
        <v>8.0999999999999996E-3</v>
      </c>
      <c r="AP9" s="392"/>
      <c r="AQ9" s="392">
        <v>6.9633000000000003</v>
      </c>
      <c r="AR9" s="392"/>
      <c r="AS9" s="392"/>
      <c r="AT9" s="392"/>
      <c r="AU9" s="392"/>
      <c r="AV9" s="392"/>
      <c r="AW9" s="392"/>
      <c r="AX9" s="392"/>
      <c r="AY9" s="392">
        <v>9.5399999999999999E-2</v>
      </c>
      <c r="AZ9" s="392"/>
      <c r="BA9" s="392"/>
      <c r="BB9" s="392"/>
      <c r="BC9" s="392"/>
      <c r="BD9" s="392">
        <v>8.6199999999999999E-2</v>
      </c>
      <c r="BE9" s="392">
        <v>1.4E-3</v>
      </c>
      <c r="BF9" s="392"/>
      <c r="BG9" s="392"/>
      <c r="BH9" s="392"/>
      <c r="BI9" s="392">
        <v>7.6799999999999993E-2</v>
      </c>
      <c r="BJ9" s="392">
        <v>4.1300000000000003E-2</v>
      </c>
      <c r="BK9" s="392">
        <v>4.1200000000000001E-2</v>
      </c>
      <c r="BL9" s="392">
        <v>5.7599999999999998E-2</v>
      </c>
      <c r="BM9" s="392">
        <v>1.8800000000000001E-2</v>
      </c>
      <c r="BN9" s="392">
        <v>2.1100000000000001E-2</v>
      </c>
      <c r="BO9" s="392"/>
      <c r="BP9" s="392"/>
      <c r="BQ9" s="392">
        <v>1.9E-3</v>
      </c>
      <c r="BR9" s="392"/>
      <c r="BS9" s="392">
        <v>37.845599999999997</v>
      </c>
      <c r="BT9" s="393">
        <v>5.0460000000000003</v>
      </c>
      <c r="BU9" s="394"/>
      <c r="BV9" s="394"/>
      <c r="BW9" s="395">
        <v>5.0460000000000003</v>
      </c>
      <c r="BX9" s="393"/>
      <c r="BY9" s="394">
        <v>1.3399000000000001</v>
      </c>
      <c r="BZ9" s="394">
        <v>1.3399000000000001</v>
      </c>
      <c r="CA9" s="394">
        <v>27.456</v>
      </c>
      <c r="CB9" s="396">
        <v>33.841900000000003</v>
      </c>
      <c r="CC9" s="397">
        <v>71.6875</v>
      </c>
      <c r="CE9" s="5"/>
    </row>
    <row r="10" spans="1:83" x14ac:dyDescent="0.3">
      <c r="A10" s="7">
        <v>4</v>
      </c>
      <c r="B10" s="150" t="s">
        <v>118</v>
      </c>
      <c r="C10" s="150"/>
      <c r="D10" s="150"/>
      <c r="E10" s="150"/>
      <c r="F10" s="392">
        <v>5.601</v>
      </c>
      <c r="G10" s="392">
        <v>0.40849999999999997</v>
      </c>
      <c r="H10" s="392">
        <v>1.1000000000000001E-3</v>
      </c>
      <c r="I10" s="392">
        <v>5.3859000000000004</v>
      </c>
      <c r="J10" s="392">
        <v>0.1741</v>
      </c>
      <c r="K10" s="392"/>
      <c r="L10" s="392"/>
      <c r="M10" s="392"/>
      <c r="N10" s="392"/>
      <c r="O10" s="392">
        <v>60.114400000000003</v>
      </c>
      <c r="P10" s="392">
        <v>3.3942999999999999</v>
      </c>
      <c r="Q10" s="392"/>
      <c r="R10" s="392"/>
      <c r="S10" s="392">
        <v>14.818</v>
      </c>
      <c r="T10" s="392">
        <v>6.83E-2</v>
      </c>
      <c r="U10" s="392"/>
      <c r="V10" s="392"/>
      <c r="W10" s="392"/>
      <c r="X10" s="392"/>
      <c r="Y10" s="392"/>
      <c r="Z10" s="392">
        <v>2.9999999999999997E-4</v>
      </c>
      <c r="AA10" s="392"/>
      <c r="AB10" s="392">
        <v>8.6499999999999994E-2</v>
      </c>
      <c r="AC10" s="392">
        <v>152.6713</v>
      </c>
      <c r="AD10" s="392">
        <v>164.0479</v>
      </c>
      <c r="AE10" s="392"/>
      <c r="AF10" s="392"/>
      <c r="AG10" s="392">
        <v>0.75370000000000004</v>
      </c>
      <c r="AH10" s="392">
        <v>41.958799999999997</v>
      </c>
      <c r="AI10" s="392"/>
      <c r="AJ10" s="392">
        <v>0.10009999999999999</v>
      </c>
      <c r="AK10" s="392"/>
      <c r="AL10" s="392">
        <v>0.79969999999999997</v>
      </c>
      <c r="AM10" s="392"/>
      <c r="AN10" s="392"/>
      <c r="AO10" s="392"/>
      <c r="AP10" s="392"/>
      <c r="AQ10" s="392"/>
      <c r="AR10" s="392">
        <v>2E-3</v>
      </c>
      <c r="AS10" s="392">
        <v>3.3E-3</v>
      </c>
      <c r="AT10" s="392"/>
      <c r="AU10" s="392">
        <v>2.6100000000000002E-2</v>
      </c>
      <c r="AV10" s="392"/>
      <c r="AW10" s="392"/>
      <c r="AX10" s="392"/>
      <c r="AY10" s="392">
        <v>3.1501000000000001</v>
      </c>
      <c r="AZ10" s="392">
        <v>0.37830000000000003</v>
      </c>
      <c r="BA10" s="392"/>
      <c r="BB10" s="392"/>
      <c r="BC10" s="392">
        <v>1.2999999999999999E-3</v>
      </c>
      <c r="BD10" s="392">
        <v>2.0899999999999998E-2</v>
      </c>
      <c r="BE10" s="392"/>
      <c r="BF10" s="392"/>
      <c r="BG10" s="392"/>
      <c r="BH10" s="392">
        <v>1.0705</v>
      </c>
      <c r="BI10" s="392">
        <v>0.46200000000000002</v>
      </c>
      <c r="BJ10" s="392">
        <v>0.1489</v>
      </c>
      <c r="BK10" s="392">
        <v>0.1047</v>
      </c>
      <c r="BL10" s="392">
        <v>8.8999999999999999E-3</v>
      </c>
      <c r="BM10" s="392">
        <v>3.8999999999999998E-3</v>
      </c>
      <c r="BN10" s="392">
        <v>0.15970000000000001</v>
      </c>
      <c r="BO10" s="392"/>
      <c r="BP10" s="392">
        <v>2.0000000000000001E-4</v>
      </c>
      <c r="BQ10" s="392">
        <v>0.25609999999999999</v>
      </c>
      <c r="BR10" s="392"/>
      <c r="BS10" s="392">
        <v>456.18079999999998</v>
      </c>
      <c r="BT10" s="393">
        <v>1.6064000000000001</v>
      </c>
      <c r="BU10" s="394"/>
      <c r="BV10" s="394"/>
      <c r="BW10" s="395">
        <v>1.6064000000000001</v>
      </c>
      <c r="BX10" s="393"/>
      <c r="BY10" s="394">
        <v>-9.4722000000000008</v>
      </c>
      <c r="BZ10" s="394">
        <v>-9.4722000000000008</v>
      </c>
      <c r="CA10" s="394">
        <v>52.744799999999998</v>
      </c>
      <c r="CB10" s="396">
        <v>44.878999999999998</v>
      </c>
      <c r="CC10" s="397">
        <v>501.0598</v>
      </c>
      <c r="CE10" s="5"/>
    </row>
    <row r="11" spans="1:83" x14ac:dyDescent="0.3">
      <c r="A11" s="7">
        <v>5</v>
      </c>
      <c r="B11" s="150" t="s">
        <v>119</v>
      </c>
      <c r="C11" s="150"/>
      <c r="D11" s="150"/>
      <c r="E11" s="150"/>
      <c r="F11" s="392">
        <v>55.87</v>
      </c>
      <c r="G11" s="392">
        <v>3.2599999999999997E-2</v>
      </c>
      <c r="H11" s="392">
        <v>0.99690000000000001</v>
      </c>
      <c r="I11" s="392">
        <v>3.4799999999999998E-2</v>
      </c>
      <c r="J11" s="392">
        <v>233.31299999999999</v>
      </c>
      <c r="K11" s="392">
        <v>2.0148999999999999</v>
      </c>
      <c r="L11" s="392"/>
      <c r="M11" s="392">
        <v>0.16669999999999999</v>
      </c>
      <c r="N11" s="392"/>
      <c r="O11" s="392"/>
      <c r="P11" s="392">
        <v>11.092499999999999</v>
      </c>
      <c r="Q11" s="392">
        <v>0.2452</v>
      </c>
      <c r="R11" s="392"/>
      <c r="S11" s="392">
        <v>1.7899999999999999E-2</v>
      </c>
      <c r="T11" s="392">
        <v>8.9999999999999998E-4</v>
      </c>
      <c r="U11" s="392"/>
      <c r="V11" s="392"/>
      <c r="W11" s="392"/>
      <c r="X11" s="392"/>
      <c r="Y11" s="392">
        <v>1.6999999999999999E-3</v>
      </c>
      <c r="Z11" s="392"/>
      <c r="AA11" s="392">
        <v>3.7126999999999999</v>
      </c>
      <c r="AB11" s="392"/>
      <c r="AC11" s="392"/>
      <c r="AD11" s="392"/>
      <c r="AE11" s="392"/>
      <c r="AF11" s="392"/>
      <c r="AG11" s="392">
        <v>5.8999999999999997E-2</v>
      </c>
      <c r="AH11" s="392">
        <v>0.11409999999999999</v>
      </c>
      <c r="AI11" s="392">
        <v>0.10780000000000001</v>
      </c>
      <c r="AJ11" s="392">
        <v>1.2623</v>
      </c>
      <c r="AK11" s="392">
        <v>3.2713000000000001</v>
      </c>
      <c r="AL11" s="392">
        <v>0.29139999999999999</v>
      </c>
      <c r="AM11" s="392"/>
      <c r="AN11" s="392"/>
      <c r="AO11" s="392">
        <v>0.1542</v>
      </c>
      <c r="AP11" s="392"/>
      <c r="AQ11" s="392">
        <v>111.6103</v>
      </c>
      <c r="AR11" s="392">
        <v>6.3E-2</v>
      </c>
      <c r="AS11" s="392"/>
      <c r="AT11" s="392"/>
      <c r="AU11" s="392"/>
      <c r="AV11" s="392">
        <v>0.14460000000000001</v>
      </c>
      <c r="AW11" s="392">
        <v>7.1499999999999994E-2</v>
      </c>
      <c r="AX11" s="392"/>
      <c r="AY11" s="392">
        <v>0.23280000000000001</v>
      </c>
      <c r="AZ11" s="392">
        <v>3.1962000000000002</v>
      </c>
      <c r="BA11" s="392"/>
      <c r="BB11" s="392">
        <v>4.6199999999999998E-2</v>
      </c>
      <c r="BC11" s="392">
        <v>5.28E-2</v>
      </c>
      <c r="BD11" s="392">
        <v>0.98</v>
      </c>
      <c r="BE11" s="392">
        <v>0.54139999999999999</v>
      </c>
      <c r="BF11" s="392">
        <v>4.6199999999999998E-2</v>
      </c>
      <c r="BG11" s="392"/>
      <c r="BH11" s="392">
        <v>2.0430000000000001</v>
      </c>
      <c r="BI11" s="392">
        <v>3.4034</v>
      </c>
      <c r="BJ11" s="392">
        <v>11.2484</v>
      </c>
      <c r="BK11" s="392">
        <v>2.4245000000000001</v>
      </c>
      <c r="BL11" s="392">
        <v>4.2607999999999997</v>
      </c>
      <c r="BM11" s="392">
        <v>0.99750000000000005</v>
      </c>
      <c r="BN11" s="392">
        <v>0.91649999999999998</v>
      </c>
      <c r="BO11" s="392">
        <v>0.25190000000000001</v>
      </c>
      <c r="BP11" s="392"/>
      <c r="BQ11" s="392">
        <v>4.82E-2</v>
      </c>
      <c r="BR11" s="392"/>
      <c r="BS11" s="392">
        <v>455.33909999999997</v>
      </c>
      <c r="BT11" s="393">
        <v>980.5308</v>
      </c>
      <c r="BU11" s="394"/>
      <c r="BV11" s="394">
        <v>0.93140000000000001</v>
      </c>
      <c r="BW11" s="395">
        <v>981.46220000000005</v>
      </c>
      <c r="BX11" s="393"/>
      <c r="BY11" s="394">
        <v>-30.6296</v>
      </c>
      <c r="BZ11" s="394">
        <v>-30.6296</v>
      </c>
      <c r="CA11" s="394">
        <v>625.42669999999998</v>
      </c>
      <c r="CB11" s="396">
        <v>1576.2592999999999</v>
      </c>
      <c r="CC11" s="397">
        <v>2031.5984000000001</v>
      </c>
      <c r="CE11" s="5"/>
    </row>
    <row r="12" spans="1:83" x14ac:dyDescent="0.3">
      <c r="A12" s="7">
        <v>6</v>
      </c>
      <c r="B12" s="150" t="s">
        <v>120</v>
      </c>
      <c r="C12" s="150"/>
      <c r="D12" s="150"/>
      <c r="E12" s="150"/>
      <c r="F12" s="392">
        <v>0.42730000000000001</v>
      </c>
      <c r="G12" s="392">
        <v>0.70150000000000001</v>
      </c>
      <c r="H12" s="392">
        <v>1.4765999999999999</v>
      </c>
      <c r="I12" s="392">
        <v>0.67830000000000001</v>
      </c>
      <c r="J12" s="392">
        <v>1.2174</v>
      </c>
      <c r="K12" s="392">
        <v>144.40479999999999</v>
      </c>
      <c r="L12" s="392">
        <v>7.2900000000000006E-2</v>
      </c>
      <c r="M12" s="392">
        <v>0.55479999999999996</v>
      </c>
      <c r="N12" s="392">
        <v>0.67649999999999999</v>
      </c>
      <c r="O12" s="392">
        <v>0.19189999999999999</v>
      </c>
      <c r="P12" s="392"/>
      <c r="Q12" s="392">
        <v>3.2000000000000002E-3</v>
      </c>
      <c r="R12" s="392">
        <v>2.4967999999999999</v>
      </c>
      <c r="S12" s="392">
        <v>0.50249999999999995</v>
      </c>
      <c r="T12" s="392">
        <v>2.7799999999999998E-2</v>
      </c>
      <c r="U12" s="392">
        <v>0.38419999999999999</v>
      </c>
      <c r="V12" s="392"/>
      <c r="W12" s="392">
        <v>2.2692000000000001</v>
      </c>
      <c r="X12" s="392"/>
      <c r="Y12" s="392">
        <v>7.3266</v>
      </c>
      <c r="Z12" s="392">
        <v>0.19789999999999999</v>
      </c>
      <c r="AA12" s="392">
        <v>25.072500000000002</v>
      </c>
      <c r="AB12" s="392">
        <v>0.86950000000000005</v>
      </c>
      <c r="AC12" s="392"/>
      <c r="AD12" s="392"/>
      <c r="AE12" s="392"/>
      <c r="AF12" s="392">
        <v>2.7699999999999999E-2</v>
      </c>
      <c r="AG12" s="392">
        <v>9.8599999999999993E-2</v>
      </c>
      <c r="AH12" s="392">
        <v>1.7486999999999999</v>
      </c>
      <c r="AI12" s="392">
        <v>0.56620000000000004</v>
      </c>
      <c r="AJ12" s="392">
        <v>3.3462000000000001</v>
      </c>
      <c r="AK12" s="392">
        <v>1.9829000000000001</v>
      </c>
      <c r="AL12" s="392">
        <v>0.25119999999999998</v>
      </c>
      <c r="AM12" s="392"/>
      <c r="AN12" s="392">
        <v>9.01E-2</v>
      </c>
      <c r="AO12" s="392">
        <v>0.84309999999999996</v>
      </c>
      <c r="AP12" s="392">
        <v>5.9400000000000001E-2</v>
      </c>
      <c r="AQ12" s="392">
        <v>2.7816999999999998</v>
      </c>
      <c r="AR12" s="392">
        <v>0.3856</v>
      </c>
      <c r="AS12" s="392">
        <v>0.38590000000000002</v>
      </c>
      <c r="AT12" s="392">
        <v>5.6000000000000001E-2</v>
      </c>
      <c r="AU12" s="392">
        <v>0.1288</v>
      </c>
      <c r="AV12" s="392">
        <v>9.6199999999999994E-2</v>
      </c>
      <c r="AW12" s="392">
        <v>2.2499999999999999E-2</v>
      </c>
      <c r="AX12" s="392">
        <v>1.8E-3</v>
      </c>
      <c r="AY12" s="392">
        <v>0.86009999999999998</v>
      </c>
      <c r="AZ12" s="392">
        <v>0.97499999999999998</v>
      </c>
      <c r="BA12" s="392">
        <v>0.52690000000000003</v>
      </c>
      <c r="BB12" s="392">
        <v>7.7000000000000002E-3</v>
      </c>
      <c r="BC12" s="392">
        <v>2.7248000000000001</v>
      </c>
      <c r="BD12" s="392">
        <v>0.74919999999999998</v>
      </c>
      <c r="BE12" s="392">
        <v>10.361800000000001</v>
      </c>
      <c r="BF12" s="392">
        <v>0.27329999999999999</v>
      </c>
      <c r="BG12" s="392">
        <v>0.13270000000000001</v>
      </c>
      <c r="BH12" s="392">
        <v>1.4265000000000001</v>
      </c>
      <c r="BI12" s="392">
        <v>2.1204000000000001</v>
      </c>
      <c r="BJ12" s="392">
        <v>0.66479999999999995</v>
      </c>
      <c r="BK12" s="392">
        <v>1.8956999999999999</v>
      </c>
      <c r="BL12" s="392">
        <v>0.41370000000000001</v>
      </c>
      <c r="BM12" s="392">
        <v>1.5712999999999999</v>
      </c>
      <c r="BN12" s="392">
        <v>0.76749999999999996</v>
      </c>
      <c r="BO12" s="392">
        <v>8.8999999999999996E-2</v>
      </c>
      <c r="BP12" s="392">
        <v>0.75170000000000003</v>
      </c>
      <c r="BQ12" s="392">
        <v>1.7013</v>
      </c>
      <c r="BR12" s="392"/>
      <c r="BS12" s="392">
        <v>230.43819999999999</v>
      </c>
      <c r="BT12" s="393">
        <v>234.93119999999999</v>
      </c>
      <c r="BU12" s="394">
        <v>5.0000000000000001E-3</v>
      </c>
      <c r="BV12" s="394">
        <v>1.8200000000000001E-2</v>
      </c>
      <c r="BW12" s="395">
        <v>234.95439999999999</v>
      </c>
      <c r="BX12" s="393"/>
      <c r="BY12" s="394">
        <v>7.3593999999999999</v>
      </c>
      <c r="BZ12" s="394">
        <v>7.3593999999999999</v>
      </c>
      <c r="CA12" s="394">
        <v>467.61329999999998</v>
      </c>
      <c r="CB12" s="396">
        <v>709.9271</v>
      </c>
      <c r="CC12" s="397">
        <v>940.36530000000005</v>
      </c>
      <c r="CE12" s="5"/>
    </row>
    <row r="13" spans="1:83" x14ac:dyDescent="0.3">
      <c r="A13" s="7">
        <v>7</v>
      </c>
      <c r="B13" s="150" t="s">
        <v>121</v>
      </c>
      <c r="C13" s="150"/>
      <c r="D13" s="150"/>
      <c r="E13" s="150"/>
      <c r="F13" s="392">
        <v>1.8800000000000001E-2</v>
      </c>
      <c r="G13" s="392"/>
      <c r="H13" s="392">
        <v>1.4E-3</v>
      </c>
      <c r="I13" s="392">
        <v>0.92379999999999995</v>
      </c>
      <c r="J13" s="392">
        <v>2.0975000000000001</v>
      </c>
      <c r="K13" s="392">
        <v>0.63319999999999999</v>
      </c>
      <c r="L13" s="392">
        <v>276.0856</v>
      </c>
      <c r="M13" s="392">
        <v>0.30930000000000002</v>
      </c>
      <c r="N13" s="392">
        <v>0.29659999999999997</v>
      </c>
      <c r="O13" s="392"/>
      <c r="P13" s="392">
        <v>0.52010000000000001</v>
      </c>
      <c r="Q13" s="392"/>
      <c r="R13" s="392">
        <v>1.8835999999999999</v>
      </c>
      <c r="S13" s="392">
        <v>5.2359999999999998</v>
      </c>
      <c r="T13" s="392">
        <v>4.4600000000000001E-2</v>
      </c>
      <c r="U13" s="392">
        <v>0.60129999999999995</v>
      </c>
      <c r="V13" s="392">
        <v>0.52339999999999998</v>
      </c>
      <c r="W13" s="392">
        <v>1.2695000000000001</v>
      </c>
      <c r="X13" s="392">
        <v>0.41499999999999998</v>
      </c>
      <c r="Y13" s="392">
        <v>2.0994000000000002</v>
      </c>
      <c r="Z13" s="392">
        <v>0.53190000000000004</v>
      </c>
      <c r="AA13" s="392">
        <v>66.894900000000007</v>
      </c>
      <c r="AB13" s="392"/>
      <c r="AC13" s="392">
        <v>11.1402</v>
      </c>
      <c r="AD13" s="392"/>
      <c r="AE13" s="392">
        <v>24.980399999999999</v>
      </c>
      <c r="AF13" s="392">
        <v>7.7600000000000002E-2</v>
      </c>
      <c r="AG13" s="392">
        <v>0.12959999999999999</v>
      </c>
      <c r="AH13" s="392">
        <v>113.5904</v>
      </c>
      <c r="AI13" s="392">
        <v>0.18579999999999999</v>
      </c>
      <c r="AJ13" s="392">
        <v>7.5648999999999997</v>
      </c>
      <c r="AK13" s="392">
        <v>0.93730000000000002</v>
      </c>
      <c r="AL13" s="392">
        <v>1.54</v>
      </c>
      <c r="AM13" s="392"/>
      <c r="AN13" s="392"/>
      <c r="AO13" s="392">
        <v>5.4558</v>
      </c>
      <c r="AP13" s="392"/>
      <c r="AQ13" s="392">
        <v>0.21229999999999999</v>
      </c>
      <c r="AR13" s="392">
        <v>0.14530000000000001</v>
      </c>
      <c r="AS13" s="392">
        <v>4.0300000000000002E-2</v>
      </c>
      <c r="AT13" s="392">
        <v>0.1472</v>
      </c>
      <c r="AU13" s="392">
        <v>0.1638</v>
      </c>
      <c r="AV13" s="392"/>
      <c r="AW13" s="392"/>
      <c r="AX13" s="392"/>
      <c r="AY13" s="392">
        <v>8.5885999999999996</v>
      </c>
      <c r="AZ13" s="392">
        <v>1.6146</v>
      </c>
      <c r="BA13" s="392">
        <v>0.1075</v>
      </c>
      <c r="BB13" s="392"/>
      <c r="BC13" s="392">
        <v>0.33889999999999998</v>
      </c>
      <c r="BD13" s="392">
        <v>0.20219999999999999</v>
      </c>
      <c r="BE13" s="392">
        <v>0.22239999999999999</v>
      </c>
      <c r="BF13" s="392">
        <v>8.8599999999999998E-2</v>
      </c>
      <c r="BG13" s="392"/>
      <c r="BH13" s="392"/>
      <c r="BI13" s="392">
        <v>4.7600000000000003E-2</v>
      </c>
      <c r="BJ13" s="392">
        <v>0.1469</v>
      </c>
      <c r="BK13" s="392">
        <v>4.4999999999999998E-2</v>
      </c>
      <c r="BL13" s="392">
        <v>2.7199999999999998E-2</v>
      </c>
      <c r="BM13" s="392">
        <v>0.21990000000000001</v>
      </c>
      <c r="BN13" s="392">
        <v>1.6899999999999998E-2</v>
      </c>
      <c r="BO13" s="392"/>
      <c r="BP13" s="392">
        <v>4.5999999999999999E-3</v>
      </c>
      <c r="BQ13" s="392">
        <v>0.38619999999999999</v>
      </c>
      <c r="BR13" s="392"/>
      <c r="BS13" s="392">
        <v>538.75390000000004</v>
      </c>
      <c r="BT13" s="393">
        <v>8.2781000000000002</v>
      </c>
      <c r="BU13" s="394"/>
      <c r="BV13" s="394"/>
      <c r="BW13" s="395">
        <v>8.2781000000000002</v>
      </c>
      <c r="BX13" s="393">
        <v>0.11360000000000001</v>
      </c>
      <c r="BY13" s="394">
        <v>8.7379999999999995</v>
      </c>
      <c r="BZ13" s="394">
        <v>8.8515999999999995</v>
      </c>
      <c r="CA13" s="394">
        <v>767.44230000000005</v>
      </c>
      <c r="CB13" s="396">
        <v>784.572</v>
      </c>
      <c r="CC13" s="397">
        <v>1323.3259</v>
      </c>
      <c r="CE13" s="5"/>
    </row>
    <row r="14" spans="1:83" x14ac:dyDescent="0.3">
      <c r="A14" s="7">
        <v>8</v>
      </c>
      <c r="B14" s="150" t="s">
        <v>122</v>
      </c>
      <c r="C14" s="150"/>
      <c r="D14" s="150"/>
      <c r="E14" s="150"/>
      <c r="F14" s="392">
        <v>0.379</v>
      </c>
      <c r="G14" s="392">
        <v>0.2505</v>
      </c>
      <c r="H14" s="392">
        <v>4.8099999999999997E-2</v>
      </c>
      <c r="I14" s="392">
        <v>0.3629</v>
      </c>
      <c r="J14" s="392">
        <v>24.4269</v>
      </c>
      <c r="K14" s="392">
        <v>2.9952000000000001</v>
      </c>
      <c r="L14" s="392">
        <v>6.9901</v>
      </c>
      <c r="M14" s="392">
        <v>26.3842</v>
      </c>
      <c r="N14" s="392">
        <v>53.7224</v>
      </c>
      <c r="O14" s="392">
        <v>4.02E-2</v>
      </c>
      <c r="P14" s="392">
        <v>1.1751</v>
      </c>
      <c r="Q14" s="392">
        <v>0.39639999999999997</v>
      </c>
      <c r="R14" s="392">
        <v>2.8395999999999999</v>
      </c>
      <c r="S14" s="392">
        <v>1.5036</v>
      </c>
      <c r="T14" s="392">
        <v>8.3400000000000002E-2</v>
      </c>
      <c r="U14" s="392"/>
      <c r="V14" s="392">
        <v>1.8344</v>
      </c>
      <c r="W14" s="392">
        <v>1.8198000000000001</v>
      </c>
      <c r="X14" s="392">
        <v>0.44429999999999997</v>
      </c>
      <c r="Y14" s="392">
        <v>0.53569999999999995</v>
      </c>
      <c r="Z14" s="392">
        <v>4.4600000000000001E-2</v>
      </c>
      <c r="AA14" s="392">
        <v>5.7244000000000002</v>
      </c>
      <c r="AB14" s="392">
        <v>0.25559999999999999</v>
      </c>
      <c r="AC14" s="392">
        <v>0.19719999999999999</v>
      </c>
      <c r="AD14" s="392">
        <v>8.9300000000000004E-2</v>
      </c>
      <c r="AE14" s="392">
        <v>0.6321</v>
      </c>
      <c r="AF14" s="392">
        <v>1.5100000000000001E-2</v>
      </c>
      <c r="AG14" s="392">
        <v>0.80489999999999995</v>
      </c>
      <c r="AH14" s="392">
        <v>0.18440000000000001</v>
      </c>
      <c r="AI14" s="392">
        <v>8.43E-2</v>
      </c>
      <c r="AJ14" s="392">
        <v>16.7224</v>
      </c>
      <c r="AK14" s="392">
        <v>4.3529999999999998</v>
      </c>
      <c r="AL14" s="392">
        <v>0.2185</v>
      </c>
      <c r="AM14" s="392"/>
      <c r="AN14" s="392"/>
      <c r="AO14" s="392">
        <v>0.73629999999999995</v>
      </c>
      <c r="AP14" s="392">
        <v>0.28110000000000002</v>
      </c>
      <c r="AQ14" s="392">
        <v>2.7694000000000001</v>
      </c>
      <c r="AR14" s="392">
        <v>3.7816999999999998</v>
      </c>
      <c r="AS14" s="392">
        <v>8.2400000000000001E-2</v>
      </c>
      <c r="AT14" s="392">
        <v>5.16E-2</v>
      </c>
      <c r="AU14" s="392">
        <v>0.46679999999999999</v>
      </c>
      <c r="AV14" s="392">
        <v>1.6847000000000001</v>
      </c>
      <c r="AW14" s="392">
        <v>0.50939999999999996</v>
      </c>
      <c r="AX14" s="392">
        <v>0.66320000000000001</v>
      </c>
      <c r="AY14" s="392">
        <v>0.94989999999999997</v>
      </c>
      <c r="AZ14" s="392">
        <v>0.34300000000000003</v>
      </c>
      <c r="BA14" s="392">
        <v>0.66359999999999997</v>
      </c>
      <c r="BB14" s="392">
        <v>9.5399999999999999E-2</v>
      </c>
      <c r="BC14" s="392">
        <v>0.85440000000000005</v>
      </c>
      <c r="BD14" s="392">
        <v>1.0175000000000001</v>
      </c>
      <c r="BE14" s="392">
        <v>0.78769999999999996</v>
      </c>
      <c r="BF14" s="392">
        <v>6.1800000000000001E-2</v>
      </c>
      <c r="BG14" s="392">
        <v>0.4395</v>
      </c>
      <c r="BH14" s="392">
        <v>6.2077999999999998</v>
      </c>
      <c r="BI14" s="392">
        <v>0.99770000000000003</v>
      </c>
      <c r="BJ14" s="392">
        <v>3.8086000000000002</v>
      </c>
      <c r="BK14" s="392">
        <v>2.0402</v>
      </c>
      <c r="BL14" s="392">
        <v>0.38779999999999998</v>
      </c>
      <c r="BM14" s="392">
        <v>0.29120000000000001</v>
      </c>
      <c r="BN14" s="392">
        <v>0.19639999999999999</v>
      </c>
      <c r="BO14" s="392">
        <v>0.10920000000000001</v>
      </c>
      <c r="BP14" s="392">
        <v>0.2848</v>
      </c>
      <c r="BQ14" s="392">
        <v>0.49109999999999998</v>
      </c>
      <c r="BR14" s="392"/>
      <c r="BS14" s="392">
        <v>186.61179999999999</v>
      </c>
      <c r="BT14" s="393">
        <v>15.8971</v>
      </c>
      <c r="BU14" s="394"/>
      <c r="BV14" s="394"/>
      <c r="BW14" s="395">
        <v>15.8971</v>
      </c>
      <c r="BX14" s="393"/>
      <c r="BY14" s="394">
        <v>11.2445</v>
      </c>
      <c r="BZ14" s="394">
        <v>11.2445</v>
      </c>
      <c r="CA14" s="394">
        <v>178.0941</v>
      </c>
      <c r="CB14" s="396">
        <v>205.23570000000001</v>
      </c>
      <c r="CC14" s="397">
        <v>391.84750000000003</v>
      </c>
      <c r="CE14" s="5"/>
    </row>
    <row r="15" spans="1:83" x14ac:dyDescent="0.3">
      <c r="A15" s="7">
        <v>9</v>
      </c>
      <c r="B15" s="150" t="s">
        <v>123</v>
      </c>
      <c r="C15" s="150"/>
      <c r="D15" s="150"/>
      <c r="E15" s="150"/>
      <c r="F15" s="392">
        <v>5.45E-2</v>
      </c>
      <c r="G15" s="392">
        <v>0.61509999999999998</v>
      </c>
      <c r="H15" s="392">
        <v>5.6399999999999999E-2</v>
      </c>
      <c r="I15" s="392"/>
      <c r="J15" s="392">
        <v>5.1950000000000003</v>
      </c>
      <c r="K15" s="392">
        <v>1.9352</v>
      </c>
      <c r="L15" s="392">
        <v>2.39</v>
      </c>
      <c r="M15" s="392">
        <v>0.28449999999999998</v>
      </c>
      <c r="N15" s="392">
        <v>12.1297</v>
      </c>
      <c r="O15" s="392"/>
      <c r="P15" s="392">
        <v>0.29730000000000001</v>
      </c>
      <c r="Q15" s="392"/>
      <c r="R15" s="392"/>
      <c r="S15" s="392">
        <v>0.2041</v>
      </c>
      <c r="T15" s="392"/>
      <c r="U15" s="392">
        <v>0.26190000000000002</v>
      </c>
      <c r="V15" s="392">
        <v>0.1024</v>
      </c>
      <c r="W15" s="392"/>
      <c r="X15" s="392">
        <v>0.26540000000000002</v>
      </c>
      <c r="Y15" s="392">
        <v>2.1100000000000001E-2</v>
      </c>
      <c r="Z15" s="392"/>
      <c r="AA15" s="392"/>
      <c r="AB15" s="392"/>
      <c r="AC15" s="392"/>
      <c r="AD15" s="392"/>
      <c r="AE15" s="392"/>
      <c r="AF15" s="392"/>
      <c r="AG15" s="392"/>
      <c r="AH15" s="392"/>
      <c r="AI15" s="392">
        <v>1.0494000000000001</v>
      </c>
      <c r="AJ15" s="392">
        <v>8.7188999999999997</v>
      </c>
      <c r="AK15" s="392">
        <v>0.87639999999999996</v>
      </c>
      <c r="AL15" s="392"/>
      <c r="AM15" s="392"/>
      <c r="AN15" s="392"/>
      <c r="AO15" s="392">
        <v>0.32969999999999999</v>
      </c>
      <c r="AP15" s="392">
        <v>0.46110000000000001</v>
      </c>
      <c r="AQ15" s="392">
        <v>0.43440000000000001</v>
      </c>
      <c r="AR15" s="392">
        <v>29.807700000000001</v>
      </c>
      <c r="AS15" s="392">
        <v>1.2230000000000001</v>
      </c>
      <c r="AT15" s="392">
        <v>5.0366999999999997</v>
      </c>
      <c r="AU15" s="392">
        <v>3.8649</v>
      </c>
      <c r="AV15" s="392">
        <v>2.0657999999999999</v>
      </c>
      <c r="AW15" s="392">
        <v>0.43559999999999999</v>
      </c>
      <c r="AX15" s="392">
        <v>0.51200000000000001</v>
      </c>
      <c r="AY15" s="392"/>
      <c r="AZ15" s="392">
        <v>0.1178</v>
      </c>
      <c r="BA15" s="392">
        <v>1.1067</v>
      </c>
      <c r="BB15" s="392">
        <v>0.57869999999999999</v>
      </c>
      <c r="BC15" s="392">
        <v>16.4072</v>
      </c>
      <c r="BD15" s="392">
        <v>1.6794</v>
      </c>
      <c r="BE15" s="392">
        <v>5.45E-2</v>
      </c>
      <c r="BF15" s="392">
        <v>2.7000000000000001E-3</v>
      </c>
      <c r="BG15" s="392">
        <v>0.9476</v>
      </c>
      <c r="BH15" s="392">
        <v>0.99570000000000003</v>
      </c>
      <c r="BI15" s="392">
        <v>0.87050000000000005</v>
      </c>
      <c r="BJ15" s="392">
        <v>1.5369999999999999</v>
      </c>
      <c r="BK15" s="392">
        <v>9.6299999999999997E-2</v>
      </c>
      <c r="BL15" s="392">
        <v>8.0000000000000002E-3</v>
      </c>
      <c r="BM15" s="392">
        <v>0.29210000000000003</v>
      </c>
      <c r="BN15" s="392">
        <v>0.69350000000000001</v>
      </c>
      <c r="BO15" s="392">
        <v>4.4737999999999998</v>
      </c>
      <c r="BP15" s="392">
        <v>0.16270000000000001</v>
      </c>
      <c r="BQ15" s="392">
        <v>0.27160000000000001</v>
      </c>
      <c r="BR15" s="392"/>
      <c r="BS15" s="392">
        <v>108.92400000000001</v>
      </c>
      <c r="BT15" s="393">
        <v>4.1268000000000002</v>
      </c>
      <c r="BU15" s="394"/>
      <c r="BV15" s="394"/>
      <c r="BW15" s="395">
        <v>4.1268000000000002</v>
      </c>
      <c r="BX15" s="393"/>
      <c r="BY15" s="394">
        <v>4.4330999999999996</v>
      </c>
      <c r="BZ15" s="394">
        <v>4.4330999999999996</v>
      </c>
      <c r="CA15" s="394">
        <v>75.419899999999998</v>
      </c>
      <c r="CB15" s="396">
        <v>83.979799999999997</v>
      </c>
      <c r="CC15" s="397">
        <v>192.90379999999999</v>
      </c>
      <c r="CE15" s="5"/>
    </row>
    <row r="16" spans="1:83" x14ac:dyDescent="0.3">
      <c r="A16" s="7">
        <v>10</v>
      </c>
      <c r="B16" s="150" t="s">
        <v>124</v>
      </c>
      <c r="C16" s="150"/>
      <c r="D16" s="150"/>
      <c r="E16" s="150"/>
      <c r="F16" s="392">
        <v>26.432500000000001</v>
      </c>
      <c r="G16" s="392">
        <v>15.9779</v>
      </c>
      <c r="H16" s="392">
        <v>6.9196999999999997</v>
      </c>
      <c r="I16" s="392">
        <v>13.488</v>
      </c>
      <c r="J16" s="392">
        <v>8.3673999999999999</v>
      </c>
      <c r="K16" s="392">
        <v>1.0762</v>
      </c>
      <c r="L16" s="392">
        <v>5.1626000000000003</v>
      </c>
      <c r="M16" s="392">
        <v>0.63770000000000004</v>
      </c>
      <c r="N16" s="392">
        <v>0.313</v>
      </c>
      <c r="O16" s="392">
        <v>1.4984999999999999</v>
      </c>
      <c r="P16" s="392">
        <v>4.2373000000000003</v>
      </c>
      <c r="Q16" s="392">
        <v>2.12E-2</v>
      </c>
      <c r="R16" s="392">
        <v>0.9052</v>
      </c>
      <c r="S16" s="392">
        <v>2.2153999999999998</v>
      </c>
      <c r="T16" s="392">
        <v>0.85580000000000001</v>
      </c>
      <c r="U16" s="392">
        <v>2.5577000000000001</v>
      </c>
      <c r="V16" s="392"/>
      <c r="W16" s="392">
        <v>0.21560000000000001</v>
      </c>
      <c r="X16" s="392">
        <v>0.83250000000000002</v>
      </c>
      <c r="Y16" s="392">
        <v>0.27660000000000001</v>
      </c>
      <c r="Z16" s="392">
        <v>0.12239999999999999</v>
      </c>
      <c r="AA16" s="392">
        <v>6.2556000000000003</v>
      </c>
      <c r="AB16" s="392">
        <v>1.4036999999999999</v>
      </c>
      <c r="AC16" s="392">
        <v>2.6753999999999998</v>
      </c>
      <c r="AD16" s="392"/>
      <c r="AE16" s="392">
        <v>22.042400000000001</v>
      </c>
      <c r="AF16" s="392">
        <v>0.54459999999999997</v>
      </c>
      <c r="AG16" s="392">
        <v>2.9830999999999999</v>
      </c>
      <c r="AH16" s="392">
        <v>50.924700000000001</v>
      </c>
      <c r="AI16" s="392">
        <v>3.6945000000000001</v>
      </c>
      <c r="AJ16" s="392">
        <v>14.4468</v>
      </c>
      <c r="AK16" s="392">
        <v>3.5061</v>
      </c>
      <c r="AL16" s="392">
        <v>129.58969999999999</v>
      </c>
      <c r="AM16" s="392">
        <v>83.054000000000002</v>
      </c>
      <c r="AN16" s="392">
        <v>17.869499999999999</v>
      </c>
      <c r="AO16" s="392">
        <v>9.8079000000000001</v>
      </c>
      <c r="AP16" s="392">
        <v>0.51919999999999999</v>
      </c>
      <c r="AQ16" s="392">
        <v>0.84930000000000005</v>
      </c>
      <c r="AR16" s="392">
        <v>0.27789999999999998</v>
      </c>
      <c r="AS16" s="392">
        <v>0.19969999999999999</v>
      </c>
      <c r="AT16" s="392">
        <v>0.57869999999999999</v>
      </c>
      <c r="AU16" s="392">
        <v>0.91869999999999996</v>
      </c>
      <c r="AV16" s="392">
        <v>0.3377</v>
      </c>
      <c r="AW16" s="392">
        <v>0.13639999999999999</v>
      </c>
      <c r="AX16" s="392">
        <v>0.27679999999999999</v>
      </c>
      <c r="AY16" s="392">
        <v>2.2585000000000002</v>
      </c>
      <c r="AZ16" s="392">
        <v>1.4169</v>
      </c>
      <c r="BA16" s="392">
        <v>1.835</v>
      </c>
      <c r="BB16" s="392">
        <v>0.28889999999999999</v>
      </c>
      <c r="BC16" s="392">
        <v>0.67330000000000001</v>
      </c>
      <c r="BD16" s="392">
        <v>0.3412</v>
      </c>
      <c r="BE16" s="392">
        <v>5.3202999999999996</v>
      </c>
      <c r="BF16" s="392">
        <v>0.50419999999999998</v>
      </c>
      <c r="BG16" s="392">
        <v>0.1182</v>
      </c>
      <c r="BH16" s="392">
        <v>4.2732999999999999</v>
      </c>
      <c r="BI16" s="392">
        <v>6.9381000000000004</v>
      </c>
      <c r="BJ16" s="392">
        <v>3.7357</v>
      </c>
      <c r="BK16" s="392">
        <v>1.8740000000000001</v>
      </c>
      <c r="BL16" s="392">
        <v>0.70750000000000002</v>
      </c>
      <c r="BM16" s="392">
        <v>0.59960000000000002</v>
      </c>
      <c r="BN16" s="392">
        <v>1.3896999999999999</v>
      </c>
      <c r="BO16" s="392">
        <v>0.753</v>
      </c>
      <c r="BP16" s="392">
        <v>0.2457</v>
      </c>
      <c r="BQ16" s="392">
        <v>0.23730000000000001</v>
      </c>
      <c r="BR16" s="392"/>
      <c r="BS16" s="392">
        <v>478.51600000000002</v>
      </c>
      <c r="BT16" s="393">
        <v>141.72399999999999</v>
      </c>
      <c r="BU16" s="394"/>
      <c r="BV16" s="394"/>
      <c r="BW16" s="395">
        <v>141.72399999999999</v>
      </c>
      <c r="BX16" s="393"/>
      <c r="BY16" s="394">
        <v>0.2361</v>
      </c>
      <c r="BZ16" s="394">
        <v>0.2361</v>
      </c>
      <c r="CA16" s="394">
        <v>215.03139999999999</v>
      </c>
      <c r="CB16" s="396">
        <v>356.99149999999997</v>
      </c>
      <c r="CC16" s="397">
        <v>835.50750000000005</v>
      </c>
      <c r="CE16" s="5"/>
    </row>
    <row r="17" spans="1:83" x14ac:dyDescent="0.3">
      <c r="A17" s="7">
        <v>11</v>
      </c>
      <c r="B17" s="150" t="s">
        <v>125</v>
      </c>
      <c r="C17" s="150"/>
      <c r="D17" s="150"/>
      <c r="E17" s="150"/>
      <c r="F17" s="392">
        <v>36.123899999999999</v>
      </c>
      <c r="G17" s="392">
        <v>5.3468999999999998</v>
      </c>
      <c r="H17" s="392">
        <v>0.26269999999999999</v>
      </c>
      <c r="I17" s="392">
        <v>17.414300000000001</v>
      </c>
      <c r="J17" s="392">
        <v>24.332999999999998</v>
      </c>
      <c r="K17" s="392">
        <v>30.480799999999999</v>
      </c>
      <c r="L17" s="392">
        <v>27.362200000000001</v>
      </c>
      <c r="M17" s="392">
        <v>9.1915999999999993</v>
      </c>
      <c r="N17" s="392">
        <v>8.0937000000000001</v>
      </c>
      <c r="O17" s="392">
        <v>3.4609000000000001</v>
      </c>
      <c r="P17" s="392">
        <v>149.35429999999999</v>
      </c>
      <c r="Q17" s="392">
        <v>1.9056999999999999</v>
      </c>
      <c r="R17" s="392">
        <v>56.8185</v>
      </c>
      <c r="S17" s="392">
        <v>8.8930000000000007</v>
      </c>
      <c r="T17" s="392">
        <v>0.81530000000000002</v>
      </c>
      <c r="U17" s="392">
        <v>9.9906000000000006</v>
      </c>
      <c r="V17" s="392">
        <v>2.7919</v>
      </c>
      <c r="W17" s="392">
        <v>1.5691999999999999</v>
      </c>
      <c r="X17" s="392">
        <v>2.4224999999999999</v>
      </c>
      <c r="Y17" s="392">
        <v>5.9218000000000002</v>
      </c>
      <c r="Z17" s="392">
        <v>0.57369999999999999</v>
      </c>
      <c r="AA17" s="392">
        <v>9.9763000000000002</v>
      </c>
      <c r="AB17" s="392">
        <v>3.9123999999999999</v>
      </c>
      <c r="AC17" s="392">
        <v>0.12709999999999999</v>
      </c>
      <c r="AD17" s="392">
        <v>9.7000000000000003E-3</v>
      </c>
      <c r="AE17" s="392"/>
      <c r="AF17" s="392">
        <v>2.5743</v>
      </c>
      <c r="AG17" s="392">
        <v>3.3332999999999999</v>
      </c>
      <c r="AH17" s="392">
        <v>15.902699999999999</v>
      </c>
      <c r="AI17" s="392">
        <v>3.9443000000000001</v>
      </c>
      <c r="AJ17" s="392"/>
      <c r="AK17" s="392">
        <v>2.2105000000000001</v>
      </c>
      <c r="AL17" s="392"/>
      <c r="AM17" s="392"/>
      <c r="AN17" s="392"/>
      <c r="AO17" s="392">
        <v>3.0661</v>
      </c>
      <c r="AP17" s="392"/>
      <c r="AQ17" s="392">
        <v>1.9688000000000001</v>
      </c>
      <c r="AR17" s="392">
        <v>0.30959999999999999</v>
      </c>
      <c r="AS17" s="392">
        <v>0.35639999999999999</v>
      </c>
      <c r="AT17" s="392">
        <v>0.25</v>
      </c>
      <c r="AU17" s="392">
        <v>0.13800000000000001</v>
      </c>
      <c r="AV17" s="392">
        <v>0.29449999999999998</v>
      </c>
      <c r="AW17" s="392">
        <v>6.7599999999999993E-2</v>
      </c>
      <c r="AX17" s="392">
        <v>0.13830000000000001</v>
      </c>
      <c r="AY17" s="392">
        <v>12.039199999999999</v>
      </c>
      <c r="AZ17" s="392">
        <v>7.5999999999999998E-2</v>
      </c>
      <c r="BA17" s="392">
        <v>2.5836999999999999</v>
      </c>
      <c r="BB17" s="392">
        <v>2.2132999999999998</v>
      </c>
      <c r="BC17" s="392">
        <v>0.35539999999999999</v>
      </c>
      <c r="BD17" s="392">
        <v>1.3049999999999999</v>
      </c>
      <c r="BE17" s="392">
        <v>2.8450000000000002</v>
      </c>
      <c r="BF17" s="392"/>
      <c r="BG17" s="392">
        <v>4.65E-2</v>
      </c>
      <c r="BH17" s="392">
        <v>4.6622000000000003</v>
      </c>
      <c r="BI17" s="392">
        <v>2.0893000000000002</v>
      </c>
      <c r="BJ17" s="392">
        <v>3.6286</v>
      </c>
      <c r="BK17" s="392">
        <v>2.1052</v>
      </c>
      <c r="BL17" s="392">
        <v>0.56769999999999998</v>
      </c>
      <c r="BM17" s="392">
        <v>0.73440000000000005</v>
      </c>
      <c r="BN17" s="392">
        <v>1.4369000000000001</v>
      </c>
      <c r="BO17" s="392">
        <v>9.5399999999999999E-2</v>
      </c>
      <c r="BP17" s="392">
        <v>2.8199999999999999E-2</v>
      </c>
      <c r="BQ17" s="392">
        <v>5.9629000000000003</v>
      </c>
      <c r="BR17" s="392"/>
      <c r="BS17" s="392">
        <v>494.48129999999998</v>
      </c>
      <c r="BT17" s="393">
        <v>52.6676</v>
      </c>
      <c r="BU17" s="394"/>
      <c r="BV17" s="394">
        <v>1.5624</v>
      </c>
      <c r="BW17" s="395">
        <v>54.23</v>
      </c>
      <c r="BX17" s="393"/>
      <c r="BY17" s="394">
        <v>67.868700000000004</v>
      </c>
      <c r="BZ17" s="394">
        <v>67.868700000000004</v>
      </c>
      <c r="CA17" s="394">
        <v>350.34519999999998</v>
      </c>
      <c r="CB17" s="396">
        <v>472.44389999999999</v>
      </c>
      <c r="CC17" s="397">
        <v>966.92520000000002</v>
      </c>
      <c r="CE17" s="5"/>
    </row>
    <row r="18" spans="1:83" x14ac:dyDescent="0.3">
      <c r="A18" s="7">
        <v>12</v>
      </c>
      <c r="B18" s="150" t="s">
        <v>126</v>
      </c>
      <c r="C18" s="150"/>
      <c r="D18" s="150"/>
      <c r="E18" s="150"/>
      <c r="F18" s="392">
        <v>2.5396999999999998</v>
      </c>
      <c r="G18" s="392"/>
      <c r="H18" s="392">
        <v>3.7000000000000002E-3</v>
      </c>
      <c r="I18" s="392"/>
      <c r="J18" s="392">
        <v>1.1577</v>
      </c>
      <c r="K18" s="392"/>
      <c r="L18" s="392"/>
      <c r="M18" s="392"/>
      <c r="N18" s="392">
        <v>1.4E-3</v>
      </c>
      <c r="O18" s="392"/>
      <c r="P18" s="392">
        <v>0.32640000000000002</v>
      </c>
      <c r="Q18" s="392">
        <v>10.5829</v>
      </c>
      <c r="R18" s="392">
        <v>4.1999999999999997E-3</v>
      </c>
      <c r="S18" s="392"/>
      <c r="T18" s="392"/>
      <c r="U18" s="392">
        <v>2.0999999999999999E-3</v>
      </c>
      <c r="V18" s="392"/>
      <c r="W18" s="392"/>
      <c r="X18" s="392"/>
      <c r="Y18" s="392">
        <v>8.0000000000000004E-4</v>
      </c>
      <c r="Z18" s="392"/>
      <c r="AA18" s="392">
        <v>0.2878</v>
      </c>
      <c r="AB18" s="392">
        <v>4.1000000000000003E-3</v>
      </c>
      <c r="AC18" s="392"/>
      <c r="AD18" s="392"/>
      <c r="AE18" s="392"/>
      <c r="AF18" s="392"/>
      <c r="AG18" s="392"/>
      <c r="AH18" s="392">
        <v>5.1000000000000004E-3</v>
      </c>
      <c r="AI18" s="392"/>
      <c r="AJ18" s="392"/>
      <c r="AK18" s="392"/>
      <c r="AL18" s="392"/>
      <c r="AM18" s="392"/>
      <c r="AN18" s="392"/>
      <c r="AO18" s="392"/>
      <c r="AP18" s="392">
        <v>2.0000000000000001E-4</v>
      </c>
      <c r="AQ18" s="392"/>
      <c r="AR18" s="392"/>
      <c r="AS18" s="392"/>
      <c r="AT18" s="392"/>
      <c r="AU18" s="392"/>
      <c r="AV18" s="392"/>
      <c r="AW18" s="392"/>
      <c r="AX18" s="392"/>
      <c r="AY18" s="392"/>
      <c r="AZ18" s="392">
        <v>2.23E-2</v>
      </c>
      <c r="BA18" s="392">
        <v>2.5600000000000001E-2</v>
      </c>
      <c r="BB18" s="392">
        <v>0.16009999999999999</v>
      </c>
      <c r="BC18" s="392">
        <v>4.7335000000000003</v>
      </c>
      <c r="BD18" s="392"/>
      <c r="BE18" s="392">
        <v>1E-3</v>
      </c>
      <c r="BF18" s="392"/>
      <c r="BG18" s="392"/>
      <c r="BH18" s="392"/>
      <c r="BI18" s="392">
        <v>0.3821</v>
      </c>
      <c r="BJ18" s="392">
        <v>0.36840000000000001</v>
      </c>
      <c r="BK18" s="392">
        <v>78.771199999999993</v>
      </c>
      <c r="BL18" s="392">
        <v>2.0636999999999999</v>
      </c>
      <c r="BM18" s="392">
        <v>2.47E-2</v>
      </c>
      <c r="BN18" s="392">
        <v>3.3500000000000002E-2</v>
      </c>
      <c r="BO18" s="392"/>
      <c r="BP18" s="392"/>
      <c r="BQ18" s="392">
        <v>3.8E-3</v>
      </c>
      <c r="BR18" s="392"/>
      <c r="BS18" s="392">
        <v>101.506</v>
      </c>
      <c r="BT18" s="393">
        <v>65.111599999999996</v>
      </c>
      <c r="BU18" s="394"/>
      <c r="BV18" s="394">
        <v>58.110500000000002</v>
      </c>
      <c r="BW18" s="395">
        <v>123.2221</v>
      </c>
      <c r="BX18" s="393"/>
      <c r="BY18" s="394">
        <v>-0.37519999999999998</v>
      </c>
      <c r="BZ18" s="394">
        <v>-0.37519999999999998</v>
      </c>
      <c r="CA18" s="394">
        <v>45.655500000000004</v>
      </c>
      <c r="CB18" s="396">
        <v>168.50239999999999</v>
      </c>
      <c r="CC18" s="397">
        <v>270.00839999999999</v>
      </c>
      <c r="CE18" s="5"/>
    </row>
    <row r="19" spans="1:83" x14ac:dyDescent="0.3">
      <c r="A19" s="7">
        <v>13</v>
      </c>
      <c r="B19" s="150" t="s">
        <v>8</v>
      </c>
      <c r="C19" s="150"/>
      <c r="D19" s="150"/>
      <c r="E19" s="150"/>
      <c r="F19" s="392">
        <v>1.0117</v>
      </c>
      <c r="G19" s="392">
        <v>2.3548</v>
      </c>
      <c r="H19" s="392">
        <v>0.68820000000000003</v>
      </c>
      <c r="I19" s="392">
        <v>3.5931999999999999</v>
      </c>
      <c r="J19" s="392">
        <v>35.5379</v>
      </c>
      <c r="K19" s="392">
        <v>9.56</v>
      </c>
      <c r="L19" s="392">
        <v>7.5228999999999999</v>
      </c>
      <c r="M19" s="392">
        <v>3.8852000000000002</v>
      </c>
      <c r="N19" s="392">
        <v>1.78</v>
      </c>
      <c r="O19" s="392">
        <v>6.4399999999999999E-2</v>
      </c>
      <c r="P19" s="392">
        <v>4.8951000000000002</v>
      </c>
      <c r="Q19" s="392">
        <v>0.53100000000000003</v>
      </c>
      <c r="R19" s="392">
        <v>51.712000000000003</v>
      </c>
      <c r="S19" s="392">
        <v>10.701000000000001</v>
      </c>
      <c r="T19" s="392">
        <v>0.1351</v>
      </c>
      <c r="U19" s="392">
        <v>1.6245000000000001</v>
      </c>
      <c r="V19" s="392">
        <v>3.9578000000000002</v>
      </c>
      <c r="W19" s="392">
        <v>26.095600000000001</v>
      </c>
      <c r="X19" s="392">
        <v>3.1429999999999998</v>
      </c>
      <c r="Y19" s="392">
        <v>9.5231999999999992</v>
      </c>
      <c r="Z19" s="392">
        <v>1.4758</v>
      </c>
      <c r="AA19" s="392">
        <v>14.3714</v>
      </c>
      <c r="AB19" s="392">
        <v>1.2312000000000001</v>
      </c>
      <c r="AC19" s="392"/>
      <c r="AD19" s="392"/>
      <c r="AE19" s="392"/>
      <c r="AF19" s="392">
        <v>0.3165</v>
      </c>
      <c r="AG19" s="392">
        <v>6.4981999999999998</v>
      </c>
      <c r="AH19" s="392">
        <v>58.6355</v>
      </c>
      <c r="AI19" s="392">
        <v>17.407</v>
      </c>
      <c r="AJ19" s="392">
        <v>20.454599999999999</v>
      </c>
      <c r="AK19" s="392">
        <v>9.8682999999999996</v>
      </c>
      <c r="AL19" s="392">
        <v>8.5904000000000007</v>
      </c>
      <c r="AM19" s="392"/>
      <c r="AN19" s="392">
        <v>4.4400000000000002E-2</v>
      </c>
      <c r="AO19" s="392">
        <v>1.4905999999999999</v>
      </c>
      <c r="AP19" s="392">
        <v>5.0299999999999997E-2</v>
      </c>
      <c r="AQ19" s="392">
        <v>1.2019</v>
      </c>
      <c r="AR19" s="392">
        <v>0.1166</v>
      </c>
      <c r="AS19" s="392">
        <v>1.9E-2</v>
      </c>
      <c r="AT19" s="392"/>
      <c r="AU19" s="392">
        <v>0.62570000000000003</v>
      </c>
      <c r="AV19" s="392">
        <v>0.20799999999999999</v>
      </c>
      <c r="AW19" s="392">
        <v>2.41E-2</v>
      </c>
      <c r="AX19" s="392">
        <v>0.4924</v>
      </c>
      <c r="AY19" s="392">
        <v>11.2043</v>
      </c>
      <c r="AZ19" s="392">
        <v>1.2003999999999999</v>
      </c>
      <c r="BA19" s="392">
        <v>0.41639999999999999</v>
      </c>
      <c r="BB19" s="392">
        <v>0.40789999999999998</v>
      </c>
      <c r="BC19" s="392">
        <v>1.8869</v>
      </c>
      <c r="BD19" s="392">
        <v>0.30020000000000002</v>
      </c>
      <c r="BE19" s="392">
        <v>6.93E-2</v>
      </c>
      <c r="BF19" s="392"/>
      <c r="BG19" s="392">
        <v>0.182</v>
      </c>
      <c r="BH19" s="392">
        <v>0.43099999999999999</v>
      </c>
      <c r="BI19" s="392">
        <v>1.2512000000000001</v>
      </c>
      <c r="BJ19" s="392">
        <v>0.71409999999999996</v>
      </c>
      <c r="BK19" s="392">
        <v>1.5626</v>
      </c>
      <c r="BL19" s="392">
        <v>0.42249999999999999</v>
      </c>
      <c r="BM19" s="392">
        <v>0.4219</v>
      </c>
      <c r="BN19" s="392">
        <v>0.38779999999999998</v>
      </c>
      <c r="BO19" s="392">
        <v>0.25290000000000001</v>
      </c>
      <c r="BP19" s="392">
        <v>7.2700000000000001E-2</v>
      </c>
      <c r="BQ19" s="392">
        <v>1.0221</v>
      </c>
      <c r="BR19" s="392"/>
      <c r="BS19" s="392">
        <v>343.6447</v>
      </c>
      <c r="BT19" s="393">
        <v>28.013500000000001</v>
      </c>
      <c r="BU19" s="394"/>
      <c r="BV19" s="394"/>
      <c r="BW19" s="395">
        <v>28.013500000000001</v>
      </c>
      <c r="BX19" s="393">
        <v>0.22009999999999999</v>
      </c>
      <c r="BY19" s="394">
        <v>-5.6943999999999999</v>
      </c>
      <c r="BZ19" s="394">
        <v>-5.4743000000000004</v>
      </c>
      <c r="CA19" s="394">
        <v>238.58529999999999</v>
      </c>
      <c r="CB19" s="396">
        <v>261.12450000000001</v>
      </c>
      <c r="CC19" s="397">
        <v>604.76919999999996</v>
      </c>
      <c r="CE19" s="5"/>
    </row>
    <row r="20" spans="1:83" x14ac:dyDescent="0.3">
      <c r="A20" s="7">
        <v>14</v>
      </c>
      <c r="B20" s="150" t="s">
        <v>9</v>
      </c>
      <c r="C20" s="150"/>
      <c r="D20" s="150"/>
      <c r="E20" s="150"/>
      <c r="F20" s="392">
        <v>1.3238000000000001</v>
      </c>
      <c r="G20" s="392">
        <v>0.28939999999999999</v>
      </c>
      <c r="H20" s="392">
        <v>1.54E-2</v>
      </c>
      <c r="I20" s="392"/>
      <c r="J20" s="392">
        <v>5.3151999999999999</v>
      </c>
      <c r="K20" s="392">
        <v>2.07E-2</v>
      </c>
      <c r="L20" s="392">
        <v>10.7834</v>
      </c>
      <c r="M20" s="392"/>
      <c r="N20" s="392">
        <v>0.20979999999999999</v>
      </c>
      <c r="O20" s="392">
        <v>0.25769999999999998</v>
      </c>
      <c r="P20" s="392">
        <v>0.32479999999999998</v>
      </c>
      <c r="Q20" s="392">
        <v>0.4178</v>
      </c>
      <c r="R20" s="392">
        <v>9.6326000000000001</v>
      </c>
      <c r="S20" s="392">
        <v>43.107300000000002</v>
      </c>
      <c r="T20" s="392">
        <v>0.23519999999999999</v>
      </c>
      <c r="U20" s="392">
        <v>4.1738999999999997</v>
      </c>
      <c r="V20" s="392"/>
      <c r="W20" s="392">
        <v>3.8264</v>
      </c>
      <c r="X20" s="392"/>
      <c r="Y20" s="392">
        <v>0.32579999999999998</v>
      </c>
      <c r="Z20" s="392">
        <v>1.0227999999999999</v>
      </c>
      <c r="AA20" s="392">
        <v>1.7071000000000001</v>
      </c>
      <c r="AB20" s="392">
        <v>1.0107999999999999</v>
      </c>
      <c r="AC20" s="392"/>
      <c r="AD20" s="392"/>
      <c r="AE20" s="392"/>
      <c r="AF20" s="392">
        <v>0.44719999999999999</v>
      </c>
      <c r="AG20" s="392">
        <v>6.9699999999999998E-2</v>
      </c>
      <c r="AH20" s="392">
        <v>163.07470000000001</v>
      </c>
      <c r="AI20" s="392">
        <v>4.4051</v>
      </c>
      <c r="AJ20" s="392">
        <v>9.4522999999999993</v>
      </c>
      <c r="AK20" s="392">
        <v>8.5800000000000001E-2</v>
      </c>
      <c r="AL20" s="392">
        <v>0.77149999999999996</v>
      </c>
      <c r="AM20" s="392"/>
      <c r="AN20" s="392">
        <v>5.7000000000000002E-3</v>
      </c>
      <c r="AO20" s="392">
        <v>1.2874000000000001</v>
      </c>
      <c r="AP20" s="392">
        <v>2.3999999999999998E-3</v>
      </c>
      <c r="AQ20" s="392">
        <v>0.99</v>
      </c>
      <c r="AR20" s="392">
        <v>0.2576</v>
      </c>
      <c r="AS20" s="392">
        <v>2.8299999999999999E-2</v>
      </c>
      <c r="AT20" s="392">
        <v>0.1137</v>
      </c>
      <c r="AU20" s="392">
        <v>0.31290000000000001</v>
      </c>
      <c r="AV20" s="392">
        <v>6.9099999999999995E-2</v>
      </c>
      <c r="AW20" s="392"/>
      <c r="AX20" s="392">
        <v>6.3E-3</v>
      </c>
      <c r="AY20" s="392">
        <v>9.0114999999999998</v>
      </c>
      <c r="AZ20" s="392">
        <v>0.71379999999999999</v>
      </c>
      <c r="BA20" s="392"/>
      <c r="BB20" s="392">
        <v>3.6700000000000003E-2</v>
      </c>
      <c r="BC20" s="392">
        <v>0.81040000000000001</v>
      </c>
      <c r="BD20" s="392">
        <v>5.8000000000000003E-2</v>
      </c>
      <c r="BE20" s="392"/>
      <c r="BF20" s="392"/>
      <c r="BG20" s="392"/>
      <c r="BH20" s="392">
        <v>1.0345</v>
      </c>
      <c r="BI20" s="392">
        <v>0.2462</v>
      </c>
      <c r="BJ20" s="392">
        <v>0.2409</v>
      </c>
      <c r="BK20" s="392">
        <v>0.18540000000000001</v>
      </c>
      <c r="BL20" s="392">
        <v>0.1681</v>
      </c>
      <c r="BM20" s="392">
        <v>0.13189999999999999</v>
      </c>
      <c r="BN20" s="392">
        <v>0.14680000000000001</v>
      </c>
      <c r="BO20" s="392">
        <v>0.21310000000000001</v>
      </c>
      <c r="BP20" s="392">
        <v>1.29E-2</v>
      </c>
      <c r="BQ20" s="392">
        <v>7.7000000000000002E-3</v>
      </c>
      <c r="BR20" s="392"/>
      <c r="BS20" s="392">
        <v>278.39749999999998</v>
      </c>
      <c r="BT20" s="393">
        <v>17.495200000000001</v>
      </c>
      <c r="BU20" s="394"/>
      <c r="BV20" s="394"/>
      <c r="BW20" s="395">
        <v>17.495200000000001</v>
      </c>
      <c r="BX20" s="393">
        <v>0.44600000000000001</v>
      </c>
      <c r="BY20" s="394">
        <v>-16.335699999999999</v>
      </c>
      <c r="BZ20" s="394">
        <v>-15.889699999999999</v>
      </c>
      <c r="CA20" s="394">
        <v>139.92619999999999</v>
      </c>
      <c r="CB20" s="396">
        <v>141.5317</v>
      </c>
      <c r="CC20" s="397">
        <v>419.92919999999998</v>
      </c>
      <c r="CE20" s="5"/>
    </row>
    <row r="21" spans="1:83" x14ac:dyDescent="0.3">
      <c r="A21" s="7">
        <v>15</v>
      </c>
      <c r="B21" s="150" t="s">
        <v>10</v>
      </c>
      <c r="C21" s="150"/>
      <c r="D21" s="150"/>
      <c r="E21" s="150"/>
      <c r="F21" s="392">
        <v>0.37219999999999998</v>
      </c>
      <c r="G21" s="392">
        <v>0.4259</v>
      </c>
      <c r="H21" s="392"/>
      <c r="I21" s="392"/>
      <c r="J21" s="392">
        <v>0.1177</v>
      </c>
      <c r="K21" s="392">
        <v>0.30869999999999997</v>
      </c>
      <c r="L21" s="392">
        <v>1.2081</v>
      </c>
      <c r="M21" s="392">
        <v>0.47360000000000002</v>
      </c>
      <c r="N21" s="392">
        <v>2.0072000000000001</v>
      </c>
      <c r="O21" s="392">
        <v>0.30380000000000001</v>
      </c>
      <c r="P21" s="392"/>
      <c r="Q21" s="392">
        <v>7.0800000000000002E-2</v>
      </c>
      <c r="R21" s="392"/>
      <c r="S21" s="392">
        <v>2.9699</v>
      </c>
      <c r="T21" s="392">
        <v>27.363299999999999</v>
      </c>
      <c r="U21" s="392">
        <v>294.46820000000002</v>
      </c>
      <c r="V21" s="392"/>
      <c r="W21" s="392">
        <v>39.255600000000001</v>
      </c>
      <c r="X21" s="392">
        <v>43.058799999999998</v>
      </c>
      <c r="Y21" s="392">
        <v>13.2875</v>
      </c>
      <c r="Z21" s="392">
        <v>0.43269999999999997</v>
      </c>
      <c r="AA21" s="392">
        <v>11.5374</v>
      </c>
      <c r="AB21" s="392">
        <v>12.6252</v>
      </c>
      <c r="AC21" s="392"/>
      <c r="AD21" s="392"/>
      <c r="AE21" s="392"/>
      <c r="AF21" s="392">
        <v>0.78359999999999996</v>
      </c>
      <c r="AG21" s="392">
        <v>6.9829999999999997</v>
      </c>
      <c r="AH21" s="392">
        <v>22.587499999999999</v>
      </c>
      <c r="AI21" s="392">
        <v>0.15759999999999999</v>
      </c>
      <c r="AJ21" s="392"/>
      <c r="AK21" s="392"/>
      <c r="AL21" s="392">
        <v>0.84360000000000002</v>
      </c>
      <c r="AM21" s="392"/>
      <c r="AN21" s="392">
        <v>0.14860000000000001</v>
      </c>
      <c r="AO21" s="392">
        <v>1.5232000000000001</v>
      </c>
      <c r="AP21" s="392"/>
      <c r="AQ21" s="392"/>
      <c r="AR21" s="392">
        <v>8.0000000000000004E-4</v>
      </c>
      <c r="AS21" s="392">
        <v>0.2046</v>
      </c>
      <c r="AT21" s="392"/>
      <c r="AU21" s="392"/>
      <c r="AV21" s="392">
        <v>0.2409</v>
      </c>
      <c r="AW21" s="392"/>
      <c r="AX21" s="392">
        <v>0.92610000000000003</v>
      </c>
      <c r="AY21" s="392">
        <v>5.2431000000000001</v>
      </c>
      <c r="AZ21" s="392"/>
      <c r="BA21" s="392">
        <v>1.3190999999999999</v>
      </c>
      <c r="BB21" s="392"/>
      <c r="BC21" s="392">
        <v>0.61460000000000004</v>
      </c>
      <c r="BD21" s="392">
        <v>3.0300000000000001E-2</v>
      </c>
      <c r="BE21" s="392">
        <v>0.40479999999999999</v>
      </c>
      <c r="BF21" s="392"/>
      <c r="BG21" s="392"/>
      <c r="BH21" s="392">
        <v>7.1800000000000003E-2</v>
      </c>
      <c r="BI21" s="392">
        <v>0.22059999999999999</v>
      </c>
      <c r="BJ21" s="392">
        <v>6.9999999999999999E-4</v>
      </c>
      <c r="BK21" s="392"/>
      <c r="BL21" s="392"/>
      <c r="BM21" s="392">
        <v>9.5000000000000001E-2</v>
      </c>
      <c r="BN21" s="392">
        <v>0.17269999999999999</v>
      </c>
      <c r="BO21" s="392"/>
      <c r="BP21" s="392">
        <v>0.40260000000000001</v>
      </c>
      <c r="BQ21" s="392"/>
      <c r="BR21" s="392"/>
      <c r="BS21" s="392">
        <v>493.26139999999998</v>
      </c>
      <c r="BT21" s="393"/>
      <c r="BU21" s="394"/>
      <c r="BV21" s="394"/>
      <c r="BW21" s="395"/>
      <c r="BX21" s="393"/>
      <c r="BY21" s="394">
        <v>0.10050000000000001</v>
      </c>
      <c r="BZ21" s="394">
        <v>0.10050000000000001</v>
      </c>
      <c r="CA21" s="394">
        <v>153.22790000000001</v>
      </c>
      <c r="CB21" s="396">
        <v>153.32839999999999</v>
      </c>
      <c r="CC21" s="397">
        <v>646.58979999999997</v>
      </c>
      <c r="CE21" s="5"/>
    </row>
    <row r="22" spans="1:83" x14ac:dyDescent="0.3">
      <c r="A22" s="7">
        <v>16</v>
      </c>
      <c r="B22" s="150" t="s">
        <v>127</v>
      </c>
      <c r="C22" s="150"/>
      <c r="D22" s="150"/>
      <c r="E22" s="150"/>
      <c r="F22" s="392">
        <v>4.0086000000000004</v>
      </c>
      <c r="G22" s="392">
        <v>6.1704999999999997</v>
      </c>
      <c r="H22" s="392">
        <v>0.44569999999999999</v>
      </c>
      <c r="I22" s="392">
        <v>5.4733000000000001</v>
      </c>
      <c r="J22" s="392">
        <v>22.8477</v>
      </c>
      <c r="K22" s="392">
        <v>4.5833000000000004</v>
      </c>
      <c r="L22" s="392">
        <v>15.7271</v>
      </c>
      <c r="M22" s="392">
        <v>1.7581</v>
      </c>
      <c r="N22" s="392">
        <v>2.4163999999999999</v>
      </c>
      <c r="O22" s="392">
        <v>2.9676</v>
      </c>
      <c r="P22" s="392">
        <v>6.9686000000000003</v>
      </c>
      <c r="Q22" s="392">
        <v>0.80640000000000001</v>
      </c>
      <c r="R22" s="392">
        <v>5.5533000000000001</v>
      </c>
      <c r="S22" s="392">
        <v>11.447699999999999</v>
      </c>
      <c r="T22" s="392">
        <v>0.1847</v>
      </c>
      <c r="U22" s="392">
        <v>146.0565</v>
      </c>
      <c r="V22" s="392">
        <v>10.441599999999999</v>
      </c>
      <c r="W22" s="392">
        <v>39.128500000000003</v>
      </c>
      <c r="X22" s="392">
        <v>37.480200000000004</v>
      </c>
      <c r="Y22" s="392">
        <v>12.860300000000001</v>
      </c>
      <c r="Z22" s="392">
        <v>4.6288999999999998</v>
      </c>
      <c r="AA22" s="392">
        <v>18.032499999999999</v>
      </c>
      <c r="AB22" s="392">
        <v>13.5732</v>
      </c>
      <c r="AC22" s="392">
        <v>8.7006999999999994</v>
      </c>
      <c r="AD22" s="392"/>
      <c r="AE22" s="392"/>
      <c r="AF22" s="392"/>
      <c r="AG22" s="392">
        <v>4.0099</v>
      </c>
      <c r="AH22" s="392">
        <v>125.6816</v>
      </c>
      <c r="AI22" s="392">
        <v>5.1509</v>
      </c>
      <c r="AJ22" s="392">
        <v>10.737500000000001</v>
      </c>
      <c r="AK22" s="392">
        <v>0.23699999999999999</v>
      </c>
      <c r="AL22" s="392">
        <v>1.5697000000000001</v>
      </c>
      <c r="AM22" s="392"/>
      <c r="AN22" s="392">
        <v>7.3099999999999998E-2</v>
      </c>
      <c r="AO22" s="392">
        <v>13.4937</v>
      </c>
      <c r="AP22" s="392">
        <v>3.4099999999999998E-2</v>
      </c>
      <c r="AQ22" s="392">
        <v>0.2031</v>
      </c>
      <c r="AR22" s="392">
        <v>6.2100000000000002E-2</v>
      </c>
      <c r="AS22" s="392">
        <v>4.5999999999999999E-3</v>
      </c>
      <c r="AT22" s="392"/>
      <c r="AU22" s="392">
        <v>0.24590000000000001</v>
      </c>
      <c r="AV22" s="392">
        <v>0.27989999999999998</v>
      </c>
      <c r="AW22" s="392"/>
      <c r="AX22" s="392">
        <v>0.17380000000000001</v>
      </c>
      <c r="AY22" s="392">
        <v>12.7585</v>
      </c>
      <c r="AZ22" s="392"/>
      <c r="BA22" s="392">
        <v>3.0230999999999999</v>
      </c>
      <c r="BB22" s="392">
        <v>4.41E-2</v>
      </c>
      <c r="BC22" s="392">
        <v>1.575</v>
      </c>
      <c r="BD22" s="392">
        <v>0.33260000000000001</v>
      </c>
      <c r="BE22" s="392">
        <v>7.8287000000000004</v>
      </c>
      <c r="BF22" s="392"/>
      <c r="BG22" s="392"/>
      <c r="BH22" s="392">
        <v>2.3405999999999998</v>
      </c>
      <c r="BI22" s="392">
        <v>35.911499999999997</v>
      </c>
      <c r="BJ22" s="392">
        <v>1.0330999999999999</v>
      </c>
      <c r="BK22" s="392">
        <v>0.30980000000000002</v>
      </c>
      <c r="BL22" s="392">
        <v>3.5000000000000001E-3</v>
      </c>
      <c r="BM22" s="392">
        <v>0.3931</v>
      </c>
      <c r="BN22" s="392">
        <v>0.61829999999999996</v>
      </c>
      <c r="BO22" s="392">
        <v>6.0600000000000001E-2</v>
      </c>
      <c r="BP22" s="392">
        <v>0.37040000000000001</v>
      </c>
      <c r="BQ22" s="392">
        <v>9.9099999999999994E-2</v>
      </c>
      <c r="BR22" s="392"/>
      <c r="BS22" s="392">
        <v>610.9203</v>
      </c>
      <c r="BT22" s="393">
        <v>14.220599999999999</v>
      </c>
      <c r="BU22" s="394"/>
      <c r="BV22" s="394"/>
      <c r="BW22" s="395">
        <v>14.220599999999999</v>
      </c>
      <c r="BX22" s="393">
        <v>23.4574</v>
      </c>
      <c r="BY22" s="394">
        <v>48.576099999999997</v>
      </c>
      <c r="BZ22" s="394">
        <v>72.033500000000004</v>
      </c>
      <c r="CA22" s="394">
        <v>480.44069999999999</v>
      </c>
      <c r="CB22" s="396">
        <v>566.69479999999999</v>
      </c>
      <c r="CC22" s="397">
        <v>1177.6151</v>
      </c>
      <c r="CE22" s="5"/>
    </row>
    <row r="23" spans="1:83" x14ac:dyDescent="0.3">
      <c r="A23" s="7">
        <v>17</v>
      </c>
      <c r="B23" s="150" t="s">
        <v>128</v>
      </c>
      <c r="C23" s="150"/>
      <c r="D23" s="150"/>
      <c r="E23" s="150"/>
      <c r="F23" s="392">
        <v>0.47560000000000002</v>
      </c>
      <c r="G23" s="392">
        <v>0.27960000000000002</v>
      </c>
      <c r="H23" s="392">
        <v>0.2346</v>
      </c>
      <c r="I23" s="392">
        <v>4.4400000000000002E-2</v>
      </c>
      <c r="J23" s="392">
        <v>6.0499999999999998E-2</v>
      </c>
      <c r="K23" s="392">
        <v>0.63129999999999997</v>
      </c>
      <c r="L23" s="392">
        <v>0.1275</v>
      </c>
      <c r="M23" s="392">
        <v>0.19089999999999999</v>
      </c>
      <c r="N23" s="392">
        <v>2.1154999999999999</v>
      </c>
      <c r="O23" s="392">
        <v>0.19309999999999999</v>
      </c>
      <c r="P23" s="392">
        <v>3.8100000000000002E-2</v>
      </c>
      <c r="Q23" s="392"/>
      <c r="R23" s="392">
        <v>0.29799999999999999</v>
      </c>
      <c r="S23" s="392">
        <v>0.28050000000000003</v>
      </c>
      <c r="T23" s="392"/>
      <c r="U23" s="392"/>
      <c r="V23" s="392">
        <v>499.76960000000003</v>
      </c>
      <c r="W23" s="392">
        <v>14.2042</v>
      </c>
      <c r="X23" s="392">
        <v>1.6813</v>
      </c>
      <c r="Y23" s="392">
        <v>6.0731000000000002</v>
      </c>
      <c r="Z23" s="392">
        <v>0.34949999999999998</v>
      </c>
      <c r="AA23" s="392">
        <v>0.91720000000000002</v>
      </c>
      <c r="AB23" s="392">
        <v>0.73450000000000004</v>
      </c>
      <c r="AC23" s="392">
        <v>0.36520000000000002</v>
      </c>
      <c r="AD23" s="392">
        <v>1E-3</v>
      </c>
      <c r="AE23" s="392"/>
      <c r="AF23" s="392">
        <v>2.98E-2</v>
      </c>
      <c r="AG23" s="392"/>
      <c r="AH23" s="392">
        <v>8.1659000000000006</v>
      </c>
      <c r="AI23" s="392">
        <v>3.8342999999999998</v>
      </c>
      <c r="AJ23" s="392">
        <v>4.1886999999999999</v>
      </c>
      <c r="AK23" s="392">
        <v>1.6241000000000001</v>
      </c>
      <c r="AL23" s="392"/>
      <c r="AM23" s="392"/>
      <c r="AN23" s="392">
        <v>2.1600000000000001E-2</v>
      </c>
      <c r="AO23" s="392">
        <v>1.2396</v>
      </c>
      <c r="AP23" s="392">
        <v>0.17299999999999999</v>
      </c>
      <c r="AQ23" s="392">
        <v>0.51049999999999995</v>
      </c>
      <c r="AR23" s="392">
        <v>0.24929999999999999</v>
      </c>
      <c r="AS23" s="392">
        <v>0.7026</v>
      </c>
      <c r="AT23" s="392">
        <v>17.348600000000001</v>
      </c>
      <c r="AU23" s="392">
        <v>2.9203999999999999</v>
      </c>
      <c r="AV23" s="392">
        <v>1.8452</v>
      </c>
      <c r="AW23" s="392">
        <v>3.0300000000000001E-2</v>
      </c>
      <c r="AX23" s="392">
        <v>0.14879999999999999</v>
      </c>
      <c r="AY23" s="392">
        <v>1.5571999999999999</v>
      </c>
      <c r="AZ23" s="392">
        <v>1.1102000000000001</v>
      </c>
      <c r="BA23" s="392">
        <v>1.0840000000000001</v>
      </c>
      <c r="BB23" s="392">
        <v>0.62029999999999996</v>
      </c>
      <c r="BC23" s="392">
        <v>0.6603</v>
      </c>
      <c r="BD23" s="392">
        <v>1.5250999999999999</v>
      </c>
      <c r="BE23" s="392">
        <v>0.43459999999999999</v>
      </c>
      <c r="BF23" s="392">
        <v>3.2300000000000002E-2</v>
      </c>
      <c r="BG23" s="392">
        <v>0.50839999999999996</v>
      </c>
      <c r="BH23" s="392">
        <v>4.8414999999999999</v>
      </c>
      <c r="BI23" s="392">
        <v>3.4306000000000001</v>
      </c>
      <c r="BJ23" s="392">
        <v>2.0284</v>
      </c>
      <c r="BK23" s="392">
        <v>3.8778000000000001</v>
      </c>
      <c r="BL23" s="392">
        <v>0.1699</v>
      </c>
      <c r="BM23" s="392">
        <v>0.84179999999999999</v>
      </c>
      <c r="BN23" s="392">
        <v>6.4799999999999996E-2</v>
      </c>
      <c r="BO23" s="392">
        <v>0.32979999999999998</v>
      </c>
      <c r="BP23" s="392">
        <v>4.1699000000000002</v>
      </c>
      <c r="BQ23" s="392">
        <v>0.27360000000000001</v>
      </c>
      <c r="BR23" s="392"/>
      <c r="BS23" s="392">
        <v>599.65840000000003</v>
      </c>
      <c r="BT23" s="393">
        <v>56.828000000000003</v>
      </c>
      <c r="BU23" s="394"/>
      <c r="BV23" s="394"/>
      <c r="BW23" s="395">
        <v>56.828000000000003</v>
      </c>
      <c r="BX23" s="393">
        <v>191.08320000000001</v>
      </c>
      <c r="BY23" s="394">
        <v>111.0822</v>
      </c>
      <c r="BZ23" s="394">
        <v>302.16539999999998</v>
      </c>
      <c r="CA23" s="394">
        <v>837.98170000000005</v>
      </c>
      <c r="CB23" s="396">
        <v>1196.9751000000001</v>
      </c>
      <c r="CC23" s="397">
        <v>1796.6334999999999</v>
      </c>
      <c r="CE23" s="5"/>
    </row>
    <row r="24" spans="1:83" x14ac:dyDescent="0.3">
      <c r="A24" s="7">
        <v>18</v>
      </c>
      <c r="B24" s="150" t="s">
        <v>129</v>
      </c>
      <c r="C24" s="150"/>
      <c r="D24" s="150"/>
      <c r="E24" s="150"/>
      <c r="F24" s="392">
        <v>0.89700000000000002</v>
      </c>
      <c r="G24" s="392">
        <v>0.94689999999999996</v>
      </c>
      <c r="H24" s="392">
        <v>0.15210000000000001</v>
      </c>
      <c r="I24" s="392">
        <v>1.1527000000000001</v>
      </c>
      <c r="J24" s="392"/>
      <c r="K24" s="392">
        <v>0.57279999999999998</v>
      </c>
      <c r="L24" s="392">
        <v>0.2354</v>
      </c>
      <c r="M24" s="392">
        <v>8.5000000000000006E-3</v>
      </c>
      <c r="N24" s="392">
        <v>4.65E-2</v>
      </c>
      <c r="O24" s="392">
        <v>0.15579999999999999</v>
      </c>
      <c r="P24" s="392"/>
      <c r="Q24" s="392"/>
      <c r="R24" s="392">
        <v>1.1051</v>
      </c>
      <c r="S24" s="392"/>
      <c r="T24" s="392">
        <v>0.27100000000000002</v>
      </c>
      <c r="U24" s="392">
        <v>1.2055</v>
      </c>
      <c r="V24" s="392">
        <v>103.1125</v>
      </c>
      <c r="W24" s="392">
        <v>200.37819999999999</v>
      </c>
      <c r="X24" s="392">
        <v>0.4551</v>
      </c>
      <c r="Y24" s="392">
        <v>24.762599999999999</v>
      </c>
      <c r="Z24" s="392">
        <v>0.31440000000000001</v>
      </c>
      <c r="AA24" s="392">
        <v>2.3582999999999998</v>
      </c>
      <c r="AB24" s="392">
        <v>3.1347</v>
      </c>
      <c r="AC24" s="392">
        <v>15.1602</v>
      </c>
      <c r="AD24" s="392"/>
      <c r="AE24" s="392"/>
      <c r="AF24" s="392"/>
      <c r="AG24" s="392"/>
      <c r="AH24" s="392">
        <v>32.092599999999997</v>
      </c>
      <c r="AI24" s="392">
        <v>8.3132999999999999</v>
      </c>
      <c r="AJ24" s="392">
        <v>14.3118</v>
      </c>
      <c r="AK24" s="392"/>
      <c r="AL24" s="392">
        <v>1.1745000000000001</v>
      </c>
      <c r="AM24" s="392"/>
      <c r="AN24" s="392">
        <v>1.38E-2</v>
      </c>
      <c r="AO24" s="392">
        <v>3.9138000000000002</v>
      </c>
      <c r="AP24" s="392">
        <v>0.252</v>
      </c>
      <c r="AQ24" s="392">
        <v>0.53920000000000001</v>
      </c>
      <c r="AR24" s="392"/>
      <c r="AS24" s="392">
        <v>5.0700000000000002E-2</v>
      </c>
      <c r="AT24" s="392">
        <v>0.72330000000000005</v>
      </c>
      <c r="AU24" s="392">
        <v>0.3795</v>
      </c>
      <c r="AV24" s="392">
        <v>0.42070000000000002</v>
      </c>
      <c r="AW24" s="392">
        <v>2.6700000000000002E-2</v>
      </c>
      <c r="AX24" s="392">
        <v>7.1000000000000004E-3</v>
      </c>
      <c r="AY24" s="392">
        <v>7.8381999999999996</v>
      </c>
      <c r="AZ24" s="392">
        <v>1.1455</v>
      </c>
      <c r="BA24" s="392">
        <v>1.07</v>
      </c>
      <c r="BB24" s="392">
        <v>0.20710000000000001</v>
      </c>
      <c r="BC24" s="392">
        <v>1.1508</v>
      </c>
      <c r="BD24" s="392">
        <v>0.6925</v>
      </c>
      <c r="BE24" s="392">
        <v>3.4218000000000002</v>
      </c>
      <c r="BF24" s="392">
        <v>0.06</v>
      </c>
      <c r="BG24" s="392">
        <v>0.1181</v>
      </c>
      <c r="BH24" s="392">
        <v>2.5737999999999999</v>
      </c>
      <c r="BI24" s="392">
        <v>0.434</v>
      </c>
      <c r="BJ24" s="392">
        <v>0.97150000000000003</v>
      </c>
      <c r="BK24" s="392">
        <v>0.36730000000000002</v>
      </c>
      <c r="BL24" s="392">
        <v>0.19350000000000001</v>
      </c>
      <c r="BM24" s="392">
        <v>0.25169999999999998</v>
      </c>
      <c r="BN24" s="392">
        <v>6.8199999999999997E-2</v>
      </c>
      <c r="BO24" s="392">
        <v>0.24690000000000001</v>
      </c>
      <c r="BP24" s="392">
        <v>0.97019999999999995</v>
      </c>
      <c r="BQ24" s="392">
        <v>1.7325999999999999</v>
      </c>
      <c r="BR24" s="392"/>
      <c r="BS24" s="392">
        <v>442.15800000000002</v>
      </c>
      <c r="BT24" s="393">
        <v>43.134700000000002</v>
      </c>
      <c r="BU24" s="394"/>
      <c r="BV24" s="394"/>
      <c r="BW24" s="395">
        <v>43.134700000000002</v>
      </c>
      <c r="BX24" s="393">
        <v>57.5593</v>
      </c>
      <c r="BY24" s="394">
        <v>-86.8459</v>
      </c>
      <c r="BZ24" s="394">
        <v>-29.2866</v>
      </c>
      <c r="CA24" s="394">
        <v>659.92579999999998</v>
      </c>
      <c r="CB24" s="396">
        <v>673.77390000000003</v>
      </c>
      <c r="CC24" s="397">
        <v>1115.9319</v>
      </c>
      <c r="CE24" s="5"/>
    </row>
    <row r="25" spans="1:83" x14ac:dyDescent="0.3">
      <c r="A25" s="7">
        <v>19</v>
      </c>
      <c r="B25" s="150" t="s">
        <v>130</v>
      </c>
      <c r="C25" s="150"/>
      <c r="D25" s="150"/>
      <c r="E25" s="150"/>
      <c r="F25" s="392">
        <v>12.457000000000001</v>
      </c>
      <c r="G25" s="392">
        <v>8.8231999999999999</v>
      </c>
      <c r="H25" s="392">
        <v>6.7400000000000002E-2</v>
      </c>
      <c r="I25" s="392">
        <v>12.146599999999999</v>
      </c>
      <c r="J25" s="392">
        <v>8.0428999999999995</v>
      </c>
      <c r="K25" s="392">
        <v>1.9882</v>
      </c>
      <c r="L25" s="392">
        <v>12.008699999999999</v>
      </c>
      <c r="M25" s="392">
        <v>1.6435</v>
      </c>
      <c r="N25" s="392">
        <v>1.6412</v>
      </c>
      <c r="O25" s="392">
        <v>1.8565</v>
      </c>
      <c r="P25" s="392">
        <v>2.5760000000000001</v>
      </c>
      <c r="Q25" s="392">
        <v>5.6000000000000001E-2</v>
      </c>
      <c r="R25" s="392">
        <v>2.5127000000000002</v>
      </c>
      <c r="S25" s="392">
        <v>5.0122</v>
      </c>
      <c r="T25" s="392">
        <v>0.39660000000000001</v>
      </c>
      <c r="U25" s="392">
        <v>3.5360999999999998</v>
      </c>
      <c r="V25" s="392">
        <v>3.6798999999999999</v>
      </c>
      <c r="W25" s="392">
        <v>11.5678</v>
      </c>
      <c r="X25" s="392">
        <v>34.223700000000001</v>
      </c>
      <c r="Y25" s="392">
        <v>3.3136999999999999</v>
      </c>
      <c r="Z25" s="392">
        <v>3.0535999999999999</v>
      </c>
      <c r="AA25" s="392">
        <v>2.2719999999999998</v>
      </c>
      <c r="AB25" s="392">
        <v>17.4345</v>
      </c>
      <c r="AC25" s="392">
        <v>7.1307999999999998</v>
      </c>
      <c r="AD25" s="392">
        <v>0.49630000000000002</v>
      </c>
      <c r="AE25" s="392">
        <v>2.1758999999999999</v>
      </c>
      <c r="AF25" s="392">
        <v>1.0561</v>
      </c>
      <c r="AG25" s="392">
        <v>2.1366000000000001</v>
      </c>
      <c r="AH25" s="392">
        <v>10.779</v>
      </c>
      <c r="AI25" s="392">
        <v>11.1473</v>
      </c>
      <c r="AJ25" s="392">
        <v>18.577100000000002</v>
      </c>
      <c r="AK25" s="392">
        <v>1.7012</v>
      </c>
      <c r="AL25" s="392">
        <v>2.1903999999999999</v>
      </c>
      <c r="AM25" s="392"/>
      <c r="AN25" s="392">
        <v>9.4000000000000004E-3</v>
      </c>
      <c r="AO25" s="392">
        <v>7.3522999999999996</v>
      </c>
      <c r="AP25" s="392">
        <v>0.41189999999999999</v>
      </c>
      <c r="AQ25" s="392">
        <v>0.38890000000000002</v>
      </c>
      <c r="AR25" s="392">
        <v>4.9299999999999997E-2</v>
      </c>
      <c r="AS25" s="392">
        <v>2.8199999999999999E-2</v>
      </c>
      <c r="AT25" s="392">
        <v>1.6999999999999999E-3</v>
      </c>
      <c r="AU25" s="392">
        <v>0.6734</v>
      </c>
      <c r="AV25" s="392">
        <v>1.0309999999999999</v>
      </c>
      <c r="AW25" s="392">
        <v>3.73E-2</v>
      </c>
      <c r="AX25" s="392">
        <v>0.36399999999999999</v>
      </c>
      <c r="AY25" s="392">
        <v>3.6074999999999999</v>
      </c>
      <c r="AZ25" s="392">
        <v>0.28370000000000001</v>
      </c>
      <c r="BA25" s="392">
        <v>4.1814999999999998</v>
      </c>
      <c r="BB25" s="392">
        <v>0.20219999999999999</v>
      </c>
      <c r="BC25" s="392">
        <v>0.15939999999999999</v>
      </c>
      <c r="BD25" s="392">
        <v>0.13950000000000001</v>
      </c>
      <c r="BE25" s="392">
        <v>2.5232999999999999</v>
      </c>
      <c r="BF25" s="392">
        <v>5.7000000000000002E-2</v>
      </c>
      <c r="BG25" s="392">
        <v>2.7199999999999998E-2</v>
      </c>
      <c r="BH25" s="392">
        <v>2.1246</v>
      </c>
      <c r="BI25" s="392">
        <v>0.14460000000000001</v>
      </c>
      <c r="BJ25" s="392">
        <v>0.7087</v>
      </c>
      <c r="BK25" s="392"/>
      <c r="BL25" s="392">
        <v>1.5699999999999999E-2</v>
      </c>
      <c r="BM25" s="392">
        <v>0.30059999999999998</v>
      </c>
      <c r="BN25" s="392">
        <v>0.26919999999999999</v>
      </c>
      <c r="BO25" s="392"/>
      <c r="BP25" s="392">
        <v>0.7591</v>
      </c>
      <c r="BQ25" s="392">
        <v>0.43490000000000001</v>
      </c>
      <c r="BR25" s="392"/>
      <c r="BS25" s="392">
        <v>233.98679999999999</v>
      </c>
      <c r="BT25" s="393">
        <v>3.1960999999999999</v>
      </c>
      <c r="BU25" s="394"/>
      <c r="BV25" s="394"/>
      <c r="BW25" s="395">
        <v>3.1960999999999999</v>
      </c>
      <c r="BX25" s="393">
        <v>243.73349999999999</v>
      </c>
      <c r="BY25" s="394">
        <v>-19.564299999999999</v>
      </c>
      <c r="BZ25" s="394">
        <v>224.16919999999999</v>
      </c>
      <c r="CA25" s="394">
        <v>377.77339999999998</v>
      </c>
      <c r="CB25" s="396">
        <v>605.13869999999997</v>
      </c>
      <c r="CC25" s="397">
        <v>839.12549999999999</v>
      </c>
      <c r="CE25" s="5"/>
    </row>
    <row r="26" spans="1:83" x14ac:dyDescent="0.3">
      <c r="A26" s="7">
        <v>20</v>
      </c>
      <c r="B26" s="150" t="s">
        <v>131</v>
      </c>
      <c r="C26" s="150"/>
      <c r="D26" s="150"/>
      <c r="E26" s="150"/>
      <c r="F26" s="392">
        <v>1.2918000000000001</v>
      </c>
      <c r="G26" s="392">
        <v>2.2305999999999999</v>
      </c>
      <c r="H26" s="392">
        <v>3.7600000000000001E-2</v>
      </c>
      <c r="I26" s="392">
        <v>2.7429000000000001</v>
      </c>
      <c r="J26" s="392">
        <v>0.59130000000000005</v>
      </c>
      <c r="K26" s="392">
        <v>0.1244</v>
      </c>
      <c r="L26" s="392">
        <v>0.4108</v>
      </c>
      <c r="M26" s="392">
        <v>4.0500000000000001E-2</v>
      </c>
      <c r="N26" s="392"/>
      <c r="O26" s="392">
        <v>0.1116</v>
      </c>
      <c r="P26" s="392">
        <v>1.7299999999999999E-2</v>
      </c>
      <c r="Q26" s="392"/>
      <c r="R26" s="392">
        <v>1.6267</v>
      </c>
      <c r="S26" s="392">
        <v>1.3942000000000001</v>
      </c>
      <c r="T26" s="392">
        <v>8.5300000000000001E-2</v>
      </c>
      <c r="U26" s="392">
        <v>0.16209999999999999</v>
      </c>
      <c r="V26" s="392">
        <v>1.0317000000000001</v>
      </c>
      <c r="W26" s="392"/>
      <c r="X26" s="392">
        <v>2.6526999999999998</v>
      </c>
      <c r="Y26" s="392">
        <v>60.378</v>
      </c>
      <c r="Z26" s="392">
        <v>0.9627</v>
      </c>
      <c r="AA26" s="392">
        <v>0.37480000000000002</v>
      </c>
      <c r="AB26" s="392">
        <v>0.30270000000000002</v>
      </c>
      <c r="AC26" s="392"/>
      <c r="AD26" s="392"/>
      <c r="AE26" s="392"/>
      <c r="AF26" s="392"/>
      <c r="AG26" s="392">
        <v>0.27760000000000001</v>
      </c>
      <c r="AH26" s="392">
        <v>3.3184999999999998</v>
      </c>
      <c r="AI26" s="392">
        <v>41.974299999999999</v>
      </c>
      <c r="AJ26" s="392">
        <v>4.4538000000000002</v>
      </c>
      <c r="AK26" s="392">
        <v>1.17E-2</v>
      </c>
      <c r="AL26" s="392">
        <v>43.363599999999998</v>
      </c>
      <c r="AM26" s="392"/>
      <c r="AN26" s="392">
        <v>1.8E-3</v>
      </c>
      <c r="AO26" s="392">
        <v>0.85329999999999995</v>
      </c>
      <c r="AP26" s="392">
        <v>0.13780000000000001</v>
      </c>
      <c r="AQ26" s="392"/>
      <c r="AR26" s="392">
        <v>0.15129999999999999</v>
      </c>
      <c r="AS26" s="392">
        <v>0.1137</v>
      </c>
      <c r="AT26" s="392">
        <v>2.6200000000000001E-2</v>
      </c>
      <c r="AU26" s="392"/>
      <c r="AV26" s="392">
        <v>0.23599999999999999</v>
      </c>
      <c r="AW26" s="392"/>
      <c r="AX26" s="392">
        <v>0.21759999999999999</v>
      </c>
      <c r="AY26" s="392">
        <v>0.35870000000000002</v>
      </c>
      <c r="AZ26" s="392"/>
      <c r="BA26" s="392">
        <v>0.27550000000000002</v>
      </c>
      <c r="BB26" s="392">
        <v>2.5000000000000001E-2</v>
      </c>
      <c r="BC26" s="392">
        <v>3.8999999999999998E-3</v>
      </c>
      <c r="BD26" s="392">
        <v>1.43E-2</v>
      </c>
      <c r="BE26" s="392">
        <v>6.3860000000000001</v>
      </c>
      <c r="BF26" s="392">
        <v>7.0000000000000001E-3</v>
      </c>
      <c r="BG26" s="392"/>
      <c r="BH26" s="392">
        <v>4.2700000000000002E-2</v>
      </c>
      <c r="BI26" s="392">
        <v>2.3892000000000002</v>
      </c>
      <c r="BJ26" s="392">
        <v>0.26569999999999999</v>
      </c>
      <c r="BK26" s="392">
        <v>0.15049999999999999</v>
      </c>
      <c r="BL26" s="392">
        <v>4.65E-2</v>
      </c>
      <c r="BM26" s="392">
        <v>6.8000000000000005E-2</v>
      </c>
      <c r="BN26" s="392">
        <v>0.22770000000000001</v>
      </c>
      <c r="BO26" s="392"/>
      <c r="BP26" s="392">
        <v>5.3E-3</v>
      </c>
      <c r="BQ26" s="392">
        <v>4.1000000000000003E-3</v>
      </c>
      <c r="BR26" s="392"/>
      <c r="BS26" s="392">
        <v>181.977</v>
      </c>
      <c r="BT26" s="393">
        <v>99.016499999999994</v>
      </c>
      <c r="BU26" s="394"/>
      <c r="BV26" s="394"/>
      <c r="BW26" s="395">
        <v>99.016499999999994</v>
      </c>
      <c r="BX26" s="393">
        <v>205.48650000000001</v>
      </c>
      <c r="BY26" s="394">
        <v>-94.049300000000002</v>
      </c>
      <c r="BZ26" s="394">
        <v>111.4372</v>
      </c>
      <c r="CA26" s="394">
        <v>440.06279999999998</v>
      </c>
      <c r="CB26" s="396">
        <v>650.51649999999995</v>
      </c>
      <c r="CC26" s="397">
        <v>832.49350000000004</v>
      </c>
      <c r="CE26" s="5"/>
    </row>
    <row r="27" spans="1:83" x14ac:dyDescent="0.3">
      <c r="A27" s="7">
        <v>21</v>
      </c>
      <c r="B27" s="150" t="s">
        <v>11</v>
      </c>
      <c r="C27" s="150"/>
      <c r="D27" s="150"/>
      <c r="E27" s="150"/>
      <c r="F27" s="392"/>
      <c r="G27" s="392"/>
      <c r="H27" s="392">
        <v>1.47E-2</v>
      </c>
      <c r="I27" s="392"/>
      <c r="J27" s="392">
        <v>6.7000000000000002E-3</v>
      </c>
      <c r="K27" s="392">
        <v>4.7800000000000002E-2</v>
      </c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>
        <v>0.16950000000000001</v>
      </c>
      <c r="W27" s="392"/>
      <c r="X27" s="392"/>
      <c r="Y27" s="392">
        <v>4.5999999999999999E-3</v>
      </c>
      <c r="Z27" s="392">
        <v>5.4561000000000002</v>
      </c>
      <c r="AA27" s="392">
        <v>6.6500000000000004E-2</v>
      </c>
      <c r="AB27" s="392">
        <v>3.1086</v>
      </c>
      <c r="AC27" s="392"/>
      <c r="AD27" s="392"/>
      <c r="AE27" s="392"/>
      <c r="AF27" s="392"/>
      <c r="AG27" s="392"/>
      <c r="AH27" s="392">
        <v>0.36380000000000001</v>
      </c>
      <c r="AI27" s="392">
        <v>2.0024999999999999</v>
      </c>
      <c r="AJ27" s="392"/>
      <c r="AK27" s="392"/>
      <c r="AL27" s="392">
        <v>1.2287999999999999</v>
      </c>
      <c r="AM27" s="392"/>
      <c r="AN27" s="392">
        <v>0.18429999999999999</v>
      </c>
      <c r="AO27" s="392">
        <v>0.36509999999999998</v>
      </c>
      <c r="AP27" s="392">
        <v>2.7000000000000001E-3</v>
      </c>
      <c r="AQ27" s="392"/>
      <c r="AR27" s="392"/>
      <c r="AS27" s="392">
        <v>1.4E-2</v>
      </c>
      <c r="AT27" s="392">
        <v>4.2099999999999999E-2</v>
      </c>
      <c r="AU27" s="392">
        <v>6.3100000000000003E-2</v>
      </c>
      <c r="AV27" s="392"/>
      <c r="AW27" s="392"/>
      <c r="AX27" s="392"/>
      <c r="AY27" s="392">
        <v>3.8300000000000001E-2</v>
      </c>
      <c r="AZ27" s="392">
        <v>1.8700000000000001E-2</v>
      </c>
      <c r="BA27" s="392">
        <v>1.6899999999999998E-2</v>
      </c>
      <c r="BB27" s="392">
        <v>2E-3</v>
      </c>
      <c r="BC27" s="392">
        <v>6.7999999999999996E-3</v>
      </c>
      <c r="BD27" s="392">
        <v>2.0199999999999999E-2</v>
      </c>
      <c r="BE27" s="392">
        <v>0.45340000000000003</v>
      </c>
      <c r="BF27" s="392">
        <v>1.6799999999999999E-2</v>
      </c>
      <c r="BG27" s="392">
        <v>7.7999999999999996E-3</v>
      </c>
      <c r="BH27" s="392"/>
      <c r="BI27" s="392">
        <v>4.4012000000000002</v>
      </c>
      <c r="BJ27" s="392">
        <v>2.47E-2</v>
      </c>
      <c r="BK27" s="392"/>
      <c r="BL27" s="392">
        <v>3.3700000000000001E-2</v>
      </c>
      <c r="BM27" s="392">
        <v>1.54E-2</v>
      </c>
      <c r="BN27" s="392">
        <v>0.19370000000000001</v>
      </c>
      <c r="BO27" s="392">
        <v>2.1000000000000001E-2</v>
      </c>
      <c r="BP27" s="392"/>
      <c r="BQ27" s="392"/>
      <c r="BR27" s="392"/>
      <c r="BS27" s="392">
        <v>18.4115</v>
      </c>
      <c r="BT27" s="393">
        <v>7.5979999999999999</v>
      </c>
      <c r="BU27" s="394"/>
      <c r="BV27" s="394">
        <v>1.278</v>
      </c>
      <c r="BW27" s="395">
        <v>8.8759999999999994</v>
      </c>
      <c r="BX27" s="393">
        <v>30.3231</v>
      </c>
      <c r="BY27" s="394">
        <v>-8.9947999999999997</v>
      </c>
      <c r="BZ27" s="394">
        <v>21.328299999999999</v>
      </c>
      <c r="CA27" s="394">
        <v>138.7054</v>
      </c>
      <c r="CB27" s="396">
        <v>168.90969999999999</v>
      </c>
      <c r="CC27" s="397">
        <v>187.3212</v>
      </c>
      <c r="CE27" s="5"/>
    </row>
    <row r="28" spans="1:83" x14ac:dyDescent="0.3">
      <c r="A28" s="7">
        <v>22</v>
      </c>
      <c r="B28" s="150" t="s">
        <v>132</v>
      </c>
      <c r="C28" s="150"/>
      <c r="D28" s="150"/>
      <c r="E28" s="150"/>
      <c r="F28" s="392">
        <v>0.1729</v>
      </c>
      <c r="G28" s="392">
        <v>0.4521</v>
      </c>
      <c r="H28" s="392">
        <v>1.52E-2</v>
      </c>
      <c r="I28" s="392">
        <v>0.29110000000000003</v>
      </c>
      <c r="J28" s="392">
        <v>3.8100000000000002E-2</v>
      </c>
      <c r="K28" s="392">
        <v>4.6391</v>
      </c>
      <c r="L28" s="392">
        <v>1.85</v>
      </c>
      <c r="M28" s="392">
        <v>7.4300000000000005E-2</v>
      </c>
      <c r="N28" s="392">
        <v>0.48099999999999998</v>
      </c>
      <c r="O28" s="392">
        <v>2.6200000000000001E-2</v>
      </c>
      <c r="P28" s="392">
        <v>0.15570000000000001</v>
      </c>
      <c r="Q28" s="392">
        <v>0.1762</v>
      </c>
      <c r="R28" s="392">
        <v>0.3528</v>
      </c>
      <c r="S28" s="392">
        <v>0.35020000000000001</v>
      </c>
      <c r="T28" s="392">
        <v>6.1999999999999998E-3</v>
      </c>
      <c r="U28" s="392">
        <v>0.7006</v>
      </c>
      <c r="V28" s="392">
        <v>0.63</v>
      </c>
      <c r="W28" s="392">
        <v>9.2700000000000005E-2</v>
      </c>
      <c r="X28" s="392">
        <v>0.30530000000000002</v>
      </c>
      <c r="Y28" s="392">
        <v>0.2802</v>
      </c>
      <c r="Z28" s="392">
        <v>0.25600000000000001</v>
      </c>
      <c r="AA28" s="392">
        <v>30.372199999999999</v>
      </c>
      <c r="AB28" s="392">
        <v>0.35299999999999998</v>
      </c>
      <c r="AC28" s="392">
        <v>0.4012</v>
      </c>
      <c r="AD28" s="392">
        <v>2.4899999999999999E-2</v>
      </c>
      <c r="AE28" s="392"/>
      <c r="AF28" s="392">
        <v>0.105</v>
      </c>
      <c r="AG28" s="392">
        <v>0.29749999999999999</v>
      </c>
      <c r="AH28" s="392">
        <v>0.76800000000000002</v>
      </c>
      <c r="AI28" s="392">
        <v>0.17150000000000001</v>
      </c>
      <c r="AJ28" s="392">
        <v>3.8904999999999998</v>
      </c>
      <c r="AK28" s="392">
        <v>1.0281</v>
      </c>
      <c r="AL28" s="392">
        <v>9.5100000000000004E-2</v>
      </c>
      <c r="AM28" s="392"/>
      <c r="AN28" s="392"/>
      <c r="AO28" s="392">
        <v>0.377</v>
      </c>
      <c r="AP28" s="392">
        <v>8.0000000000000002E-3</v>
      </c>
      <c r="AQ28" s="392">
        <v>2.3086000000000002</v>
      </c>
      <c r="AR28" s="392">
        <v>0.16020000000000001</v>
      </c>
      <c r="AS28" s="392">
        <v>0.27239999999999998</v>
      </c>
      <c r="AT28" s="392">
        <v>0.2281</v>
      </c>
      <c r="AU28" s="392">
        <v>4.0899999999999999E-2</v>
      </c>
      <c r="AV28" s="392">
        <v>2.6297000000000001</v>
      </c>
      <c r="AW28" s="392">
        <v>2.4299999999999999E-2</v>
      </c>
      <c r="AX28" s="392">
        <v>0.2545</v>
      </c>
      <c r="AY28" s="392">
        <v>3.5348999999999999</v>
      </c>
      <c r="AZ28" s="392">
        <v>1.0668</v>
      </c>
      <c r="BA28" s="392">
        <v>0.44900000000000001</v>
      </c>
      <c r="BB28" s="392">
        <v>0.75</v>
      </c>
      <c r="BC28" s="392">
        <v>2.5878000000000001</v>
      </c>
      <c r="BD28" s="392">
        <v>0.27510000000000001</v>
      </c>
      <c r="BE28" s="392">
        <v>3.6303000000000001</v>
      </c>
      <c r="BF28" s="392">
        <v>2.46E-2</v>
      </c>
      <c r="BG28" s="392"/>
      <c r="BH28" s="392">
        <v>0.6804</v>
      </c>
      <c r="BI28" s="392">
        <v>3.3513000000000002</v>
      </c>
      <c r="BJ28" s="392">
        <v>6.4748000000000001</v>
      </c>
      <c r="BK28" s="392">
        <v>34.897399999999998</v>
      </c>
      <c r="BL28" s="392">
        <v>0.49159999999999998</v>
      </c>
      <c r="BM28" s="392">
        <v>2.4478</v>
      </c>
      <c r="BN28" s="392">
        <v>2.6234999999999999</v>
      </c>
      <c r="BO28" s="392">
        <v>0.29020000000000001</v>
      </c>
      <c r="BP28" s="392">
        <v>0.74719999999999998</v>
      </c>
      <c r="BQ28" s="392">
        <v>0.46289999999999998</v>
      </c>
      <c r="BR28" s="392"/>
      <c r="BS28" s="392">
        <v>119.9422</v>
      </c>
      <c r="BT28" s="393">
        <v>76.496399999999994</v>
      </c>
      <c r="BU28" s="394"/>
      <c r="BV28" s="394">
        <v>1.4725999999999999</v>
      </c>
      <c r="BW28" s="395">
        <v>77.968999999999994</v>
      </c>
      <c r="BX28" s="393">
        <v>98.909499999999994</v>
      </c>
      <c r="BY28" s="394">
        <v>-10.422599999999999</v>
      </c>
      <c r="BZ28" s="394">
        <v>88.486900000000006</v>
      </c>
      <c r="CA28" s="394">
        <v>373.39929999999998</v>
      </c>
      <c r="CB28" s="396">
        <v>539.85519999999997</v>
      </c>
      <c r="CC28" s="397">
        <v>659.79740000000004</v>
      </c>
      <c r="CE28" s="5"/>
    </row>
    <row r="29" spans="1:83" x14ac:dyDescent="0.3">
      <c r="A29" s="7">
        <v>23</v>
      </c>
      <c r="B29" s="150" t="s">
        <v>133</v>
      </c>
      <c r="C29" s="150"/>
      <c r="D29" s="150"/>
      <c r="E29" s="150"/>
      <c r="F29" s="392">
        <v>6.9702999999999999</v>
      </c>
      <c r="G29" s="392">
        <v>4.0608000000000004</v>
      </c>
      <c r="H29" s="392">
        <v>4.7938000000000001</v>
      </c>
      <c r="I29" s="392">
        <v>6.5583</v>
      </c>
      <c r="J29" s="392">
        <v>5.9227999999999996</v>
      </c>
      <c r="K29" s="392">
        <v>1.4843</v>
      </c>
      <c r="L29" s="392">
        <v>12.022399999999999</v>
      </c>
      <c r="M29" s="392">
        <v>1.3517999999999999</v>
      </c>
      <c r="N29" s="392">
        <v>1.1719999999999999</v>
      </c>
      <c r="O29" s="392">
        <v>4.3749000000000002</v>
      </c>
      <c r="P29" s="392">
        <v>2.7050000000000001</v>
      </c>
      <c r="Q29" s="392">
        <v>1E-3</v>
      </c>
      <c r="R29" s="392">
        <v>1.7014</v>
      </c>
      <c r="S29" s="392">
        <v>5.3175999999999997</v>
      </c>
      <c r="T29" s="392">
        <v>0.1222</v>
      </c>
      <c r="U29" s="392">
        <v>7.0172999999999996</v>
      </c>
      <c r="V29" s="392">
        <v>1.1559999999999999</v>
      </c>
      <c r="W29" s="392">
        <v>1.7439</v>
      </c>
      <c r="X29" s="392">
        <v>0.747</v>
      </c>
      <c r="Y29" s="392">
        <v>2.0684999999999998</v>
      </c>
      <c r="Z29" s="392">
        <v>4.9641999999999999</v>
      </c>
      <c r="AA29" s="392">
        <v>2.0131999999999999</v>
      </c>
      <c r="AB29" s="392">
        <v>25.034800000000001</v>
      </c>
      <c r="AC29" s="392">
        <v>6.6634000000000002</v>
      </c>
      <c r="AD29" s="392"/>
      <c r="AE29" s="392">
        <v>4.6345999999999998</v>
      </c>
      <c r="AF29" s="392">
        <v>0.1326</v>
      </c>
      <c r="AG29" s="392">
        <v>1.2361</v>
      </c>
      <c r="AH29" s="392">
        <v>7.9173</v>
      </c>
      <c r="AI29" s="392">
        <v>0.88519999999999999</v>
      </c>
      <c r="AJ29" s="392">
        <v>4.5800999999999998</v>
      </c>
      <c r="AK29" s="392">
        <v>4.5324999999999998</v>
      </c>
      <c r="AL29" s="392">
        <v>14.1531</v>
      </c>
      <c r="AM29" s="392">
        <v>1.0498000000000001</v>
      </c>
      <c r="AN29" s="392">
        <v>5.7934000000000001</v>
      </c>
      <c r="AO29" s="392">
        <v>10.2956</v>
      </c>
      <c r="AP29" s="392">
        <v>0.4788</v>
      </c>
      <c r="AQ29" s="392">
        <v>2.2858999999999998</v>
      </c>
      <c r="AR29" s="392">
        <v>9.3200000000000005E-2</v>
      </c>
      <c r="AS29" s="392">
        <v>0.21179999999999999</v>
      </c>
      <c r="AT29" s="392"/>
      <c r="AU29" s="392"/>
      <c r="AV29" s="392">
        <v>0.68330000000000002</v>
      </c>
      <c r="AW29" s="392">
        <v>0.29010000000000002</v>
      </c>
      <c r="AX29" s="392">
        <v>0.3286</v>
      </c>
      <c r="AY29" s="392">
        <v>2.6408</v>
      </c>
      <c r="AZ29" s="392"/>
      <c r="BA29" s="392">
        <v>0.15479999999999999</v>
      </c>
      <c r="BB29" s="392">
        <v>0.12379999999999999</v>
      </c>
      <c r="BC29" s="392">
        <v>9.8199999999999996E-2</v>
      </c>
      <c r="BD29" s="392">
        <v>0.20799999999999999</v>
      </c>
      <c r="BE29" s="392">
        <v>17.173999999999999</v>
      </c>
      <c r="BF29" s="392"/>
      <c r="BG29" s="392">
        <v>3.0800000000000001E-2</v>
      </c>
      <c r="BH29" s="392">
        <v>0.13289999999999999</v>
      </c>
      <c r="BI29" s="392">
        <v>4.2179000000000002</v>
      </c>
      <c r="BJ29" s="392">
        <v>0.82040000000000002</v>
      </c>
      <c r="BK29" s="392">
        <v>3.4355000000000002</v>
      </c>
      <c r="BL29" s="392">
        <v>0.25669999999999998</v>
      </c>
      <c r="BM29" s="392">
        <v>9.5299999999999996E-2</v>
      </c>
      <c r="BN29" s="392">
        <v>0.1716</v>
      </c>
      <c r="BO29" s="392">
        <v>0.1323</v>
      </c>
      <c r="BP29" s="392">
        <v>4.8999999999999998E-3</v>
      </c>
      <c r="BQ29" s="392">
        <v>1.4198</v>
      </c>
      <c r="BR29" s="392"/>
      <c r="BS29" s="392">
        <v>200.66659999999999</v>
      </c>
      <c r="BT29" s="393">
        <v>0.1958</v>
      </c>
      <c r="BU29" s="394"/>
      <c r="BV29" s="394"/>
      <c r="BW29" s="395">
        <v>0.1958</v>
      </c>
      <c r="BX29" s="393"/>
      <c r="BY29" s="394"/>
      <c r="BZ29" s="394"/>
      <c r="CA29" s="394">
        <v>56.5839</v>
      </c>
      <c r="CB29" s="396">
        <v>56.779699999999998</v>
      </c>
      <c r="CC29" s="397">
        <v>257.44630000000001</v>
      </c>
      <c r="CE29" s="5"/>
    </row>
    <row r="30" spans="1:83" x14ac:dyDescent="0.3">
      <c r="A30" s="7">
        <v>24</v>
      </c>
      <c r="B30" s="404" t="s">
        <v>286</v>
      </c>
      <c r="C30" s="150"/>
      <c r="D30" s="150"/>
      <c r="E30" s="405"/>
      <c r="F30" s="392">
        <v>13.288399999999999</v>
      </c>
      <c r="G30" s="392">
        <v>1.0876999999999999</v>
      </c>
      <c r="H30" s="392">
        <v>0.77480000000000004</v>
      </c>
      <c r="I30" s="392">
        <v>17.806000000000001</v>
      </c>
      <c r="J30" s="392">
        <v>18.985399999999998</v>
      </c>
      <c r="K30" s="392">
        <v>5.1642000000000001</v>
      </c>
      <c r="L30" s="392">
        <v>21.4483</v>
      </c>
      <c r="M30" s="392">
        <v>17.491800000000001</v>
      </c>
      <c r="N30" s="392">
        <v>2.0733999999999999</v>
      </c>
      <c r="O30" s="392">
        <v>6.7095000000000002</v>
      </c>
      <c r="P30" s="392">
        <v>3.6579999999999999</v>
      </c>
      <c r="Q30" s="392">
        <v>0.17019999999999999</v>
      </c>
      <c r="R30" s="392">
        <v>5.8688000000000002</v>
      </c>
      <c r="S30" s="392">
        <v>10.6721</v>
      </c>
      <c r="T30" s="392">
        <v>1.5661</v>
      </c>
      <c r="U30" s="392">
        <v>9.2144999999999992</v>
      </c>
      <c r="V30" s="392">
        <v>0.59209999999999996</v>
      </c>
      <c r="W30" s="392">
        <v>3.0343</v>
      </c>
      <c r="X30" s="392">
        <v>3.5297000000000001</v>
      </c>
      <c r="Y30" s="392">
        <v>1.9616</v>
      </c>
      <c r="Z30" s="392">
        <v>0.24809999999999999</v>
      </c>
      <c r="AA30" s="392">
        <v>6.5658000000000003</v>
      </c>
      <c r="AB30" s="392">
        <v>1.4209000000000001</v>
      </c>
      <c r="AC30" s="392">
        <v>0.95699999999999996</v>
      </c>
      <c r="AD30" s="392">
        <v>0.1082</v>
      </c>
      <c r="AE30" s="392">
        <v>9.2934999999999999</v>
      </c>
      <c r="AF30" s="392">
        <v>7.2255000000000003</v>
      </c>
      <c r="AG30" s="392">
        <v>1.3366</v>
      </c>
      <c r="AH30" s="392">
        <v>4.3821000000000003</v>
      </c>
      <c r="AI30" s="392">
        <v>4.8967000000000001</v>
      </c>
      <c r="AJ30" s="392">
        <v>7.9489999999999998</v>
      </c>
      <c r="AK30" s="392">
        <v>35.266500000000001</v>
      </c>
      <c r="AL30" s="392">
        <v>5.1398000000000001</v>
      </c>
      <c r="AM30" s="392"/>
      <c r="AN30" s="392"/>
      <c r="AO30" s="392">
        <v>15.160600000000001</v>
      </c>
      <c r="AP30" s="392">
        <v>0.59719999999999995</v>
      </c>
      <c r="AQ30" s="392">
        <v>15.5733</v>
      </c>
      <c r="AR30" s="392">
        <v>0.28199999999999997</v>
      </c>
      <c r="AS30" s="392">
        <v>0.46110000000000001</v>
      </c>
      <c r="AT30" s="392">
        <v>5.4531000000000001</v>
      </c>
      <c r="AU30" s="392">
        <v>1.3808</v>
      </c>
      <c r="AV30" s="392">
        <v>1.6843999999999999</v>
      </c>
      <c r="AW30" s="392">
        <v>0.39810000000000001</v>
      </c>
      <c r="AX30" s="392">
        <v>8.2799999999999999E-2</v>
      </c>
      <c r="AY30" s="392">
        <v>23.371099999999998</v>
      </c>
      <c r="AZ30" s="392">
        <v>1.5013000000000001</v>
      </c>
      <c r="BA30" s="392">
        <v>1.1071</v>
      </c>
      <c r="BB30" s="392">
        <v>1.3343</v>
      </c>
      <c r="BC30" s="392">
        <v>0.54730000000000001</v>
      </c>
      <c r="BD30" s="392">
        <v>0.10920000000000001</v>
      </c>
      <c r="BE30" s="392">
        <v>0.82899999999999996</v>
      </c>
      <c r="BF30" s="392">
        <v>6.5000000000000002E-2</v>
      </c>
      <c r="BG30" s="392">
        <v>5.5599999999999997E-2</v>
      </c>
      <c r="BH30" s="392">
        <v>1.3648</v>
      </c>
      <c r="BI30" s="392">
        <v>13.7013</v>
      </c>
      <c r="BJ30" s="392">
        <v>11.032400000000001</v>
      </c>
      <c r="BK30" s="392">
        <v>5.9922000000000004</v>
      </c>
      <c r="BL30" s="392">
        <v>1.9658</v>
      </c>
      <c r="BM30" s="392">
        <v>3.6242000000000001</v>
      </c>
      <c r="BN30" s="392">
        <v>4.5635000000000003</v>
      </c>
      <c r="BO30" s="392">
        <v>1.2975000000000001</v>
      </c>
      <c r="BP30" s="392">
        <v>7.6700000000000004E-2</v>
      </c>
      <c r="BQ30" s="392">
        <v>2.0363000000000002</v>
      </c>
      <c r="BR30" s="392"/>
      <c r="BS30" s="392">
        <v>345.53460000000001</v>
      </c>
      <c r="BT30" s="393">
        <v>139.64920000000001</v>
      </c>
      <c r="BU30" s="394"/>
      <c r="BV30" s="394"/>
      <c r="BW30" s="395">
        <v>139.64920000000001</v>
      </c>
      <c r="BX30" s="393"/>
      <c r="BY30" s="394"/>
      <c r="BZ30" s="394"/>
      <c r="CA30" s="394">
        <v>231.10230000000001</v>
      </c>
      <c r="CB30" s="396">
        <v>370.75150000000002</v>
      </c>
      <c r="CC30" s="397">
        <v>716.28610000000003</v>
      </c>
      <c r="CE30" s="5"/>
    </row>
    <row r="31" spans="1:83" x14ac:dyDescent="0.3">
      <c r="A31" s="7">
        <v>25</v>
      </c>
      <c r="B31" s="404" t="s">
        <v>287</v>
      </c>
      <c r="C31" s="150"/>
      <c r="D31" s="150"/>
      <c r="E31" s="405"/>
      <c r="F31" s="392">
        <v>3.0310999999999999</v>
      </c>
      <c r="G31" s="392"/>
      <c r="H31" s="392"/>
      <c r="I31" s="392">
        <v>0.61629999999999996</v>
      </c>
      <c r="J31" s="392">
        <v>8.7791999999999994</v>
      </c>
      <c r="K31" s="392">
        <v>1.0851</v>
      </c>
      <c r="L31" s="392">
        <v>3.5876999999999999</v>
      </c>
      <c r="M31" s="392">
        <v>10.210800000000001</v>
      </c>
      <c r="N31" s="392">
        <v>0.3851</v>
      </c>
      <c r="O31" s="392">
        <v>2.6842000000000001</v>
      </c>
      <c r="P31" s="392">
        <v>0.85580000000000001</v>
      </c>
      <c r="Q31" s="392">
        <v>0.15570000000000001</v>
      </c>
      <c r="R31" s="392">
        <v>0.17119999999999999</v>
      </c>
      <c r="S31" s="392">
        <v>4.9676999999999998</v>
      </c>
      <c r="T31" s="392">
        <v>0.87739999999999996</v>
      </c>
      <c r="U31" s="392">
        <v>1.5421</v>
      </c>
      <c r="V31" s="392">
        <v>0.43230000000000002</v>
      </c>
      <c r="W31" s="392">
        <v>0.1178</v>
      </c>
      <c r="X31" s="392">
        <v>0.4128</v>
      </c>
      <c r="Y31" s="392">
        <v>0.27279999999999999</v>
      </c>
      <c r="Z31" s="392"/>
      <c r="AA31" s="392">
        <v>1.0468999999999999</v>
      </c>
      <c r="AB31" s="392">
        <v>2.2599999999999999E-2</v>
      </c>
      <c r="AC31" s="392">
        <v>18.099900000000002</v>
      </c>
      <c r="AD31" s="392">
        <v>8.8030000000000008</v>
      </c>
      <c r="AE31" s="392">
        <v>80.210400000000007</v>
      </c>
      <c r="AF31" s="392">
        <v>0.28920000000000001</v>
      </c>
      <c r="AG31" s="392">
        <v>0.87690000000000001</v>
      </c>
      <c r="AH31" s="392">
        <v>4.8956</v>
      </c>
      <c r="AI31" s="392">
        <v>0.48520000000000002</v>
      </c>
      <c r="AJ31" s="392"/>
      <c r="AK31" s="392">
        <v>0.42209999999999998</v>
      </c>
      <c r="AL31" s="392">
        <v>0.1173</v>
      </c>
      <c r="AM31" s="392"/>
      <c r="AN31" s="392">
        <v>2.24E-2</v>
      </c>
      <c r="AO31" s="392">
        <v>15.4956</v>
      </c>
      <c r="AP31" s="392">
        <v>0.44550000000000001</v>
      </c>
      <c r="AQ31" s="392">
        <v>0.80920000000000003</v>
      </c>
      <c r="AR31" s="392">
        <v>4.1000000000000003E-3</v>
      </c>
      <c r="AS31" s="392">
        <v>5.3600000000000002E-2</v>
      </c>
      <c r="AT31" s="392">
        <v>1.35E-2</v>
      </c>
      <c r="AU31" s="392">
        <v>2.5399999999999999E-2</v>
      </c>
      <c r="AV31" s="392"/>
      <c r="AW31" s="392">
        <v>1.43E-2</v>
      </c>
      <c r="AX31" s="392"/>
      <c r="AY31" s="392">
        <v>3.7612999999999999</v>
      </c>
      <c r="AZ31" s="392">
        <v>0.36199999999999999</v>
      </c>
      <c r="BA31" s="392">
        <v>5.8299999999999998E-2</v>
      </c>
      <c r="BB31" s="392">
        <v>9.9400000000000002E-2</v>
      </c>
      <c r="BC31" s="392">
        <v>1.1999999999999999E-3</v>
      </c>
      <c r="BD31" s="392">
        <v>1.2999999999999999E-3</v>
      </c>
      <c r="BE31" s="392">
        <v>1.5849</v>
      </c>
      <c r="BF31" s="392">
        <v>5.8999999999999999E-3</v>
      </c>
      <c r="BG31" s="392"/>
      <c r="BH31" s="392">
        <v>1.8812</v>
      </c>
      <c r="BI31" s="392">
        <v>0.61839999999999995</v>
      </c>
      <c r="BJ31" s="392">
        <v>1.6713</v>
      </c>
      <c r="BK31" s="392">
        <v>0.36759999999999998</v>
      </c>
      <c r="BL31" s="392">
        <v>0.16980000000000001</v>
      </c>
      <c r="BM31" s="392">
        <v>0.13539999999999999</v>
      </c>
      <c r="BN31" s="392">
        <v>0.17730000000000001</v>
      </c>
      <c r="BO31" s="392"/>
      <c r="BP31" s="392"/>
      <c r="BQ31" s="392">
        <v>1.8393999999999999</v>
      </c>
      <c r="BR31" s="392"/>
      <c r="BS31" s="392">
        <v>185.07249999999999</v>
      </c>
      <c r="BT31" s="393">
        <v>23.854399999999998</v>
      </c>
      <c r="BU31" s="394"/>
      <c r="BV31" s="394"/>
      <c r="BW31" s="395">
        <v>23.854399999999998</v>
      </c>
      <c r="BX31" s="393"/>
      <c r="BY31" s="394"/>
      <c r="BZ31" s="394"/>
      <c r="CA31" s="394">
        <v>1.2767999999999999</v>
      </c>
      <c r="CB31" s="396">
        <v>25.1312</v>
      </c>
      <c r="CC31" s="397">
        <v>210.2037</v>
      </c>
      <c r="CE31" s="5"/>
    </row>
    <row r="32" spans="1:83" x14ac:dyDescent="0.3">
      <c r="A32" s="7">
        <v>26</v>
      </c>
      <c r="B32" s="404" t="s">
        <v>288</v>
      </c>
      <c r="C32" s="150"/>
      <c r="D32" s="150"/>
      <c r="E32" s="405"/>
      <c r="F32" s="392">
        <v>0.76300000000000001</v>
      </c>
      <c r="G32" s="392">
        <v>5.5500000000000001E-2</v>
      </c>
      <c r="H32" s="392">
        <v>8.3599999999999994E-2</v>
      </c>
      <c r="I32" s="392">
        <v>0.218</v>
      </c>
      <c r="J32" s="392">
        <v>3.1686999999999999</v>
      </c>
      <c r="K32" s="392">
        <v>2.6568999999999998</v>
      </c>
      <c r="L32" s="392">
        <v>0.71970000000000001</v>
      </c>
      <c r="M32" s="392"/>
      <c r="N32" s="392">
        <v>0.54410000000000003</v>
      </c>
      <c r="O32" s="392">
        <v>1.4770000000000001</v>
      </c>
      <c r="P32" s="392">
        <v>6.0122</v>
      </c>
      <c r="Q32" s="392">
        <v>9.7000000000000003E-3</v>
      </c>
      <c r="R32" s="392">
        <v>0.53239999999999998</v>
      </c>
      <c r="S32" s="392">
        <v>0.66700000000000004</v>
      </c>
      <c r="T32" s="392">
        <v>7.5200000000000003E-2</v>
      </c>
      <c r="U32" s="392">
        <v>2.5194000000000001</v>
      </c>
      <c r="V32" s="392">
        <v>0.22670000000000001</v>
      </c>
      <c r="W32" s="392">
        <v>1.2793000000000001</v>
      </c>
      <c r="X32" s="392">
        <v>1.3609</v>
      </c>
      <c r="Y32" s="392">
        <v>0.39879999999999999</v>
      </c>
      <c r="Z32" s="392">
        <v>0.10340000000000001</v>
      </c>
      <c r="AA32" s="392">
        <v>1.9992000000000001</v>
      </c>
      <c r="AB32" s="392">
        <v>0.57399999999999995</v>
      </c>
      <c r="AC32" s="392">
        <v>2.9399999999999999E-2</v>
      </c>
      <c r="AD32" s="392"/>
      <c r="AE32" s="392">
        <v>0.32800000000000001</v>
      </c>
      <c r="AF32" s="392">
        <v>0.36680000000000001</v>
      </c>
      <c r="AG32" s="392">
        <v>0.1825</v>
      </c>
      <c r="AH32" s="392">
        <v>1.4662999999999999</v>
      </c>
      <c r="AI32" s="392">
        <v>1.8795999999999999</v>
      </c>
      <c r="AJ32" s="392">
        <v>2.8835999999999999</v>
      </c>
      <c r="AK32" s="392">
        <v>8.0501000000000005</v>
      </c>
      <c r="AL32" s="392">
        <v>0.83919999999999995</v>
      </c>
      <c r="AM32" s="392"/>
      <c r="AN32" s="392"/>
      <c r="AO32" s="392">
        <v>8.6197999999999997</v>
      </c>
      <c r="AP32" s="392">
        <v>0.32419999999999999</v>
      </c>
      <c r="AQ32" s="392">
        <v>6.3788999999999998</v>
      </c>
      <c r="AR32" s="392">
        <v>0.16320000000000001</v>
      </c>
      <c r="AS32" s="392">
        <v>0.37019999999999997</v>
      </c>
      <c r="AT32" s="392">
        <v>0.37930000000000003</v>
      </c>
      <c r="AU32" s="392">
        <v>0.37890000000000001</v>
      </c>
      <c r="AV32" s="392">
        <v>1.0128999999999999</v>
      </c>
      <c r="AW32" s="392">
        <v>6.9099999999999995E-2</v>
      </c>
      <c r="AX32" s="392">
        <v>1.3299999999999999E-2</v>
      </c>
      <c r="AY32" s="392">
        <v>12.396100000000001</v>
      </c>
      <c r="AZ32" s="392">
        <v>0.38329999999999997</v>
      </c>
      <c r="BA32" s="392">
        <v>0.68359999999999999</v>
      </c>
      <c r="BB32" s="392">
        <v>1.0524</v>
      </c>
      <c r="BC32" s="392">
        <v>7.0800000000000002E-2</v>
      </c>
      <c r="BD32" s="392">
        <v>3.4200000000000001E-2</v>
      </c>
      <c r="BE32" s="392">
        <v>0.14699999999999999</v>
      </c>
      <c r="BF32" s="392">
        <v>2.06E-2</v>
      </c>
      <c r="BG32" s="392">
        <v>3.0499999999999999E-2</v>
      </c>
      <c r="BH32" s="392">
        <v>0.63360000000000005</v>
      </c>
      <c r="BI32" s="392">
        <v>6.0457000000000001</v>
      </c>
      <c r="BJ32" s="392">
        <v>21.786899999999999</v>
      </c>
      <c r="BK32" s="392">
        <v>5.6021000000000001</v>
      </c>
      <c r="BL32" s="392">
        <v>2.5163000000000002</v>
      </c>
      <c r="BM32" s="392">
        <v>2.6774</v>
      </c>
      <c r="BN32" s="392">
        <v>4.2310999999999996</v>
      </c>
      <c r="BO32" s="392">
        <v>1.365</v>
      </c>
      <c r="BP32" s="392">
        <v>0.1179</v>
      </c>
      <c r="BQ32" s="392">
        <v>0.57450000000000001</v>
      </c>
      <c r="BR32" s="392"/>
      <c r="BS32" s="392">
        <v>119.54900000000001</v>
      </c>
      <c r="BT32" s="393">
        <v>139.39089999999999</v>
      </c>
      <c r="BU32" s="394"/>
      <c r="BV32" s="394">
        <v>5.8533999999999997</v>
      </c>
      <c r="BW32" s="395">
        <v>145.24430000000001</v>
      </c>
      <c r="BX32" s="393"/>
      <c r="BY32" s="394"/>
      <c r="BZ32" s="394"/>
      <c r="CA32" s="394"/>
      <c r="CB32" s="396">
        <v>145.24430000000001</v>
      </c>
      <c r="CC32" s="397">
        <v>264.79329999999999</v>
      </c>
      <c r="CE32" s="5"/>
    </row>
    <row r="33" spans="1:83" x14ac:dyDescent="0.3">
      <c r="A33" s="7">
        <v>27</v>
      </c>
      <c r="B33" s="150" t="s">
        <v>134</v>
      </c>
      <c r="C33" s="150"/>
      <c r="D33" s="150"/>
      <c r="E33" s="150"/>
      <c r="F33" s="392">
        <v>0.93230000000000002</v>
      </c>
      <c r="G33" s="392">
        <v>7.5300000000000006E-2</v>
      </c>
      <c r="H33" s="392">
        <v>8.7999999999999995E-2</v>
      </c>
      <c r="I33" s="392"/>
      <c r="J33" s="392">
        <v>5.3231999999999999</v>
      </c>
      <c r="K33" s="392">
        <v>0.81069999999999998</v>
      </c>
      <c r="L33" s="392">
        <v>0.2445</v>
      </c>
      <c r="M33" s="392">
        <v>4.5199999999999997E-2</v>
      </c>
      <c r="N33" s="392">
        <v>0.1096</v>
      </c>
      <c r="O33" s="392">
        <v>1.3764000000000001</v>
      </c>
      <c r="P33" s="392">
        <v>0.49099999999999999</v>
      </c>
      <c r="Q33" s="392">
        <v>5.3400000000000003E-2</v>
      </c>
      <c r="R33" s="392">
        <v>0.1225</v>
      </c>
      <c r="S33" s="392">
        <v>0.23949999999999999</v>
      </c>
      <c r="T33" s="392">
        <v>1.7600000000000001E-2</v>
      </c>
      <c r="U33" s="392">
        <v>0.73370000000000002</v>
      </c>
      <c r="V33" s="392">
        <v>0.30399999999999999</v>
      </c>
      <c r="W33" s="392">
        <v>0.12429999999999999</v>
      </c>
      <c r="X33" s="392">
        <v>0.27360000000000001</v>
      </c>
      <c r="Y33" s="392">
        <v>0.12640000000000001</v>
      </c>
      <c r="Z33" s="392">
        <v>7.6E-3</v>
      </c>
      <c r="AA33" s="392">
        <v>0.33889999999999998</v>
      </c>
      <c r="AB33" s="392">
        <v>0.26700000000000002</v>
      </c>
      <c r="AC33" s="392"/>
      <c r="AD33" s="392">
        <v>1.8E-3</v>
      </c>
      <c r="AE33" s="392">
        <v>0.7873</v>
      </c>
      <c r="AF33" s="392">
        <v>2.3E-3</v>
      </c>
      <c r="AG33" s="392">
        <v>0.247</v>
      </c>
      <c r="AH33" s="392">
        <v>0.3528</v>
      </c>
      <c r="AI33" s="392">
        <v>0.51459999999999995</v>
      </c>
      <c r="AJ33" s="392">
        <v>0.31830000000000003</v>
      </c>
      <c r="AK33" s="392">
        <v>2.4076</v>
      </c>
      <c r="AL33" s="392">
        <v>0.66349999999999998</v>
      </c>
      <c r="AM33" s="392"/>
      <c r="AN33" s="392">
        <v>9.5999999999999992E-3</v>
      </c>
      <c r="AO33" s="392">
        <v>0.5091</v>
      </c>
      <c r="AP33" s="392">
        <v>5.8099999999999999E-2</v>
      </c>
      <c r="AQ33" s="392">
        <v>3.8216999999999999</v>
      </c>
      <c r="AR33" s="392">
        <v>1.37E-2</v>
      </c>
      <c r="AS33" s="392">
        <v>1.46E-2</v>
      </c>
      <c r="AT33" s="392">
        <v>3.7900000000000003E-2</v>
      </c>
      <c r="AU33" s="392">
        <v>2.6800000000000001E-2</v>
      </c>
      <c r="AV33" s="392">
        <v>0.41420000000000001</v>
      </c>
      <c r="AW33" s="392">
        <v>2.4799999999999999E-2</v>
      </c>
      <c r="AX33" s="392">
        <v>2.4799999999999999E-2</v>
      </c>
      <c r="AY33" s="392">
        <v>3.9554999999999998</v>
      </c>
      <c r="AZ33" s="392">
        <v>0.1242</v>
      </c>
      <c r="BA33" s="392">
        <v>0.16059999999999999</v>
      </c>
      <c r="BB33" s="392">
        <v>0.17130000000000001</v>
      </c>
      <c r="BC33" s="392">
        <v>1.43E-2</v>
      </c>
      <c r="BD33" s="392">
        <v>7.4000000000000003E-3</v>
      </c>
      <c r="BE33" s="392">
        <v>0.53149999999999997</v>
      </c>
      <c r="BF33" s="392">
        <v>4.0000000000000001E-3</v>
      </c>
      <c r="BG33" s="392">
        <v>4.1999999999999997E-3</v>
      </c>
      <c r="BH33" s="392">
        <v>0.24329999999999999</v>
      </c>
      <c r="BI33" s="392">
        <v>8.3379999999999992</v>
      </c>
      <c r="BJ33" s="392">
        <v>3.5506000000000002</v>
      </c>
      <c r="BK33" s="392">
        <v>1.6826000000000001</v>
      </c>
      <c r="BL33" s="392">
        <v>0.70779999999999998</v>
      </c>
      <c r="BM33" s="392">
        <v>0.34610000000000002</v>
      </c>
      <c r="BN33" s="392">
        <v>1.5347999999999999</v>
      </c>
      <c r="BO33" s="392">
        <v>0.28689999999999999</v>
      </c>
      <c r="BP33" s="392">
        <v>4.0000000000000002E-4</v>
      </c>
      <c r="BQ33" s="392">
        <v>1.0612999999999999</v>
      </c>
      <c r="BR33" s="392"/>
      <c r="BS33" s="392">
        <v>45.08</v>
      </c>
      <c r="BT33" s="394">
        <v>51.846299999999999</v>
      </c>
      <c r="BU33" s="394"/>
      <c r="BV33" s="394"/>
      <c r="BW33" s="395">
        <v>51.846299999999999</v>
      </c>
      <c r="BX33" s="393"/>
      <c r="BY33" s="394"/>
      <c r="BZ33" s="394"/>
      <c r="CA33" s="394"/>
      <c r="CB33" s="396">
        <v>51.846299999999999</v>
      </c>
      <c r="CC33" s="397">
        <v>96.926299999999998</v>
      </c>
      <c r="CE33" s="5"/>
    </row>
    <row r="34" spans="1:83" x14ac:dyDescent="0.3">
      <c r="A34" s="7">
        <v>28</v>
      </c>
      <c r="B34" s="150" t="s">
        <v>114</v>
      </c>
      <c r="C34" s="150"/>
      <c r="D34" s="150"/>
      <c r="E34" s="150"/>
      <c r="F34" s="392">
        <v>1.2043999999999999</v>
      </c>
      <c r="G34" s="392">
        <v>0.9819</v>
      </c>
      <c r="H34" s="392">
        <v>9.2799999999999994E-2</v>
      </c>
      <c r="I34" s="392"/>
      <c r="J34" s="392">
        <v>10.2529</v>
      </c>
      <c r="K34" s="392">
        <v>0.6925</v>
      </c>
      <c r="L34" s="392">
        <v>1.6252</v>
      </c>
      <c r="M34" s="392"/>
      <c r="N34" s="392">
        <v>0.39410000000000001</v>
      </c>
      <c r="O34" s="392">
        <v>0.92390000000000005</v>
      </c>
      <c r="P34" s="392"/>
      <c r="Q34" s="392">
        <v>2.1499999999999998E-2</v>
      </c>
      <c r="R34" s="392">
        <v>0.20030000000000001</v>
      </c>
      <c r="S34" s="392">
        <v>1.1265000000000001</v>
      </c>
      <c r="T34" s="392">
        <v>14.171099999999999</v>
      </c>
      <c r="U34" s="392">
        <v>3.3E-3</v>
      </c>
      <c r="V34" s="392"/>
      <c r="W34" s="392">
        <v>0.20200000000000001</v>
      </c>
      <c r="X34" s="392"/>
      <c r="Y34" s="392">
        <v>7.6700000000000004E-2</v>
      </c>
      <c r="Z34" s="392">
        <v>0.54069999999999996</v>
      </c>
      <c r="AA34" s="392">
        <v>0.4299</v>
      </c>
      <c r="AB34" s="392">
        <v>0.31869999999999998</v>
      </c>
      <c r="AC34" s="392"/>
      <c r="AD34" s="392"/>
      <c r="AE34" s="392"/>
      <c r="AF34" s="392">
        <v>0.39340000000000003</v>
      </c>
      <c r="AG34" s="392">
        <v>106.5124</v>
      </c>
      <c r="AH34" s="392">
        <v>5.0968999999999998</v>
      </c>
      <c r="AI34" s="392">
        <v>0.13819999999999999</v>
      </c>
      <c r="AJ34" s="392">
        <v>6.1499999999999999E-2</v>
      </c>
      <c r="AK34" s="392">
        <v>1.3268</v>
      </c>
      <c r="AL34" s="392">
        <v>0.43259999999999998</v>
      </c>
      <c r="AM34" s="392">
        <v>0.43259999999999998</v>
      </c>
      <c r="AN34" s="392">
        <v>4.3299999999999998E-2</v>
      </c>
      <c r="AO34" s="392">
        <v>4.5494000000000003</v>
      </c>
      <c r="AP34" s="392"/>
      <c r="AQ34" s="392">
        <v>1.8464</v>
      </c>
      <c r="AR34" s="392">
        <v>2.41E-2</v>
      </c>
      <c r="AS34" s="392">
        <v>1.35E-2</v>
      </c>
      <c r="AT34" s="392">
        <v>1.4500000000000001E-2</v>
      </c>
      <c r="AU34" s="392">
        <v>8.0799999999999997E-2</v>
      </c>
      <c r="AV34" s="392">
        <v>2.52E-2</v>
      </c>
      <c r="AW34" s="392">
        <v>8.6999999999999994E-3</v>
      </c>
      <c r="AX34" s="392"/>
      <c r="AY34" s="392">
        <v>7.359</v>
      </c>
      <c r="AZ34" s="392">
        <v>1.9517</v>
      </c>
      <c r="BA34" s="392">
        <v>8.43E-2</v>
      </c>
      <c r="BB34" s="392">
        <v>2.6499999999999999E-2</v>
      </c>
      <c r="BC34" s="392">
        <v>0.1016</v>
      </c>
      <c r="BD34" s="392"/>
      <c r="BE34" s="392">
        <v>9.6699999999999994E-2</v>
      </c>
      <c r="BF34" s="392">
        <v>1.83E-2</v>
      </c>
      <c r="BG34" s="392">
        <v>1.54E-2</v>
      </c>
      <c r="BH34" s="392">
        <v>0.65629999999999999</v>
      </c>
      <c r="BI34" s="392">
        <v>10.0101</v>
      </c>
      <c r="BJ34" s="392"/>
      <c r="BK34" s="392">
        <v>0.1162</v>
      </c>
      <c r="BL34" s="392">
        <v>0.12239999999999999</v>
      </c>
      <c r="BM34" s="392"/>
      <c r="BN34" s="392">
        <v>0.16489999999999999</v>
      </c>
      <c r="BO34" s="392">
        <v>3.8997999999999999</v>
      </c>
      <c r="BP34" s="392">
        <v>6.9000000000000006E-2</v>
      </c>
      <c r="BQ34" s="392">
        <v>9.8400000000000001E-2</v>
      </c>
      <c r="BR34" s="392"/>
      <c r="BS34" s="392">
        <v>179.04929999999999</v>
      </c>
      <c r="BT34" s="394">
        <v>20.997800000000002</v>
      </c>
      <c r="BU34" s="394"/>
      <c r="BV34" s="394"/>
      <c r="BW34" s="395">
        <v>20.997800000000002</v>
      </c>
      <c r="BX34" s="393"/>
      <c r="BY34" s="394">
        <v>-9.9304000000000006</v>
      </c>
      <c r="BZ34" s="394">
        <v>-9.9304000000000006</v>
      </c>
      <c r="CA34" s="394">
        <v>149.149</v>
      </c>
      <c r="CB34" s="396">
        <v>160.21639999999999</v>
      </c>
      <c r="CC34" s="397">
        <v>339.26569999999998</v>
      </c>
      <c r="CE34" s="5"/>
    </row>
    <row r="35" spans="1:83" x14ac:dyDescent="0.3">
      <c r="A35" s="7">
        <v>29</v>
      </c>
      <c r="B35" s="150" t="s">
        <v>135</v>
      </c>
      <c r="C35" s="150"/>
      <c r="D35" s="150"/>
      <c r="E35" s="150"/>
      <c r="F35" s="392">
        <v>6.2778999999999998</v>
      </c>
      <c r="G35" s="392">
        <v>3.0628000000000002</v>
      </c>
      <c r="H35" s="392">
        <v>3.27E-2</v>
      </c>
      <c r="I35" s="392">
        <v>0.86260000000000003</v>
      </c>
      <c r="J35" s="392">
        <v>0.98270000000000002</v>
      </c>
      <c r="K35" s="392">
        <v>0.23599999999999999</v>
      </c>
      <c r="L35" s="392">
        <v>1.6415</v>
      </c>
      <c r="M35" s="392"/>
      <c r="N35" s="392">
        <v>0.3569</v>
      </c>
      <c r="O35" s="392">
        <v>0.73819999999999997</v>
      </c>
      <c r="P35" s="392">
        <v>0.12770000000000001</v>
      </c>
      <c r="Q35" s="392">
        <v>1.77E-2</v>
      </c>
      <c r="R35" s="392">
        <v>3.4984999999999999</v>
      </c>
      <c r="S35" s="392">
        <v>1.6085</v>
      </c>
      <c r="T35" s="392"/>
      <c r="U35" s="392">
        <v>4.7904999999999998</v>
      </c>
      <c r="V35" s="392"/>
      <c r="W35" s="392">
        <v>4.6199999999999998E-2</v>
      </c>
      <c r="X35" s="392">
        <v>0.26500000000000001</v>
      </c>
      <c r="Y35" s="392">
        <v>8.0500000000000002E-2</v>
      </c>
      <c r="Z35" s="392">
        <v>5.7200000000000001E-2</v>
      </c>
      <c r="AA35" s="392">
        <v>0.1075</v>
      </c>
      <c r="AB35" s="392">
        <v>0.19589999999999999</v>
      </c>
      <c r="AC35" s="392">
        <v>0.9546</v>
      </c>
      <c r="AD35" s="392">
        <v>6.7000000000000002E-3</v>
      </c>
      <c r="AE35" s="392">
        <v>2.1509</v>
      </c>
      <c r="AF35" s="392">
        <v>2.7694000000000001</v>
      </c>
      <c r="AG35" s="392">
        <v>0.122</v>
      </c>
      <c r="AH35" s="392">
        <v>80.444199999999995</v>
      </c>
      <c r="AI35" s="392">
        <v>0.45219999999999999</v>
      </c>
      <c r="AJ35" s="392">
        <v>4.1391</v>
      </c>
      <c r="AK35" s="392">
        <v>6.1791999999999998</v>
      </c>
      <c r="AL35" s="392">
        <v>1.6931</v>
      </c>
      <c r="AM35" s="392"/>
      <c r="AN35" s="392"/>
      <c r="AO35" s="392">
        <v>11.0403</v>
      </c>
      <c r="AP35" s="392">
        <v>0.59199999999999997</v>
      </c>
      <c r="AQ35" s="392">
        <v>2.6699000000000002</v>
      </c>
      <c r="AR35" s="392">
        <v>0.17949999999999999</v>
      </c>
      <c r="AS35" s="392">
        <v>5.0099999999999999E-2</v>
      </c>
      <c r="AT35" s="392">
        <v>7.9946999999999999</v>
      </c>
      <c r="AU35" s="392">
        <v>1.0019</v>
      </c>
      <c r="AV35" s="392">
        <v>1.7895000000000001</v>
      </c>
      <c r="AW35" s="392">
        <v>5.3400000000000003E-2</v>
      </c>
      <c r="AX35" s="392">
        <v>9.7999999999999997E-3</v>
      </c>
      <c r="AY35" s="392">
        <v>105.2936</v>
      </c>
      <c r="AZ35" s="392">
        <v>0.34849999999999998</v>
      </c>
      <c r="BA35" s="392">
        <v>2.7543000000000002</v>
      </c>
      <c r="BB35" s="392">
        <v>0.62090000000000001</v>
      </c>
      <c r="BC35" s="392">
        <v>0.27629999999999999</v>
      </c>
      <c r="BD35" s="392">
        <v>0.2457</v>
      </c>
      <c r="BE35" s="392">
        <v>0.23980000000000001</v>
      </c>
      <c r="BF35" s="392">
        <v>4.8800000000000003E-2</v>
      </c>
      <c r="BG35" s="392"/>
      <c r="BH35" s="392">
        <v>2.8475000000000001</v>
      </c>
      <c r="BI35" s="392">
        <v>91.432000000000002</v>
      </c>
      <c r="BJ35" s="392">
        <v>5.4063999999999997</v>
      </c>
      <c r="BK35" s="392">
        <v>3.4453</v>
      </c>
      <c r="BL35" s="392">
        <v>1.6433</v>
      </c>
      <c r="BM35" s="392">
        <v>1.0649999999999999</v>
      </c>
      <c r="BN35" s="392">
        <v>2.5626000000000002</v>
      </c>
      <c r="BO35" s="392"/>
      <c r="BP35" s="392"/>
      <c r="BQ35" s="392">
        <v>0.52249999999999996</v>
      </c>
      <c r="BR35" s="392"/>
      <c r="BS35" s="392">
        <v>368.03149999999999</v>
      </c>
      <c r="BT35" s="394">
        <v>2.819</v>
      </c>
      <c r="BU35" s="394"/>
      <c r="BV35" s="394"/>
      <c r="BW35" s="395">
        <v>2.819</v>
      </c>
      <c r="BX35" s="393">
        <v>1527.7094</v>
      </c>
      <c r="BY35" s="394"/>
      <c r="BZ35" s="394">
        <v>1527.7094</v>
      </c>
      <c r="CA35" s="394">
        <v>158.2928</v>
      </c>
      <c r="CB35" s="396">
        <v>1688.8212000000001</v>
      </c>
      <c r="CC35" s="397">
        <v>2056.8526999999999</v>
      </c>
      <c r="CE35" s="5"/>
    </row>
    <row r="36" spans="1:83" x14ac:dyDescent="0.3">
      <c r="A36" s="7">
        <v>30</v>
      </c>
      <c r="B36" s="150" t="s">
        <v>136</v>
      </c>
      <c r="C36" s="150"/>
      <c r="D36" s="150"/>
      <c r="E36" s="150"/>
      <c r="F36" s="392">
        <v>0.95220000000000005</v>
      </c>
      <c r="G36" s="392">
        <v>1.0470999999999999</v>
      </c>
      <c r="H36" s="392">
        <v>0.1898</v>
      </c>
      <c r="I36" s="392">
        <v>1.0665</v>
      </c>
      <c r="J36" s="392">
        <v>3.0013000000000001</v>
      </c>
      <c r="K36" s="392">
        <v>0.84489999999999998</v>
      </c>
      <c r="L36" s="392">
        <v>4.9132999999999996</v>
      </c>
      <c r="M36" s="392">
        <v>0.31730000000000003</v>
      </c>
      <c r="N36" s="392">
        <v>0.56440000000000001</v>
      </c>
      <c r="O36" s="392">
        <v>0.22120000000000001</v>
      </c>
      <c r="P36" s="392">
        <v>0.74180000000000001</v>
      </c>
      <c r="Q36" s="392"/>
      <c r="R36" s="392">
        <v>1.0472999999999999</v>
      </c>
      <c r="S36" s="392">
        <v>0.66649999999999998</v>
      </c>
      <c r="T36" s="392">
        <v>6.25E-2</v>
      </c>
      <c r="U36" s="392">
        <v>0.35020000000000001</v>
      </c>
      <c r="V36" s="392">
        <v>0.31280000000000002</v>
      </c>
      <c r="W36" s="392">
        <v>2.3666999999999998</v>
      </c>
      <c r="X36" s="392">
        <v>0.80259999999999998</v>
      </c>
      <c r="Y36" s="392">
        <v>1.2721</v>
      </c>
      <c r="Z36" s="392">
        <v>0.63800000000000001</v>
      </c>
      <c r="AA36" s="392">
        <v>1.6171</v>
      </c>
      <c r="AB36" s="392">
        <v>0.51570000000000005</v>
      </c>
      <c r="AC36" s="392">
        <v>0.49890000000000001</v>
      </c>
      <c r="AD36" s="392"/>
      <c r="AE36" s="392">
        <v>0.33079999999999998</v>
      </c>
      <c r="AF36" s="392">
        <v>0.55310000000000004</v>
      </c>
      <c r="AG36" s="392">
        <v>1.0386</v>
      </c>
      <c r="AH36" s="392">
        <v>9.4023000000000003</v>
      </c>
      <c r="AI36" s="392">
        <v>8.2353000000000005</v>
      </c>
      <c r="AJ36" s="392">
        <v>14.535399999999999</v>
      </c>
      <c r="AK36" s="392">
        <v>1.8888</v>
      </c>
      <c r="AL36" s="392">
        <v>95.605900000000005</v>
      </c>
      <c r="AM36" s="392"/>
      <c r="AN36" s="392">
        <v>5.1900000000000002E-2</v>
      </c>
      <c r="AO36" s="392">
        <v>4.0423</v>
      </c>
      <c r="AP36" s="392">
        <v>1.3902000000000001</v>
      </c>
      <c r="AQ36" s="392">
        <v>1.0745</v>
      </c>
      <c r="AR36" s="392">
        <v>2.7699999999999999E-2</v>
      </c>
      <c r="AS36" s="392">
        <v>2.7099999999999999E-2</v>
      </c>
      <c r="AT36" s="392">
        <v>0.1704</v>
      </c>
      <c r="AU36" s="392">
        <v>0.53549999999999998</v>
      </c>
      <c r="AV36" s="392">
        <v>1.4095</v>
      </c>
      <c r="AW36" s="392">
        <v>0.46960000000000002</v>
      </c>
      <c r="AX36" s="392">
        <v>0.47960000000000003</v>
      </c>
      <c r="AY36" s="392">
        <v>1.2342</v>
      </c>
      <c r="AZ36" s="392">
        <v>0.15090000000000001</v>
      </c>
      <c r="BA36" s="392">
        <v>0.48270000000000002</v>
      </c>
      <c r="BB36" s="392">
        <v>0.06</v>
      </c>
      <c r="BC36" s="392">
        <v>0.2281</v>
      </c>
      <c r="BD36" s="392">
        <v>0.20499999999999999</v>
      </c>
      <c r="BE36" s="392">
        <v>8.1537000000000006</v>
      </c>
      <c r="BF36" s="392"/>
      <c r="BG36" s="392">
        <v>2.6800000000000001E-2</v>
      </c>
      <c r="BH36" s="392">
        <v>0.55000000000000004</v>
      </c>
      <c r="BI36" s="392">
        <v>2.8898000000000001</v>
      </c>
      <c r="BJ36" s="392">
        <v>0.81679999999999997</v>
      </c>
      <c r="BK36" s="392">
        <v>0.59240000000000004</v>
      </c>
      <c r="BL36" s="392">
        <v>0.25459999999999999</v>
      </c>
      <c r="BM36" s="392">
        <v>0.29449999999999998</v>
      </c>
      <c r="BN36" s="392">
        <v>0.38800000000000001</v>
      </c>
      <c r="BO36" s="392">
        <v>0.48080000000000001</v>
      </c>
      <c r="BP36" s="392">
        <v>0.27100000000000002</v>
      </c>
      <c r="BQ36" s="392">
        <v>0.57099999999999995</v>
      </c>
      <c r="BR36" s="392"/>
      <c r="BS36" s="392">
        <v>182.929</v>
      </c>
      <c r="BT36" s="394">
        <v>93.842200000000005</v>
      </c>
      <c r="BU36" s="394"/>
      <c r="BV36" s="394"/>
      <c r="BW36" s="395">
        <v>93.842200000000005</v>
      </c>
      <c r="BX36" s="393">
        <v>48.8386</v>
      </c>
      <c r="BY36" s="394">
        <v>3.1760000000000002</v>
      </c>
      <c r="BZ36" s="394">
        <v>52.014600000000002</v>
      </c>
      <c r="CA36" s="394">
        <v>62.622799999999998</v>
      </c>
      <c r="CB36" s="396">
        <v>208.4796</v>
      </c>
      <c r="CC36" s="397">
        <v>391.40859999999998</v>
      </c>
      <c r="CE36" s="5"/>
    </row>
    <row r="37" spans="1:83" x14ac:dyDescent="0.3">
      <c r="A37" s="7">
        <v>31</v>
      </c>
      <c r="B37" s="150" t="s">
        <v>137</v>
      </c>
      <c r="C37" s="150"/>
      <c r="D37" s="150"/>
      <c r="E37" s="150"/>
      <c r="F37" s="392">
        <v>27.290299999999998</v>
      </c>
      <c r="G37" s="392">
        <v>17.291799999999999</v>
      </c>
      <c r="H37" s="392">
        <v>1.5212000000000001</v>
      </c>
      <c r="I37" s="392">
        <v>6.9934000000000003</v>
      </c>
      <c r="J37" s="392">
        <v>53.746499999999997</v>
      </c>
      <c r="K37" s="392">
        <v>6.6696</v>
      </c>
      <c r="L37" s="392">
        <v>78.38</v>
      </c>
      <c r="M37" s="392">
        <v>6.1685999999999996</v>
      </c>
      <c r="N37" s="392">
        <v>7.1729000000000003</v>
      </c>
      <c r="O37" s="392">
        <v>2.4655999999999998</v>
      </c>
      <c r="P37" s="392">
        <v>2.8875000000000002</v>
      </c>
      <c r="Q37" s="392"/>
      <c r="R37" s="392">
        <v>7.3406000000000002</v>
      </c>
      <c r="S37" s="392">
        <v>5.1365999999999996</v>
      </c>
      <c r="T37" s="392">
        <v>5.3499999999999999E-2</v>
      </c>
      <c r="U37" s="392">
        <v>29.611000000000001</v>
      </c>
      <c r="V37" s="392">
        <v>0.23019999999999999</v>
      </c>
      <c r="W37" s="392">
        <v>2.5116000000000001</v>
      </c>
      <c r="X37" s="392">
        <v>10.082599999999999</v>
      </c>
      <c r="Y37" s="392">
        <v>3.0118999999999998</v>
      </c>
      <c r="Z37" s="392">
        <v>2.1934</v>
      </c>
      <c r="AA37" s="392">
        <v>19.357099999999999</v>
      </c>
      <c r="AB37" s="392">
        <v>7.4363000000000001</v>
      </c>
      <c r="AC37" s="392">
        <v>13.6999</v>
      </c>
      <c r="AD37" s="392"/>
      <c r="AE37" s="392">
        <v>8.4207000000000001</v>
      </c>
      <c r="AF37" s="392">
        <v>0.83309999999999995</v>
      </c>
      <c r="AG37" s="392">
        <v>19.014399999999998</v>
      </c>
      <c r="AH37" s="392">
        <v>93.751199999999997</v>
      </c>
      <c r="AI37" s="392">
        <v>1.4618</v>
      </c>
      <c r="AJ37" s="392">
        <v>55.623199999999997</v>
      </c>
      <c r="AK37" s="392"/>
      <c r="AL37" s="392">
        <v>22.269500000000001</v>
      </c>
      <c r="AM37" s="392">
        <v>4.4564000000000004</v>
      </c>
      <c r="AN37" s="392">
        <v>1.7027000000000001</v>
      </c>
      <c r="AO37" s="392">
        <v>4.6302000000000003</v>
      </c>
      <c r="AP37" s="392">
        <v>0.54949999999999999</v>
      </c>
      <c r="AQ37" s="392">
        <v>21.7652</v>
      </c>
      <c r="AR37" s="392">
        <v>1.4572000000000001</v>
      </c>
      <c r="AS37" s="392">
        <v>0.56259999999999999</v>
      </c>
      <c r="AT37" s="392">
        <v>0.4113</v>
      </c>
      <c r="AU37" s="392">
        <v>1.4355</v>
      </c>
      <c r="AV37" s="392">
        <v>1.5857000000000001</v>
      </c>
      <c r="AW37" s="392">
        <v>0.2838</v>
      </c>
      <c r="AX37" s="392">
        <v>0.84770000000000001</v>
      </c>
      <c r="AY37" s="392">
        <v>13.788500000000001</v>
      </c>
      <c r="AZ37" s="392">
        <v>2.1707999999999998</v>
      </c>
      <c r="BA37" s="392">
        <v>3.0969000000000002</v>
      </c>
      <c r="BB37" s="392">
        <v>1.0192000000000001</v>
      </c>
      <c r="BC37" s="392">
        <v>5.4317000000000002</v>
      </c>
      <c r="BD37" s="392">
        <v>1.0077</v>
      </c>
      <c r="BE37" s="392">
        <v>6.4295</v>
      </c>
      <c r="BF37" s="392">
        <v>0.2787</v>
      </c>
      <c r="BG37" s="392">
        <v>0.43680000000000002</v>
      </c>
      <c r="BH37" s="392">
        <v>6.0724</v>
      </c>
      <c r="BI37" s="392">
        <v>5.8684000000000003</v>
      </c>
      <c r="BJ37" s="392">
        <v>8.7225000000000001</v>
      </c>
      <c r="BK37" s="392">
        <v>17.357900000000001</v>
      </c>
      <c r="BL37" s="392">
        <v>1.7689999999999999</v>
      </c>
      <c r="BM37" s="392">
        <v>2.4154</v>
      </c>
      <c r="BN37" s="392">
        <v>1.9934000000000001</v>
      </c>
      <c r="BO37" s="392">
        <v>1.2267999999999999</v>
      </c>
      <c r="BP37" s="392">
        <v>1.3687</v>
      </c>
      <c r="BQ37" s="392">
        <v>3.0533999999999999</v>
      </c>
      <c r="BR37" s="392"/>
      <c r="BS37" s="392">
        <v>635.82150000000001</v>
      </c>
      <c r="BT37" s="394">
        <v>344.71879999999999</v>
      </c>
      <c r="BU37" s="394">
        <v>1.5E-3</v>
      </c>
      <c r="BV37" s="394">
        <v>18.240200000000002</v>
      </c>
      <c r="BW37" s="395">
        <v>362.96050000000002</v>
      </c>
      <c r="BX37" s="393">
        <v>105.11669999999999</v>
      </c>
      <c r="BY37" s="394">
        <v>48.4773</v>
      </c>
      <c r="BZ37" s="394">
        <v>153.59399999999999</v>
      </c>
      <c r="CA37" s="394">
        <v>521.12139999999999</v>
      </c>
      <c r="CB37" s="396">
        <v>1037.6759</v>
      </c>
      <c r="CC37" s="397">
        <v>1673.4974</v>
      </c>
      <c r="CE37" s="5"/>
    </row>
    <row r="38" spans="1:83" x14ac:dyDescent="0.3">
      <c r="A38" s="7">
        <v>32</v>
      </c>
      <c r="B38" s="150" t="s">
        <v>138</v>
      </c>
      <c r="C38" s="150"/>
      <c r="D38" s="150"/>
      <c r="E38" s="150"/>
      <c r="F38" s="392">
        <v>5.5664999999999996</v>
      </c>
      <c r="G38" s="392">
        <v>2.7787999999999999</v>
      </c>
      <c r="H38" s="392">
        <v>0.65139999999999998</v>
      </c>
      <c r="I38" s="392">
        <v>1.7808999999999999</v>
      </c>
      <c r="J38" s="392">
        <v>5.3502999999999998</v>
      </c>
      <c r="K38" s="392">
        <v>0.46889999999999998</v>
      </c>
      <c r="L38" s="392">
        <v>5.2157999999999998</v>
      </c>
      <c r="M38" s="392">
        <v>0.36320000000000002</v>
      </c>
      <c r="N38" s="392">
        <v>0.80610000000000004</v>
      </c>
      <c r="O38" s="392">
        <v>0.41289999999999999</v>
      </c>
      <c r="P38" s="392">
        <v>1.3319000000000001</v>
      </c>
      <c r="Q38" s="392">
        <v>8.9999999999999993E-3</v>
      </c>
      <c r="R38" s="392">
        <v>1.4375</v>
      </c>
      <c r="S38" s="392">
        <v>1.2029000000000001</v>
      </c>
      <c r="T38" s="392">
        <v>2.2599999999999999E-2</v>
      </c>
      <c r="U38" s="392">
        <v>7.1778000000000004</v>
      </c>
      <c r="V38" s="392">
        <v>0.436</v>
      </c>
      <c r="W38" s="392">
        <v>0.94099999999999995</v>
      </c>
      <c r="X38" s="392">
        <v>2.153</v>
      </c>
      <c r="Y38" s="392">
        <v>0.19900000000000001</v>
      </c>
      <c r="Z38" s="392">
        <v>0.24299999999999999</v>
      </c>
      <c r="AA38" s="392">
        <v>1.2071000000000001</v>
      </c>
      <c r="AB38" s="392">
        <v>1.163</v>
      </c>
      <c r="AC38" s="392">
        <v>0.56220000000000003</v>
      </c>
      <c r="AD38" s="392"/>
      <c r="AE38" s="392">
        <v>0.248</v>
      </c>
      <c r="AF38" s="392">
        <v>0.14749999999999999</v>
      </c>
      <c r="AG38" s="392">
        <v>0.98070000000000002</v>
      </c>
      <c r="AH38" s="392">
        <v>17.984500000000001</v>
      </c>
      <c r="AI38" s="392">
        <v>1.0398000000000001</v>
      </c>
      <c r="AJ38" s="392">
        <v>1.4924999999999999</v>
      </c>
      <c r="AK38" s="392">
        <v>1.1029</v>
      </c>
      <c r="AL38" s="392">
        <v>11.718</v>
      </c>
      <c r="AM38" s="392">
        <v>2.0333999999999999</v>
      </c>
      <c r="AN38" s="392">
        <v>1.022</v>
      </c>
      <c r="AO38" s="392">
        <v>1.1433</v>
      </c>
      <c r="AP38" s="392">
        <v>0.23219999999999999</v>
      </c>
      <c r="AQ38" s="392">
        <v>5.4070999999999998</v>
      </c>
      <c r="AR38" s="392">
        <v>0.39660000000000001</v>
      </c>
      <c r="AS38" s="392">
        <v>0.21299999999999999</v>
      </c>
      <c r="AT38" s="392">
        <v>0.1467</v>
      </c>
      <c r="AU38" s="392">
        <v>0.48480000000000001</v>
      </c>
      <c r="AV38" s="392">
        <v>0.28239999999999998</v>
      </c>
      <c r="AW38" s="392">
        <v>0.10589999999999999</v>
      </c>
      <c r="AX38" s="392">
        <v>0.25629999999999997</v>
      </c>
      <c r="AY38" s="392">
        <v>3.7124999999999999</v>
      </c>
      <c r="AZ38" s="392">
        <v>0.76900000000000002</v>
      </c>
      <c r="BA38" s="392">
        <v>0.874</v>
      </c>
      <c r="BB38" s="392">
        <v>0.38650000000000001</v>
      </c>
      <c r="BC38" s="392">
        <v>2.4529000000000001</v>
      </c>
      <c r="BD38" s="392">
        <v>0.23180000000000001</v>
      </c>
      <c r="BE38" s="392">
        <v>2.3565</v>
      </c>
      <c r="BF38" s="392">
        <v>0.12720000000000001</v>
      </c>
      <c r="BG38" s="392">
        <v>0.15079999999999999</v>
      </c>
      <c r="BH38" s="392">
        <v>2.3271999999999999</v>
      </c>
      <c r="BI38" s="392">
        <v>2.1149</v>
      </c>
      <c r="BJ38" s="392">
        <v>3.0419</v>
      </c>
      <c r="BK38" s="392">
        <v>1.2202</v>
      </c>
      <c r="BL38" s="392">
        <v>0.51439999999999997</v>
      </c>
      <c r="BM38" s="392">
        <v>0.96030000000000004</v>
      </c>
      <c r="BN38" s="392">
        <v>0.87770000000000004</v>
      </c>
      <c r="BO38" s="392">
        <v>0.224</v>
      </c>
      <c r="BP38" s="392">
        <v>0.25600000000000001</v>
      </c>
      <c r="BQ38" s="392">
        <v>0.65410000000000001</v>
      </c>
      <c r="BR38" s="392"/>
      <c r="BS38" s="392">
        <v>111.1703</v>
      </c>
      <c r="BT38" s="394">
        <v>815.18719999999996</v>
      </c>
      <c r="BU38" s="394">
        <v>3.8E-3</v>
      </c>
      <c r="BV38" s="394">
        <v>20.843800000000002</v>
      </c>
      <c r="BW38" s="395">
        <v>836.03480000000002</v>
      </c>
      <c r="BX38" s="393">
        <v>3.9927000000000001</v>
      </c>
      <c r="BY38" s="394">
        <v>-16.145499999999998</v>
      </c>
      <c r="BZ38" s="394">
        <v>-12.152799999999999</v>
      </c>
      <c r="CA38" s="394">
        <v>27.416799999999999</v>
      </c>
      <c r="CB38" s="396">
        <v>851.29880000000003</v>
      </c>
      <c r="CC38" s="397">
        <v>962.46910000000003</v>
      </c>
      <c r="CE38" s="5"/>
    </row>
    <row r="39" spans="1:83" x14ac:dyDescent="0.3">
      <c r="A39" s="7">
        <v>33</v>
      </c>
      <c r="B39" s="150" t="s">
        <v>139</v>
      </c>
      <c r="C39" s="150"/>
      <c r="D39" s="150"/>
      <c r="E39" s="150"/>
      <c r="F39" s="392">
        <v>3.9594</v>
      </c>
      <c r="G39" s="392">
        <v>21.778600000000001</v>
      </c>
      <c r="H39" s="392">
        <v>0.14779999999999999</v>
      </c>
      <c r="I39" s="392">
        <v>12.966699999999999</v>
      </c>
      <c r="J39" s="392">
        <v>53.490699999999997</v>
      </c>
      <c r="K39" s="392">
        <v>6.5256999999999996</v>
      </c>
      <c r="L39" s="392">
        <v>58.122799999999998</v>
      </c>
      <c r="M39" s="392">
        <v>6.0934999999999997</v>
      </c>
      <c r="N39" s="392">
        <v>7.5176999999999996</v>
      </c>
      <c r="O39" s="392">
        <v>4.2134999999999998</v>
      </c>
      <c r="P39" s="392">
        <v>6.9968000000000004</v>
      </c>
      <c r="Q39" s="392"/>
      <c r="R39" s="392">
        <v>6.9779</v>
      </c>
      <c r="S39" s="392">
        <v>26.0855</v>
      </c>
      <c r="T39" s="392">
        <v>1.1084000000000001</v>
      </c>
      <c r="U39" s="392">
        <v>17.4314</v>
      </c>
      <c r="V39" s="392">
        <v>4.7931999999999997</v>
      </c>
      <c r="W39" s="392">
        <v>3.4941</v>
      </c>
      <c r="X39" s="392">
        <v>5.7312000000000003</v>
      </c>
      <c r="Y39" s="392">
        <v>7.0327999999999999</v>
      </c>
      <c r="Z39" s="392">
        <v>1.6485000000000001</v>
      </c>
      <c r="AA39" s="392">
        <v>16.916599999999999</v>
      </c>
      <c r="AB39" s="392">
        <v>2.4767999999999999</v>
      </c>
      <c r="AC39" s="392">
        <v>3.4836</v>
      </c>
      <c r="AD39" s="392"/>
      <c r="AE39" s="392">
        <v>2.0041000000000002</v>
      </c>
      <c r="AF39" s="392">
        <v>0.1168</v>
      </c>
      <c r="AG39" s="392">
        <v>12.1027</v>
      </c>
      <c r="AH39" s="392">
        <v>82.953100000000006</v>
      </c>
      <c r="AI39" s="392">
        <v>4.7961999999999998</v>
      </c>
      <c r="AJ39" s="392">
        <v>100.6101</v>
      </c>
      <c r="AK39" s="392">
        <v>25.960799999999999</v>
      </c>
      <c r="AL39" s="392">
        <v>67.855000000000004</v>
      </c>
      <c r="AM39" s="392"/>
      <c r="AN39" s="392"/>
      <c r="AO39" s="392">
        <v>181.17910000000001</v>
      </c>
      <c r="AP39" s="392">
        <v>1.1279999999999999</v>
      </c>
      <c r="AQ39" s="392">
        <v>3.6396000000000002</v>
      </c>
      <c r="AR39" s="392">
        <v>0.72619999999999996</v>
      </c>
      <c r="AS39" s="392">
        <v>0.12640000000000001</v>
      </c>
      <c r="AT39" s="392"/>
      <c r="AU39" s="392">
        <v>1.0665</v>
      </c>
      <c r="AV39" s="392">
        <v>0.22309999999999999</v>
      </c>
      <c r="AW39" s="392">
        <v>1.2800000000000001E-2</v>
      </c>
      <c r="AX39" s="392"/>
      <c r="AY39" s="392">
        <v>3.4266000000000001</v>
      </c>
      <c r="AZ39" s="392">
        <v>3.3812000000000002</v>
      </c>
      <c r="BA39" s="392">
        <v>0.7913</v>
      </c>
      <c r="BB39" s="392">
        <v>0.65580000000000005</v>
      </c>
      <c r="BC39" s="392">
        <v>0.5998</v>
      </c>
      <c r="BD39" s="392">
        <v>8.7300000000000003E-2</v>
      </c>
      <c r="BE39" s="392">
        <v>7.1994999999999996</v>
      </c>
      <c r="BF39" s="392">
        <v>0.24349999999999999</v>
      </c>
      <c r="BG39" s="392">
        <v>1.9789000000000001</v>
      </c>
      <c r="BH39" s="392">
        <v>1.7102999999999999</v>
      </c>
      <c r="BI39" s="392">
        <v>4.4512999999999998</v>
      </c>
      <c r="BJ39" s="392">
        <v>5.7584</v>
      </c>
      <c r="BK39" s="392">
        <v>1.1733</v>
      </c>
      <c r="BL39" s="392">
        <v>0.34029999999999999</v>
      </c>
      <c r="BM39" s="392">
        <v>1.9056</v>
      </c>
      <c r="BN39" s="392">
        <v>1.6874</v>
      </c>
      <c r="BO39" s="392">
        <v>2.0367999999999999</v>
      </c>
      <c r="BP39" s="392">
        <v>0.24179999999999999</v>
      </c>
      <c r="BQ39" s="392">
        <v>1.65</v>
      </c>
      <c r="BR39" s="392"/>
      <c r="BS39" s="392">
        <v>802.81280000000004</v>
      </c>
      <c r="BT39" s="394">
        <v>229.99590000000001</v>
      </c>
      <c r="BU39" s="394"/>
      <c r="BV39" s="394">
        <v>1.3106</v>
      </c>
      <c r="BW39" s="395">
        <v>231.3065</v>
      </c>
      <c r="BX39" s="393">
        <v>6.1007999999999996</v>
      </c>
      <c r="BY39" s="394"/>
      <c r="BZ39" s="394">
        <v>6.1007999999999996</v>
      </c>
      <c r="CA39" s="394">
        <v>328.15</v>
      </c>
      <c r="CB39" s="396">
        <v>565.55730000000005</v>
      </c>
      <c r="CC39" s="397">
        <v>1368.3701000000001</v>
      </c>
      <c r="CE39" s="5"/>
    </row>
    <row r="40" spans="1:83" x14ac:dyDescent="0.3">
      <c r="A40" s="7">
        <v>34</v>
      </c>
      <c r="B40" s="150" t="s">
        <v>140</v>
      </c>
      <c r="C40" s="150"/>
      <c r="D40" s="150"/>
      <c r="E40" s="150"/>
      <c r="F40" s="392">
        <v>7.7799999999999994E-2</v>
      </c>
      <c r="G40" s="392">
        <v>12.760899999999999</v>
      </c>
      <c r="H40" s="392">
        <v>0.25180000000000002</v>
      </c>
      <c r="I40" s="392">
        <v>3.1573000000000002</v>
      </c>
      <c r="J40" s="392">
        <v>0.1477</v>
      </c>
      <c r="K40" s="392">
        <v>0.1234</v>
      </c>
      <c r="L40" s="392">
        <v>5.5827</v>
      </c>
      <c r="M40" s="392">
        <v>2.1034999999999999</v>
      </c>
      <c r="N40" s="392">
        <v>5.4100000000000002E-2</v>
      </c>
      <c r="O40" s="392">
        <v>1.1785000000000001</v>
      </c>
      <c r="P40" s="392">
        <v>1.4012</v>
      </c>
      <c r="Q40" s="392">
        <v>4.0000000000000001E-3</v>
      </c>
      <c r="R40" s="392">
        <v>1.8876999999999999</v>
      </c>
      <c r="S40" s="392">
        <v>0.76780000000000004</v>
      </c>
      <c r="T40" s="392">
        <v>5.7799999999999997E-2</v>
      </c>
      <c r="U40" s="392">
        <v>1.8089</v>
      </c>
      <c r="V40" s="392">
        <v>6.0699999999999997E-2</v>
      </c>
      <c r="W40" s="392">
        <v>0.4415</v>
      </c>
      <c r="X40" s="392">
        <v>0.1394</v>
      </c>
      <c r="Y40" s="392">
        <v>7.6100000000000001E-2</v>
      </c>
      <c r="Z40" s="392">
        <v>0.32369999999999999</v>
      </c>
      <c r="AA40" s="392">
        <v>0.22209999999999999</v>
      </c>
      <c r="AB40" s="392">
        <v>0.83720000000000006</v>
      </c>
      <c r="AC40" s="392"/>
      <c r="AD40" s="392"/>
      <c r="AE40" s="392"/>
      <c r="AF40" s="392">
        <v>8.3000000000000001E-3</v>
      </c>
      <c r="AG40" s="392">
        <v>0.95430000000000004</v>
      </c>
      <c r="AH40" s="392">
        <v>1.9897</v>
      </c>
      <c r="AI40" s="392">
        <v>0.19950000000000001</v>
      </c>
      <c r="AJ40" s="392">
        <v>7.5143000000000004</v>
      </c>
      <c r="AK40" s="392"/>
      <c r="AL40" s="392">
        <v>2.7905000000000002</v>
      </c>
      <c r="AM40" s="392">
        <v>0.9405</v>
      </c>
      <c r="AN40" s="392"/>
      <c r="AO40" s="392">
        <v>94.053299999999993</v>
      </c>
      <c r="AP40" s="392">
        <v>7.6E-3</v>
      </c>
      <c r="AQ40" s="392"/>
      <c r="AR40" s="392">
        <v>3.8600000000000002E-2</v>
      </c>
      <c r="AS40" s="392">
        <v>7.7200000000000005E-2</v>
      </c>
      <c r="AT40" s="392">
        <v>0.1079</v>
      </c>
      <c r="AU40" s="392">
        <v>1.1274999999999999</v>
      </c>
      <c r="AV40" s="392">
        <v>0.36199999999999999</v>
      </c>
      <c r="AW40" s="392">
        <v>2.1899999999999999E-2</v>
      </c>
      <c r="AX40" s="392">
        <v>0.1389</v>
      </c>
      <c r="AY40" s="392">
        <v>0.30349999999999999</v>
      </c>
      <c r="AZ40" s="392">
        <v>1.2394000000000001</v>
      </c>
      <c r="BA40" s="392">
        <v>0.37019999999999997</v>
      </c>
      <c r="BB40" s="392">
        <v>0.39860000000000001</v>
      </c>
      <c r="BC40" s="392">
        <v>0.1898</v>
      </c>
      <c r="BD40" s="392">
        <v>0.1115</v>
      </c>
      <c r="BE40" s="392"/>
      <c r="BF40" s="392">
        <v>0.4451</v>
      </c>
      <c r="BG40" s="392">
        <v>3.9563000000000001</v>
      </c>
      <c r="BH40" s="392">
        <v>0.14050000000000001</v>
      </c>
      <c r="BI40" s="392">
        <v>0.64649999999999996</v>
      </c>
      <c r="BJ40" s="392">
        <v>0.31979999999999997</v>
      </c>
      <c r="BK40" s="392">
        <v>0.1404</v>
      </c>
      <c r="BL40" s="392">
        <v>4.1000000000000003E-3</v>
      </c>
      <c r="BM40" s="392">
        <v>0.153</v>
      </c>
      <c r="BN40" s="392">
        <v>0.3397</v>
      </c>
      <c r="BO40" s="392">
        <v>3.3999999999999998E-3</v>
      </c>
      <c r="BP40" s="392">
        <v>0.1225</v>
      </c>
      <c r="BQ40" s="392">
        <v>0.30020000000000002</v>
      </c>
      <c r="BR40" s="392"/>
      <c r="BS40" s="392">
        <v>152.98230000000001</v>
      </c>
      <c r="BT40" s="394">
        <v>50.160499999999999</v>
      </c>
      <c r="BU40" s="394"/>
      <c r="BV40" s="394"/>
      <c r="BW40" s="395">
        <v>50.160499999999999</v>
      </c>
      <c r="BX40" s="393"/>
      <c r="BY40" s="394"/>
      <c r="BZ40" s="394"/>
      <c r="CA40" s="394">
        <v>253.70910000000001</v>
      </c>
      <c r="CB40" s="396">
        <v>303.86959999999999</v>
      </c>
      <c r="CC40" s="397">
        <v>456.8519</v>
      </c>
      <c r="CE40" s="5"/>
    </row>
    <row r="41" spans="1:83" x14ac:dyDescent="0.3">
      <c r="A41" s="7">
        <v>35</v>
      </c>
      <c r="B41" s="150" t="s">
        <v>141</v>
      </c>
      <c r="C41" s="150"/>
      <c r="D41" s="150"/>
      <c r="E41" s="150"/>
      <c r="F41" s="392">
        <v>0.19789999999999999</v>
      </c>
      <c r="G41" s="392">
        <v>0.62229999999999996</v>
      </c>
      <c r="H41" s="392">
        <v>3.6799999999999999E-2</v>
      </c>
      <c r="I41" s="392">
        <v>2.87E-2</v>
      </c>
      <c r="J41" s="392">
        <v>0.30059999999999998</v>
      </c>
      <c r="K41" s="392">
        <v>0.26929999999999998</v>
      </c>
      <c r="L41" s="392">
        <v>0.50339999999999996</v>
      </c>
      <c r="M41" s="392">
        <v>6.1499999999999999E-2</v>
      </c>
      <c r="N41" s="392">
        <v>0.13239999999999999</v>
      </c>
      <c r="O41" s="392">
        <v>1.2999999999999999E-2</v>
      </c>
      <c r="P41" s="392">
        <v>9.4799999999999995E-2</v>
      </c>
      <c r="Q41" s="392">
        <v>3.1099999999999999E-2</v>
      </c>
      <c r="R41" s="392">
        <v>0.2208</v>
      </c>
      <c r="S41" s="392">
        <v>0.25779999999999997</v>
      </c>
      <c r="T41" s="392">
        <v>2.4899999999999999E-2</v>
      </c>
      <c r="U41" s="392">
        <v>0.87429999999999997</v>
      </c>
      <c r="V41" s="392">
        <v>0.47439999999999999</v>
      </c>
      <c r="W41" s="392">
        <v>0.37759999999999999</v>
      </c>
      <c r="X41" s="392">
        <v>0.32319999999999999</v>
      </c>
      <c r="Y41" s="392">
        <v>0.16420000000000001</v>
      </c>
      <c r="Z41" s="392">
        <v>0.6462</v>
      </c>
      <c r="AA41" s="392">
        <v>0.72350000000000003</v>
      </c>
      <c r="AB41" s="392">
        <v>1.3916999999999999</v>
      </c>
      <c r="AC41" s="392">
        <v>9.9199999999999997E-2</v>
      </c>
      <c r="AD41" s="392"/>
      <c r="AE41" s="392"/>
      <c r="AF41" s="392">
        <v>2.1999999999999999E-2</v>
      </c>
      <c r="AG41" s="392">
        <v>9.8900000000000002E-2</v>
      </c>
      <c r="AH41" s="392">
        <v>1.9156</v>
      </c>
      <c r="AI41" s="392">
        <v>0.54890000000000005</v>
      </c>
      <c r="AJ41" s="392">
        <v>4.6985999999999999</v>
      </c>
      <c r="AK41" s="392">
        <v>1.1183000000000001</v>
      </c>
      <c r="AL41" s="392">
        <v>1.4901</v>
      </c>
      <c r="AM41" s="392">
        <v>0.1116</v>
      </c>
      <c r="AN41" s="392">
        <v>0.62780000000000002</v>
      </c>
      <c r="AO41" s="392">
        <v>12.7257</v>
      </c>
      <c r="AP41" s="392">
        <v>5.6844000000000001</v>
      </c>
      <c r="AQ41" s="392">
        <v>0.1636</v>
      </c>
      <c r="AR41" s="392">
        <v>0.20649999999999999</v>
      </c>
      <c r="AS41" s="392">
        <v>0.26550000000000001</v>
      </c>
      <c r="AT41" s="392">
        <v>0.1285</v>
      </c>
      <c r="AU41" s="392">
        <v>1.4409000000000001</v>
      </c>
      <c r="AV41" s="392">
        <v>1.7043999999999999</v>
      </c>
      <c r="AW41" s="392">
        <v>0.33169999999999999</v>
      </c>
      <c r="AX41" s="392">
        <v>1.0589</v>
      </c>
      <c r="AY41" s="392">
        <v>0.76939999999999997</v>
      </c>
      <c r="AZ41" s="392">
        <v>2.1814</v>
      </c>
      <c r="BA41" s="392">
        <v>0.60050000000000003</v>
      </c>
      <c r="BB41" s="392">
        <v>0.96120000000000005</v>
      </c>
      <c r="BC41" s="392">
        <v>0.45329999999999998</v>
      </c>
      <c r="BD41" s="392">
        <v>0.2581</v>
      </c>
      <c r="BE41" s="392">
        <v>1.0296000000000001</v>
      </c>
      <c r="BF41" s="392">
        <v>1.4100999999999999</v>
      </c>
      <c r="BG41" s="392">
        <v>19.823599999999999</v>
      </c>
      <c r="BH41" s="392">
        <v>0.42059999999999997</v>
      </c>
      <c r="BI41" s="392">
        <v>13.429</v>
      </c>
      <c r="BJ41" s="392">
        <v>3.0270999999999999</v>
      </c>
      <c r="BK41" s="392">
        <v>0.33160000000000001</v>
      </c>
      <c r="BL41" s="392">
        <v>3.5700000000000003E-2</v>
      </c>
      <c r="BM41" s="392">
        <v>0.66290000000000004</v>
      </c>
      <c r="BN41" s="392">
        <v>1.5871999999999999</v>
      </c>
      <c r="BO41" s="392">
        <v>1.1981999999999999</v>
      </c>
      <c r="BP41" s="392">
        <v>0.2298</v>
      </c>
      <c r="BQ41" s="392">
        <v>0.1331</v>
      </c>
      <c r="BR41" s="392"/>
      <c r="BS41" s="392">
        <v>90.753900000000002</v>
      </c>
      <c r="BT41" s="394">
        <v>18.137899999999998</v>
      </c>
      <c r="BU41" s="394"/>
      <c r="BV41" s="394"/>
      <c r="BW41" s="395">
        <v>18.137899999999998</v>
      </c>
      <c r="BX41" s="393"/>
      <c r="BY41" s="394"/>
      <c r="BZ41" s="394"/>
      <c r="CA41" s="394">
        <v>45.067999999999998</v>
      </c>
      <c r="CB41" s="396">
        <v>63.2059</v>
      </c>
      <c r="CC41" s="397">
        <v>153.9598</v>
      </c>
      <c r="CE41" s="5"/>
    </row>
    <row r="42" spans="1:83" x14ac:dyDescent="0.3">
      <c r="A42" s="7">
        <v>36</v>
      </c>
      <c r="B42" s="150" t="s">
        <v>142</v>
      </c>
      <c r="C42" s="150"/>
      <c r="D42" s="150"/>
      <c r="E42" s="150"/>
      <c r="F42" s="392">
        <v>3.3233000000000001</v>
      </c>
      <c r="G42" s="392">
        <v>33.057699999999997</v>
      </c>
      <c r="H42" s="392">
        <v>4.9211</v>
      </c>
      <c r="I42" s="392">
        <v>6.5994999999999999</v>
      </c>
      <c r="J42" s="392">
        <v>12.0877</v>
      </c>
      <c r="K42" s="392">
        <v>2.2309999999999999</v>
      </c>
      <c r="L42" s="392">
        <v>8.3988999999999994</v>
      </c>
      <c r="M42" s="392">
        <v>5.6944999999999997</v>
      </c>
      <c r="N42" s="392">
        <v>1.2842</v>
      </c>
      <c r="O42" s="392">
        <v>1.4644999999999999</v>
      </c>
      <c r="P42" s="392">
        <v>7.5542999999999996</v>
      </c>
      <c r="Q42" s="392"/>
      <c r="R42" s="392">
        <v>1.8079000000000001</v>
      </c>
      <c r="S42" s="392">
        <v>1.6705000000000001</v>
      </c>
      <c r="T42" s="392">
        <v>0.37769999999999998</v>
      </c>
      <c r="U42" s="392">
        <v>3.8613</v>
      </c>
      <c r="V42" s="392">
        <v>2.3431999999999999</v>
      </c>
      <c r="W42" s="392"/>
      <c r="X42" s="392">
        <v>1.5209999999999999</v>
      </c>
      <c r="Y42" s="392">
        <v>1.6970000000000001</v>
      </c>
      <c r="Z42" s="392">
        <v>2.8761000000000001</v>
      </c>
      <c r="AA42" s="392">
        <v>5.5867000000000004</v>
      </c>
      <c r="AB42" s="392">
        <v>7.6334999999999997</v>
      </c>
      <c r="AC42" s="392">
        <v>2.2517999999999998</v>
      </c>
      <c r="AD42" s="392">
        <v>2.3127</v>
      </c>
      <c r="AE42" s="392"/>
      <c r="AF42" s="392">
        <v>3.8999999999999998E-3</v>
      </c>
      <c r="AG42" s="392">
        <v>8.6388999999999996</v>
      </c>
      <c r="AH42" s="392">
        <v>3.3222</v>
      </c>
      <c r="AI42" s="392">
        <v>3.0634999999999999</v>
      </c>
      <c r="AJ42" s="392">
        <v>127.1242</v>
      </c>
      <c r="AK42" s="392"/>
      <c r="AL42" s="392">
        <v>187.0026</v>
      </c>
      <c r="AM42" s="392">
        <v>86.578500000000005</v>
      </c>
      <c r="AN42" s="392">
        <v>35.869900000000001</v>
      </c>
      <c r="AO42" s="392">
        <v>467.35730000000001</v>
      </c>
      <c r="AP42" s="392">
        <v>0.92559999999999998</v>
      </c>
      <c r="AQ42" s="392"/>
      <c r="AR42" s="392">
        <v>8.8400000000000006E-2</v>
      </c>
      <c r="AS42" s="392">
        <v>6.1600000000000002E-2</v>
      </c>
      <c r="AT42" s="392">
        <v>5.91E-2</v>
      </c>
      <c r="AU42" s="392"/>
      <c r="AV42" s="392"/>
      <c r="AW42" s="392">
        <v>6.7000000000000002E-3</v>
      </c>
      <c r="AX42" s="392">
        <v>0.43659999999999999</v>
      </c>
      <c r="AY42" s="392">
        <v>2.3069000000000002</v>
      </c>
      <c r="AZ42" s="392"/>
      <c r="BA42" s="392"/>
      <c r="BB42" s="392">
        <v>7.0699999999999999E-2</v>
      </c>
      <c r="BC42" s="392">
        <v>3.73E-2</v>
      </c>
      <c r="BD42" s="392"/>
      <c r="BE42" s="392">
        <v>28.3855</v>
      </c>
      <c r="BF42" s="392">
        <v>9.4899999999999998E-2</v>
      </c>
      <c r="BG42" s="392">
        <v>1.0961000000000001</v>
      </c>
      <c r="BH42" s="392">
        <v>1.5636000000000001</v>
      </c>
      <c r="BI42" s="392"/>
      <c r="BJ42" s="392">
        <v>7.9500000000000001E-2</v>
      </c>
      <c r="BK42" s="392">
        <v>0.21959999999999999</v>
      </c>
      <c r="BL42" s="392">
        <v>0.1474</v>
      </c>
      <c r="BM42" s="392">
        <v>5.5399999999999998E-2</v>
      </c>
      <c r="BN42" s="392">
        <v>0.2402</v>
      </c>
      <c r="BO42" s="392">
        <v>6.8500000000000005E-2</v>
      </c>
      <c r="BP42" s="392"/>
      <c r="BQ42" s="392">
        <v>1.1429</v>
      </c>
      <c r="BR42" s="392"/>
      <c r="BS42" s="392">
        <v>1076.6035999999999</v>
      </c>
      <c r="BT42" s="394">
        <v>3.2509000000000001</v>
      </c>
      <c r="BU42" s="394"/>
      <c r="BV42" s="394"/>
      <c r="BW42" s="395">
        <v>3.2509000000000001</v>
      </c>
      <c r="BX42" s="393"/>
      <c r="BY42" s="394"/>
      <c r="BZ42" s="394"/>
      <c r="CA42" s="394">
        <v>783.3501</v>
      </c>
      <c r="CB42" s="396">
        <v>786.601</v>
      </c>
      <c r="CC42" s="397">
        <v>1863.2046</v>
      </c>
      <c r="CE42" s="5"/>
    </row>
    <row r="43" spans="1:83" x14ac:dyDescent="0.3">
      <c r="A43" s="7">
        <v>37</v>
      </c>
      <c r="B43" s="150" t="s">
        <v>143</v>
      </c>
      <c r="C43" s="150"/>
      <c r="D43" s="150"/>
      <c r="E43" s="150"/>
      <c r="F43" s="392">
        <v>4.4499999999999998E-2</v>
      </c>
      <c r="G43" s="392">
        <v>0.1353</v>
      </c>
      <c r="H43" s="392">
        <v>2.8E-3</v>
      </c>
      <c r="I43" s="392">
        <v>5.7999999999999996E-3</v>
      </c>
      <c r="J43" s="392">
        <v>0.2145</v>
      </c>
      <c r="K43" s="392">
        <v>0.30890000000000001</v>
      </c>
      <c r="L43" s="392">
        <v>0.33429999999999999</v>
      </c>
      <c r="M43" s="392">
        <v>4.48E-2</v>
      </c>
      <c r="N43" s="392">
        <v>0.1295</v>
      </c>
      <c r="O43" s="392"/>
      <c r="P43" s="392">
        <v>9.9699999999999997E-2</v>
      </c>
      <c r="Q43" s="392">
        <v>6.3E-3</v>
      </c>
      <c r="R43" s="392">
        <v>0.18279999999999999</v>
      </c>
      <c r="S43" s="392">
        <v>1.61E-2</v>
      </c>
      <c r="T43" s="392">
        <v>2.8999999999999998E-3</v>
      </c>
      <c r="U43" s="392"/>
      <c r="V43" s="392">
        <v>9.8500000000000004E-2</v>
      </c>
      <c r="W43" s="392"/>
      <c r="X43" s="392">
        <v>3.9600000000000003E-2</v>
      </c>
      <c r="Y43" s="392">
        <v>6.1199999999999997E-2</v>
      </c>
      <c r="Z43" s="392">
        <v>7.6600000000000001E-2</v>
      </c>
      <c r="AA43" s="392">
        <v>0.53820000000000001</v>
      </c>
      <c r="AB43" s="392">
        <v>7.6E-3</v>
      </c>
      <c r="AC43" s="392">
        <v>2.2256999999999998</v>
      </c>
      <c r="AD43" s="392">
        <v>2.1999999999999999E-2</v>
      </c>
      <c r="AE43" s="392"/>
      <c r="AF43" s="392">
        <v>0.249</v>
      </c>
      <c r="AG43" s="392">
        <v>0.3821</v>
      </c>
      <c r="AH43" s="392">
        <v>0.1242</v>
      </c>
      <c r="AI43" s="392">
        <v>0.23169999999999999</v>
      </c>
      <c r="AJ43" s="392">
        <v>3.4089999999999998</v>
      </c>
      <c r="AK43" s="392">
        <v>4.7152000000000003</v>
      </c>
      <c r="AL43" s="392">
        <v>0.57179999999999997</v>
      </c>
      <c r="AM43" s="392"/>
      <c r="AN43" s="392">
        <v>1.5599999999999999E-2</v>
      </c>
      <c r="AO43" s="392">
        <v>0.87290000000000001</v>
      </c>
      <c r="AP43" s="392">
        <v>8.6789000000000005</v>
      </c>
      <c r="AQ43" s="392">
        <v>0.17100000000000001</v>
      </c>
      <c r="AR43" s="392">
        <v>6.7751999999999999</v>
      </c>
      <c r="AS43" s="392">
        <v>2.2700000000000001E-2</v>
      </c>
      <c r="AT43" s="392">
        <v>0.69910000000000005</v>
      </c>
      <c r="AU43" s="392">
        <v>0.21609999999999999</v>
      </c>
      <c r="AV43" s="392">
        <v>1.6508</v>
      </c>
      <c r="AW43" s="392">
        <v>0.1089</v>
      </c>
      <c r="AX43" s="392">
        <v>0.68</v>
      </c>
      <c r="AY43" s="392">
        <v>1.0347999999999999</v>
      </c>
      <c r="AZ43" s="392">
        <v>0.42049999999999998</v>
      </c>
      <c r="BA43" s="392">
        <v>0.49199999999999999</v>
      </c>
      <c r="BB43" s="392">
        <v>0.25850000000000001</v>
      </c>
      <c r="BC43" s="392">
        <v>0.44080000000000003</v>
      </c>
      <c r="BD43" s="392">
        <v>0.51939999999999997</v>
      </c>
      <c r="BE43" s="392">
        <v>0.33160000000000001</v>
      </c>
      <c r="BF43" s="392">
        <v>0.19220000000000001</v>
      </c>
      <c r="BG43" s="392">
        <v>0.2422</v>
      </c>
      <c r="BH43" s="392">
        <v>7.8465999999999996</v>
      </c>
      <c r="BI43" s="392">
        <v>3.5760999999999998</v>
      </c>
      <c r="BJ43" s="392">
        <v>0.27129999999999999</v>
      </c>
      <c r="BK43" s="392">
        <v>0.1206</v>
      </c>
      <c r="BL43" s="392">
        <v>0.2049</v>
      </c>
      <c r="BM43" s="392">
        <v>0.13730000000000001</v>
      </c>
      <c r="BN43" s="392">
        <v>0.63900000000000001</v>
      </c>
      <c r="BO43" s="392">
        <v>1.4459</v>
      </c>
      <c r="BP43" s="392"/>
      <c r="BQ43" s="392"/>
      <c r="BR43" s="392"/>
      <c r="BS43" s="392">
        <v>52.345500000000001</v>
      </c>
      <c r="BT43" s="394">
        <v>13.637600000000001</v>
      </c>
      <c r="BU43" s="394"/>
      <c r="BV43" s="394"/>
      <c r="BW43" s="395">
        <v>13.637600000000001</v>
      </c>
      <c r="BX43" s="393"/>
      <c r="BY43" s="394"/>
      <c r="BZ43" s="394"/>
      <c r="CA43" s="394">
        <v>10.787100000000001</v>
      </c>
      <c r="CB43" s="396">
        <v>24.424700000000001</v>
      </c>
      <c r="CC43" s="397">
        <v>76.770200000000003</v>
      </c>
      <c r="CE43" s="5"/>
    </row>
    <row r="44" spans="1:83" x14ac:dyDescent="0.3">
      <c r="A44" s="7">
        <v>38</v>
      </c>
      <c r="B44" s="150" t="s">
        <v>144</v>
      </c>
      <c r="C44" s="150"/>
      <c r="D44" s="150"/>
      <c r="E44" s="150"/>
      <c r="F44" s="392">
        <v>3.7199999999999997E-2</v>
      </c>
      <c r="G44" s="392">
        <v>1.7343999999999999</v>
      </c>
      <c r="H44" s="392">
        <v>0.25969999999999999</v>
      </c>
      <c r="I44" s="392">
        <v>2.8000000000000001E-2</v>
      </c>
      <c r="J44" s="392">
        <v>0.6724</v>
      </c>
      <c r="K44" s="392">
        <v>0.1792</v>
      </c>
      <c r="L44" s="392">
        <v>0.72030000000000005</v>
      </c>
      <c r="M44" s="392">
        <v>0.10299999999999999</v>
      </c>
      <c r="N44" s="392">
        <v>0.27839999999999998</v>
      </c>
      <c r="O44" s="392">
        <v>6.88E-2</v>
      </c>
      <c r="P44" s="392">
        <v>0.25740000000000002</v>
      </c>
      <c r="Q44" s="392">
        <v>2.5700000000000001E-2</v>
      </c>
      <c r="R44" s="392">
        <v>0.1764</v>
      </c>
      <c r="S44" s="392">
        <v>0.16450000000000001</v>
      </c>
      <c r="T44" s="392">
        <v>4.4200000000000003E-2</v>
      </c>
      <c r="U44" s="392">
        <v>1.4537</v>
      </c>
      <c r="V44" s="392">
        <v>0.59599999999999997</v>
      </c>
      <c r="W44" s="392">
        <v>0.56910000000000005</v>
      </c>
      <c r="X44" s="392">
        <v>0.3044</v>
      </c>
      <c r="Y44" s="392">
        <v>0.43280000000000002</v>
      </c>
      <c r="Z44" s="392">
        <v>0.30020000000000002</v>
      </c>
      <c r="AA44" s="392">
        <v>0.53290000000000004</v>
      </c>
      <c r="AB44" s="392">
        <v>2.3414999999999999</v>
      </c>
      <c r="AC44" s="392">
        <v>2.1399999999999999E-2</v>
      </c>
      <c r="AD44" s="392">
        <v>2.5999999999999999E-2</v>
      </c>
      <c r="AE44" s="392">
        <v>2.8400000000000002E-2</v>
      </c>
      <c r="AF44" s="392">
        <v>3.5000000000000001E-3</v>
      </c>
      <c r="AG44" s="392">
        <v>8.9700000000000002E-2</v>
      </c>
      <c r="AH44" s="392">
        <v>6.8388999999999998</v>
      </c>
      <c r="AI44" s="392">
        <v>0.374</v>
      </c>
      <c r="AJ44" s="392">
        <v>5.6942000000000004</v>
      </c>
      <c r="AK44" s="392">
        <v>1.2213000000000001</v>
      </c>
      <c r="AL44" s="392">
        <v>5.1050000000000004</v>
      </c>
      <c r="AM44" s="392">
        <v>9.1700000000000004E-2</v>
      </c>
      <c r="AN44" s="392">
        <v>2.8616000000000001</v>
      </c>
      <c r="AO44" s="392">
        <v>1.9864999999999999</v>
      </c>
      <c r="AP44" s="392">
        <v>4.7300000000000002E-2</v>
      </c>
      <c r="AQ44" s="392">
        <v>1.155</v>
      </c>
      <c r="AR44" s="392">
        <v>0.5151</v>
      </c>
      <c r="AS44" s="392">
        <v>0.69750000000000001</v>
      </c>
      <c r="AT44" s="392">
        <v>0.6613</v>
      </c>
      <c r="AU44" s="392">
        <v>4.8860999999999999</v>
      </c>
      <c r="AV44" s="392">
        <v>1.4602999999999999</v>
      </c>
      <c r="AW44" s="392">
        <v>0.21229999999999999</v>
      </c>
      <c r="AX44" s="392">
        <v>0.98240000000000005</v>
      </c>
      <c r="AY44" s="392">
        <v>0.59589999999999999</v>
      </c>
      <c r="AZ44" s="392">
        <v>2.9925999999999999</v>
      </c>
      <c r="BA44" s="392">
        <v>0.50760000000000005</v>
      </c>
      <c r="BB44" s="392">
        <v>1.5178</v>
      </c>
      <c r="BC44" s="392">
        <v>0.74099999999999999</v>
      </c>
      <c r="BD44" s="392">
        <v>0.88819999999999999</v>
      </c>
      <c r="BE44" s="392">
        <v>0.22189999999999999</v>
      </c>
      <c r="BF44" s="392">
        <v>2.5394999999999999</v>
      </c>
      <c r="BG44" s="392">
        <v>12.9267</v>
      </c>
      <c r="BH44" s="392">
        <v>1.1540999999999999</v>
      </c>
      <c r="BI44" s="392">
        <v>15.9368</v>
      </c>
      <c r="BJ44" s="392">
        <v>14.4359</v>
      </c>
      <c r="BK44" s="392">
        <v>4.2142999999999997</v>
      </c>
      <c r="BL44" s="392">
        <v>2.2732000000000001</v>
      </c>
      <c r="BM44" s="392">
        <v>2.8349000000000002</v>
      </c>
      <c r="BN44" s="392">
        <v>4.6893000000000002</v>
      </c>
      <c r="BO44" s="392">
        <v>1.9604999999999999</v>
      </c>
      <c r="BP44" s="392">
        <v>0.20710000000000001</v>
      </c>
      <c r="BQ44" s="392">
        <v>8.2100000000000006E-2</v>
      </c>
      <c r="BR44" s="392"/>
      <c r="BS44" s="392">
        <v>116.95910000000001</v>
      </c>
      <c r="BT44" s="394">
        <v>446.1266</v>
      </c>
      <c r="BU44" s="394"/>
      <c r="BV44" s="394"/>
      <c r="BW44" s="395">
        <v>446.1266</v>
      </c>
      <c r="BX44" s="393"/>
      <c r="BY44" s="394"/>
      <c r="BZ44" s="394"/>
      <c r="CA44" s="394">
        <v>8.2286999999999999</v>
      </c>
      <c r="CB44" s="396">
        <v>454.3553</v>
      </c>
      <c r="CC44" s="397">
        <v>571.31439999999998</v>
      </c>
      <c r="CE44" s="5"/>
    </row>
    <row r="45" spans="1:83" x14ac:dyDescent="0.3">
      <c r="A45" s="7">
        <v>39</v>
      </c>
      <c r="B45" s="150" t="s">
        <v>145</v>
      </c>
      <c r="C45" s="150"/>
      <c r="D45" s="150"/>
      <c r="E45" s="150"/>
      <c r="F45" s="392">
        <v>0.2913</v>
      </c>
      <c r="G45" s="392">
        <v>1.2827999999999999</v>
      </c>
      <c r="H45" s="392">
        <v>5.8400000000000001E-2</v>
      </c>
      <c r="I45" s="392"/>
      <c r="J45" s="392">
        <v>5.8599999999999999E-2</v>
      </c>
      <c r="K45" s="392">
        <v>0.19170000000000001</v>
      </c>
      <c r="L45" s="392">
        <v>0.66600000000000004</v>
      </c>
      <c r="M45" s="392">
        <v>0.66930000000000001</v>
      </c>
      <c r="N45" s="392">
        <v>1.1234</v>
      </c>
      <c r="O45" s="392">
        <v>0.47149999999999997</v>
      </c>
      <c r="P45" s="392">
        <v>0.14119999999999999</v>
      </c>
      <c r="Q45" s="392"/>
      <c r="R45" s="392">
        <v>2.3999999999999998E-3</v>
      </c>
      <c r="S45" s="392"/>
      <c r="T45" s="392"/>
      <c r="U45" s="392"/>
      <c r="V45" s="392">
        <v>1.7230000000000001</v>
      </c>
      <c r="W45" s="392">
        <v>7.0000000000000007E-2</v>
      </c>
      <c r="X45" s="392">
        <v>2.93E-2</v>
      </c>
      <c r="Y45" s="392"/>
      <c r="Z45" s="392">
        <v>3.6499999999999998E-2</v>
      </c>
      <c r="AA45" s="392">
        <v>0.13850000000000001</v>
      </c>
      <c r="AB45" s="392"/>
      <c r="AC45" s="392">
        <v>0.26179999999999998</v>
      </c>
      <c r="AD45" s="392">
        <v>3.3599999999999998E-2</v>
      </c>
      <c r="AE45" s="392">
        <v>2.9899999999999999E-2</v>
      </c>
      <c r="AF45" s="392">
        <v>5.1299999999999998E-2</v>
      </c>
      <c r="AG45" s="392"/>
      <c r="AH45" s="392">
        <v>0.1135</v>
      </c>
      <c r="AI45" s="392">
        <v>4.2782999999999998</v>
      </c>
      <c r="AJ45" s="392">
        <v>14.2544</v>
      </c>
      <c r="AK45" s="392">
        <v>5.6478000000000002</v>
      </c>
      <c r="AL45" s="392">
        <v>0.36420000000000002</v>
      </c>
      <c r="AM45" s="392"/>
      <c r="AN45" s="392">
        <v>3.6299999999999999E-2</v>
      </c>
      <c r="AO45" s="392">
        <v>1.718</v>
      </c>
      <c r="AP45" s="392">
        <v>1.2451000000000001</v>
      </c>
      <c r="AQ45" s="392">
        <v>1.9495</v>
      </c>
      <c r="AR45" s="392">
        <v>4.8579999999999997</v>
      </c>
      <c r="AS45" s="392">
        <v>9.6000000000000002E-2</v>
      </c>
      <c r="AT45" s="392">
        <v>0.33529999999999999</v>
      </c>
      <c r="AU45" s="392">
        <v>8.9191000000000003</v>
      </c>
      <c r="AV45" s="392">
        <v>2.1221000000000001</v>
      </c>
      <c r="AW45" s="392">
        <v>0.504</v>
      </c>
      <c r="AX45" s="392">
        <v>1.5196000000000001</v>
      </c>
      <c r="AY45" s="392">
        <v>0.47920000000000001</v>
      </c>
      <c r="AZ45" s="392">
        <v>1.7694000000000001</v>
      </c>
      <c r="BA45" s="392">
        <v>1.2477</v>
      </c>
      <c r="BB45" s="392">
        <v>1.2121999999999999</v>
      </c>
      <c r="BC45" s="392">
        <v>12.290100000000001</v>
      </c>
      <c r="BD45" s="392">
        <v>0.62490000000000001</v>
      </c>
      <c r="BE45" s="392">
        <v>9.8100000000000007E-2</v>
      </c>
      <c r="BF45" s="392">
        <v>0.28670000000000001</v>
      </c>
      <c r="BG45" s="392">
        <v>0.81840000000000002</v>
      </c>
      <c r="BH45" s="392">
        <v>0.40560000000000002</v>
      </c>
      <c r="BI45" s="392">
        <v>5.0396000000000001</v>
      </c>
      <c r="BJ45" s="392">
        <v>9.9990000000000006</v>
      </c>
      <c r="BK45" s="392">
        <v>1.2048000000000001</v>
      </c>
      <c r="BL45" s="392">
        <v>0.21779999999999999</v>
      </c>
      <c r="BM45" s="392">
        <v>3.9929999999999999</v>
      </c>
      <c r="BN45" s="392">
        <v>0.63429999999999997</v>
      </c>
      <c r="BO45" s="392">
        <v>0.58919999999999995</v>
      </c>
      <c r="BP45" s="392">
        <v>3.0000000000000001E-3</v>
      </c>
      <c r="BQ45" s="392">
        <v>0.36109999999999998</v>
      </c>
      <c r="BR45" s="392"/>
      <c r="BS45" s="392">
        <v>96.565799999999996</v>
      </c>
      <c r="BT45" s="394">
        <v>51.4848</v>
      </c>
      <c r="BU45" s="394"/>
      <c r="BV45" s="394"/>
      <c r="BW45" s="395">
        <v>51.4848</v>
      </c>
      <c r="BX45" s="393">
        <v>4.0778999999999996</v>
      </c>
      <c r="BY45" s="394">
        <v>-1.6197999999999999</v>
      </c>
      <c r="BZ45" s="394">
        <v>2.4581</v>
      </c>
      <c r="CA45" s="394">
        <v>14.365500000000001</v>
      </c>
      <c r="CB45" s="396">
        <v>68.308400000000006</v>
      </c>
      <c r="CC45" s="397">
        <v>164.8742</v>
      </c>
      <c r="CE45" s="5"/>
    </row>
    <row r="46" spans="1:83" x14ac:dyDescent="0.3">
      <c r="A46" s="7">
        <v>40</v>
      </c>
      <c r="B46" s="150" t="s">
        <v>146</v>
      </c>
      <c r="C46" s="150"/>
      <c r="D46" s="150"/>
      <c r="E46" s="150"/>
      <c r="F46" s="392">
        <v>0.18179999999999999</v>
      </c>
      <c r="G46" s="392">
        <v>0.41289999999999999</v>
      </c>
      <c r="H46" s="392">
        <v>2.8E-3</v>
      </c>
      <c r="I46" s="392"/>
      <c r="J46" s="392">
        <v>0.32079999999999997</v>
      </c>
      <c r="K46" s="392">
        <v>6.2100000000000002E-2</v>
      </c>
      <c r="L46" s="392"/>
      <c r="M46" s="392"/>
      <c r="N46" s="392">
        <v>1.0463</v>
      </c>
      <c r="O46" s="392">
        <v>0.1065</v>
      </c>
      <c r="P46" s="392"/>
      <c r="Q46" s="392">
        <v>3.7000000000000002E-3</v>
      </c>
      <c r="R46" s="392"/>
      <c r="S46" s="392"/>
      <c r="T46" s="392"/>
      <c r="U46" s="392"/>
      <c r="V46" s="392"/>
      <c r="W46" s="392"/>
      <c r="X46" s="392">
        <v>0.187</v>
      </c>
      <c r="Y46" s="392"/>
      <c r="Z46" s="392">
        <v>6.4000000000000003E-3</v>
      </c>
      <c r="AA46" s="392"/>
      <c r="AB46" s="392"/>
      <c r="AC46" s="392">
        <v>0.43099999999999999</v>
      </c>
      <c r="AD46" s="392"/>
      <c r="AE46" s="392"/>
      <c r="AF46" s="392">
        <v>1.72E-2</v>
      </c>
      <c r="AG46" s="392">
        <v>7.0199999999999999E-2</v>
      </c>
      <c r="AH46" s="392">
        <v>0.13619999999999999</v>
      </c>
      <c r="AI46" s="392">
        <v>0.15509999999999999</v>
      </c>
      <c r="AJ46" s="392">
        <v>2.7105000000000001</v>
      </c>
      <c r="AK46" s="392">
        <v>0.1578</v>
      </c>
      <c r="AL46" s="392"/>
      <c r="AM46" s="392"/>
      <c r="AN46" s="392"/>
      <c r="AO46" s="392">
        <v>0.1638</v>
      </c>
      <c r="AP46" s="392">
        <v>8.6E-3</v>
      </c>
      <c r="AQ46" s="392">
        <v>2.6797</v>
      </c>
      <c r="AR46" s="392">
        <v>1.4101999999999999</v>
      </c>
      <c r="AS46" s="392">
        <v>23.851900000000001</v>
      </c>
      <c r="AT46" s="392">
        <v>10.2447</v>
      </c>
      <c r="AU46" s="392">
        <v>0.74829999999999997</v>
      </c>
      <c r="AV46" s="392">
        <v>0.89890000000000003</v>
      </c>
      <c r="AW46" s="392">
        <v>0.2737</v>
      </c>
      <c r="AX46" s="392">
        <v>0.32150000000000001</v>
      </c>
      <c r="AY46" s="392">
        <v>4.6600000000000003E-2</v>
      </c>
      <c r="AZ46" s="392">
        <v>5.7576999999999998</v>
      </c>
      <c r="BA46" s="392">
        <v>0.97160000000000002</v>
      </c>
      <c r="BB46" s="392">
        <v>6.4299999999999996E-2</v>
      </c>
      <c r="BC46" s="392">
        <v>3.2850999999999999</v>
      </c>
      <c r="BD46" s="392">
        <v>0.2235</v>
      </c>
      <c r="BE46" s="392">
        <v>1.8979999999999999</v>
      </c>
      <c r="BF46" s="392"/>
      <c r="BG46" s="392">
        <v>0.41120000000000001</v>
      </c>
      <c r="BH46" s="392">
        <v>0.85189999999999999</v>
      </c>
      <c r="BI46" s="392">
        <v>1.2734000000000001</v>
      </c>
      <c r="BJ46" s="392">
        <v>0.68240000000000001</v>
      </c>
      <c r="BK46" s="392">
        <v>0.20830000000000001</v>
      </c>
      <c r="BL46" s="392">
        <v>1.38E-2</v>
      </c>
      <c r="BM46" s="392">
        <v>1.7473000000000001</v>
      </c>
      <c r="BN46" s="392">
        <v>1.0309999999999999</v>
      </c>
      <c r="BO46" s="392">
        <v>3.9504999999999999</v>
      </c>
      <c r="BP46" s="392">
        <v>0.27729999999999999</v>
      </c>
      <c r="BQ46" s="392">
        <v>0.39950000000000002</v>
      </c>
      <c r="BR46" s="392"/>
      <c r="BS46" s="392">
        <v>69.703000000000003</v>
      </c>
      <c r="BT46" s="394">
        <v>8.6146999999999991</v>
      </c>
      <c r="BU46" s="394"/>
      <c r="BV46" s="394">
        <v>30.241</v>
      </c>
      <c r="BW46" s="395">
        <v>38.855699999999999</v>
      </c>
      <c r="BX46" s="393">
        <v>10.5747</v>
      </c>
      <c r="BY46" s="394">
        <v>3.1303999999999998</v>
      </c>
      <c r="BZ46" s="394">
        <v>13.7051</v>
      </c>
      <c r="CA46" s="394">
        <v>12.263500000000001</v>
      </c>
      <c r="CB46" s="396">
        <v>64.824299999999994</v>
      </c>
      <c r="CC46" s="397">
        <v>134.5273</v>
      </c>
      <c r="CE46" s="5"/>
    </row>
    <row r="47" spans="1:83" x14ac:dyDescent="0.3">
      <c r="A47" s="7">
        <v>41</v>
      </c>
      <c r="B47" s="150" t="s">
        <v>147</v>
      </c>
      <c r="C47" s="150"/>
      <c r="D47" s="150"/>
      <c r="E47" s="150"/>
      <c r="F47" s="392">
        <v>1.9664999999999999</v>
      </c>
      <c r="G47" s="392">
        <v>3.6793</v>
      </c>
      <c r="H47" s="392">
        <v>0.33710000000000001</v>
      </c>
      <c r="I47" s="392">
        <v>0.52370000000000005</v>
      </c>
      <c r="J47" s="392">
        <v>3.9114</v>
      </c>
      <c r="K47" s="392">
        <v>1.4132</v>
      </c>
      <c r="L47" s="392">
        <v>6.2225999999999999</v>
      </c>
      <c r="M47" s="392">
        <v>0.47720000000000001</v>
      </c>
      <c r="N47" s="392">
        <v>2.2866</v>
      </c>
      <c r="O47" s="392">
        <v>0.1593</v>
      </c>
      <c r="P47" s="392">
        <v>1.2704</v>
      </c>
      <c r="Q47" s="392">
        <v>0.17380000000000001</v>
      </c>
      <c r="R47" s="392">
        <v>2.0154999999999998</v>
      </c>
      <c r="S47" s="392">
        <v>2.1930000000000001</v>
      </c>
      <c r="T47" s="392"/>
      <c r="U47" s="392">
        <v>2.6423999999999999</v>
      </c>
      <c r="V47" s="392">
        <v>14.5738</v>
      </c>
      <c r="W47" s="392">
        <v>0.8427</v>
      </c>
      <c r="X47" s="392">
        <v>1.6674</v>
      </c>
      <c r="Y47" s="392">
        <v>0.72130000000000005</v>
      </c>
      <c r="Z47" s="392">
        <v>0.24030000000000001</v>
      </c>
      <c r="AA47" s="392">
        <v>1.2515000000000001</v>
      </c>
      <c r="AB47" s="392">
        <v>0.17680000000000001</v>
      </c>
      <c r="AC47" s="392">
        <v>4.0077999999999996</v>
      </c>
      <c r="AD47" s="392">
        <v>0.42559999999999998</v>
      </c>
      <c r="AE47" s="392">
        <v>0.1249</v>
      </c>
      <c r="AF47" s="392">
        <v>0.31840000000000002</v>
      </c>
      <c r="AG47" s="392">
        <v>1.3389</v>
      </c>
      <c r="AH47" s="392">
        <v>10.073600000000001</v>
      </c>
      <c r="AI47" s="392">
        <v>1.7869999999999999</v>
      </c>
      <c r="AJ47" s="392">
        <v>21.492100000000001</v>
      </c>
      <c r="AK47" s="392">
        <v>6.6055999999999999</v>
      </c>
      <c r="AL47" s="392">
        <v>7.3868</v>
      </c>
      <c r="AM47" s="392"/>
      <c r="AN47" s="392">
        <v>0.14149999999999999</v>
      </c>
      <c r="AO47" s="392">
        <v>11.6402</v>
      </c>
      <c r="AP47" s="392">
        <v>0.40329999999999999</v>
      </c>
      <c r="AQ47" s="392">
        <v>2.7113999999999998</v>
      </c>
      <c r="AR47" s="392">
        <v>1.3509</v>
      </c>
      <c r="AS47" s="392">
        <v>7.9302999999999999</v>
      </c>
      <c r="AT47" s="392">
        <v>265.67529999999999</v>
      </c>
      <c r="AU47" s="392">
        <v>15.7805</v>
      </c>
      <c r="AV47" s="392">
        <v>5.5491000000000001</v>
      </c>
      <c r="AW47" s="392">
        <v>2.1608000000000001</v>
      </c>
      <c r="AX47" s="392">
        <v>3.1478999999999999</v>
      </c>
      <c r="AY47" s="392">
        <v>8.4588000000000001</v>
      </c>
      <c r="AZ47" s="392">
        <v>3.85</v>
      </c>
      <c r="BA47" s="392">
        <v>2.0333000000000001</v>
      </c>
      <c r="BB47" s="392">
        <v>0.94689999999999996</v>
      </c>
      <c r="BC47" s="392">
        <v>7.9100999999999999</v>
      </c>
      <c r="BD47" s="392">
        <v>1.8284</v>
      </c>
      <c r="BE47" s="392">
        <v>0.52249999999999996</v>
      </c>
      <c r="BF47" s="392">
        <v>0.78869999999999996</v>
      </c>
      <c r="BG47" s="392">
        <v>0.75749999999999995</v>
      </c>
      <c r="BH47" s="392">
        <v>4.8407</v>
      </c>
      <c r="BI47" s="392">
        <v>3.5114000000000001</v>
      </c>
      <c r="BJ47" s="392">
        <v>3.5605000000000002</v>
      </c>
      <c r="BK47" s="392">
        <v>1.7623</v>
      </c>
      <c r="BL47" s="392">
        <v>0.33339999999999997</v>
      </c>
      <c r="BM47" s="392">
        <v>0.92789999999999995</v>
      </c>
      <c r="BN47" s="392">
        <v>2.0554999999999999</v>
      </c>
      <c r="BO47" s="392">
        <v>1.9268000000000001</v>
      </c>
      <c r="BP47" s="392">
        <v>8.2199999999999995E-2</v>
      </c>
      <c r="BQ47" s="392">
        <v>0.33479999999999999</v>
      </c>
      <c r="BR47" s="392"/>
      <c r="BS47" s="392">
        <v>465.2294</v>
      </c>
      <c r="BT47" s="394">
        <v>231.12889999999999</v>
      </c>
      <c r="BU47" s="394"/>
      <c r="BV47" s="394"/>
      <c r="BW47" s="395">
        <v>231.12889999999999</v>
      </c>
      <c r="BX47" s="393"/>
      <c r="BY47" s="394"/>
      <c r="BZ47" s="394"/>
      <c r="CA47" s="394">
        <v>144.58959999999999</v>
      </c>
      <c r="CB47" s="396">
        <v>375.71850000000001</v>
      </c>
      <c r="CC47" s="397">
        <v>840.9479</v>
      </c>
      <c r="CE47" s="5"/>
    </row>
    <row r="48" spans="1:83" x14ac:dyDescent="0.3">
      <c r="A48" s="7">
        <v>42</v>
      </c>
      <c r="B48" s="150" t="s">
        <v>148</v>
      </c>
      <c r="C48" s="150"/>
      <c r="D48" s="150"/>
      <c r="E48" s="150"/>
      <c r="F48" s="392">
        <v>2.8500000000000001E-2</v>
      </c>
      <c r="G48" s="392">
        <v>1.6</v>
      </c>
      <c r="H48" s="392">
        <v>1.41E-2</v>
      </c>
      <c r="I48" s="392">
        <v>0.71909999999999996</v>
      </c>
      <c r="J48" s="392">
        <v>1.7105999999999999</v>
      </c>
      <c r="K48" s="392">
        <v>0.65839999999999999</v>
      </c>
      <c r="L48" s="392">
        <v>0.64070000000000005</v>
      </c>
      <c r="M48" s="392">
        <v>0.3458</v>
      </c>
      <c r="N48" s="392">
        <v>0.72889999999999999</v>
      </c>
      <c r="O48" s="392">
        <v>0.1103</v>
      </c>
      <c r="P48" s="392">
        <v>0.1804</v>
      </c>
      <c r="Q48" s="392">
        <v>2.87E-2</v>
      </c>
      <c r="R48" s="392">
        <v>0.48549999999999999</v>
      </c>
      <c r="S48" s="392">
        <v>7.7499999999999999E-2</v>
      </c>
      <c r="T48" s="392">
        <v>1.1299999999999999E-2</v>
      </c>
      <c r="U48" s="392">
        <v>1.8050999999999999</v>
      </c>
      <c r="V48" s="392">
        <v>3.7039</v>
      </c>
      <c r="W48" s="392"/>
      <c r="X48" s="392">
        <v>0.29970000000000002</v>
      </c>
      <c r="Y48" s="392">
        <v>0.3125</v>
      </c>
      <c r="Z48" s="392">
        <v>0.2331</v>
      </c>
      <c r="AA48" s="392">
        <v>0.37690000000000001</v>
      </c>
      <c r="AB48" s="392">
        <v>8.3000000000000001E-3</v>
      </c>
      <c r="AC48" s="392">
        <v>4.1143999999999998</v>
      </c>
      <c r="AD48" s="392">
        <v>0.38840000000000002</v>
      </c>
      <c r="AE48" s="392">
        <v>0.61819999999999997</v>
      </c>
      <c r="AF48" s="392">
        <v>0.1104</v>
      </c>
      <c r="AG48" s="392">
        <v>0.19620000000000001</v>
      </c>
      <c r="AH48" s="392">
        <v>2.0918999999999999</v>
      </c>
      <c r="AI48" s="392">
        <v>3.7372999999999998</v>
      </c>
      <c r="AJ48" s="392">
        <v>22.390699999999999</v>
      </c>
      <c r="AK48" s="392">
        <v>6.7237</v>
      </c>
      <c r="AL48" s="392">
        <v>4.2191000000000001</v>
      </c>
      <c r="AM48" s="392">
        <v>0.18160000000000001</v>
      </c>
      <c r="AN48" s="392">
        <v>0.5897</v>
      </c>
      <c r="AO48" s="392">
        <v>5.7518000000000002</v>
      </c>
      <c r="AP48" s="392">
        <v>0.1827</v>
      </c>
      <c r="AQ48" s="392">
        <v>1.6475</v>
      </c>
      <c r="AR48" s="392">
        <v>3.9083000000000001</v>
      </c>
      <c r="AS48" s="392">
        <v>0.87670000000000003</v>
      </c>
      <c r="AT48" s="392">
        <v>14.129</v>
      </c>
      <c r="AU48" s="392">
        <v>36.572899999999997</v>
      </c>
      <c r="AV48" s="392">
        <v>12.811400000000001</v>
      </c>
      <c r="AW48" s="392">
        <v>2.7955999999999999</v>
      </c>
      <c r="AX48" s="392">
        <v>3.9824999999999999</v>
      </c>
      <c r="AY48" s="392">
        <v>2.8641000000000001</v>
      </c>
      <c r="AZ48" s="392">
        <v>16.266400000000001</v>
      </c>
      <c r="BA48" s="392">
        <v>3.4074</v>
      </c>
      <c r="BB48" s="392">
        <v>1.9829000000000001</v>
      </c>
      <c r="BC48" s="392">
        <v>7.0579999999999998</v>
      </c>
      <c r="BD48" s="392">
        <v>0.5262</v>
      </c>
      <c r="BE48" s="392">
        <v>1.5737000000000001</v>
      </c>
      <c r="BF48" s="392">
        <v>0.59730000000000005</v>
      </c>
      <c r="BG48" s="392">
        <v>0.98019999999999996</v>
      </c>
      <c r="BH48" s="392">
        <v>2.7473000000000001</v>
      </c>
      <c r="BI48" s="392">
        <v>16.516200000000001</v>
      </c>
      <c r="BJ48" s="392">
        <v>3.2517999999999998</v>
      </c>
      <c r="BK48" s="392">
        <v>2.8702000000000001</v>
      </c>
      <c r="BL48" s="392">
        <v>0.1096</v>
      </c>
      <c r="BM48" s="392">
        <v>1.2724</v>
      </c>
      <c r="BN48" s="392">
        <v>0.44059999999999999</v>
      </c>
      <c r="BO48" s="392">
        <v>0.75639999999999996</v>
      </c>
      <c r="BP48" s="392">
        <v>0.2757</v>
      </c>
      <c r="BQ48" s="392">
        <v>0.72509999999999997</v>
      </c>
      <c r="BR48" s="392"/>
      <c r="BS48" s="392">
        <v>206.32079999999999</v>
      </c>
      <c r="BT48" s="394">
        <v>4.7199999999999999E-2</v>
      </c>
      <c r="BU48" s="394"/>
      <c r="BV48" s="394">
        <v>6.1523000000000003</v>
      </c>
      <c r="BW48" s="395">
        <v>6.1994999999999996</v>
      </c>
      <c r="BX48" s="393">
        <v>110.7937</v>
      </c>
      <c r="BY48" s="394">
        <v>0.33139999999999997</v>
      </c>
      <c r="BZ48" s="394">
        <v>111.1251</v>
      </c>
      <c r="CA48" s="394">
        <v>151.64340000000001</v>
      </c>
      <c r="CB48" s="396">
        <v>268.96800000000002</v>
      </c>
      <c r="CC48" s="397">
        <v>475.28879999999998</v>
      </c>
      <c r="CE48" s="5"/>
    </row>
    <row r="49" spans="1:83" x14ac:dyDescent="0.3">
      <c r="A49" s="7">
        <v>43</v>
      </c>
      <c r="B49" s="150" t="s">
        <v>149</v>
      </c>
      <c r="C49" s="150"/>
      <c r="D49" s="150"/>
      <c r="E49" s="150"/>
      <c r="F49" s="392">
        <v>4.8784000000000001</v>
      </c>
      <c r="G49" s="392">
        <v>3.4598</v>
      </c>
      <c r="H49" s="392">
        <v>0.74250000000000005</v>
      </c>
      <c r="I49" s="392">
        <v>0.84050000000000002</v>
      </c>
      <c r="J49" s="392">
        <v>4.7415000000000003</v>
      </c>
      <c r="K49" s="392">
        <v>2.3109999999999999</v>
      </c>
      <c r="L49" s="392">
        <v>4.9071999999999996</v>
      </c>
      <c r="M49" s="392">
        <v>0.80120000000000002</v>
      </c>
      <c r="N49" s="392">
        <v>0.7994</v>
      </c>
      <c r="O49" s="392">
        <v>0.70250000000000001</v>
      </c>
      <c r="P49" s="392">
        <v>1.0643</v>
      </c>
      <c r="Q49" s="392">
        <v>9.1300000000000006E-2</v>
      </c>
      <c r="R49" s="392">
        <v>0.9859</v>
      </c>
      <c r="S49" s="392">
        <v>0.80720000000000003</v>
      </c>
      <c r="T49" s="392">
        <v>0.28699999999999998</v>
      </c>
      <c r="U49" s="392">
        <v>2.7418</v>
      </c>
      <c r="V49" s="392">
        <v>2.9872000000000001</v>
      </c>
      <c r="W49" s="392">
        <v>1.6151</v>
      </c>
      <c r="X49" s="392">
        <v>1.0267999999999999</v>
      </c>
      <c r="Y49" s="392">
        <v>1.1097999999999999</v>
      </c>
      <c r="Z49" s="392">
        <v>0.2898</v>
      </c>
      <c r="AA49" s="392">
        <v>1.952</v>
      </c>
      <c r="AB49" s="392">
        <v>0.87150000000000005</v>
      </c>
      <c r="AC49" s="392">
        <v>7.5194999999999999</v>
      </c>
      <c r="AD49" s="392">
        <v>2.1368999999999998</v>
      </c>
      <c r="AE49" s="392">
        <v>2.8349000000000002</v>
      </c>
      <c r="AF49" s="392">
        <v>0.52370000000000005</v>
      </c>
      <c r="AG49" s="392">
        <v>1.3364</v>
      </c>
      <c r="AH49" s="392">
        <v>15.4278</v>
      </c>
      <c r="AI49" s="392">
        <v>5.0096999999999996</v>
      </c>
      <c r="AJ49" s="392">
        <v>17.596399999999999</v>
      </c>
      <c r="AK49" s="392">
        <v>28.264900000000001</v>
      </c>
      <c r="AL49" s="392">
        <v>5.2268999999999997</v>
      </c>
      <c r="AM49" s="392">
        <v>0.59430000000000005</v>
      </c>
      <c r="AN49" s="392">
        <v>0.57779999999999998</v>
      </c>
      <c r="AO49" s="392">
        <v>6.6852</v>
      </c>
      <c r="AP49" s="392">
        <v>1.1329</v>
      </c>
      <c r="AQ49" s="392">
        <v>4.7945000000000002</v>
      </c>
      <c r="AR49" s="392">
        <v>0.86480000000000001</v>
      </c>
      <c r="AS49" s="392">
        <v>0.26800000000000002</v>
      </c>
      <c r="AT49" s="392">
        <v>3.8349000000000002</v>
      </c>
      <c r="AU49" s="392">
        <v>1.6577999999999999</v>
      </c>
      <c r="AV49" s="392">
        <v>53.699300000000001</v>
      </c>
      <c r="AW49" s="392">
        <v>8.4884000000000004</v>
      </c>
      <c r="AX49" s="392">
        <v>12.3803</v>
      </c>
      <c r="AY49" s="392">
        <v>74.715900000000005</v>
      </c>
      <c r="AZ49" s="392">
        <v>4.4009999999999998</v>
      </c>
      <c r="BA49" s="392">
        <v>2.2536999999999998</v>
      </c>
      <c r="BB49" s="392">
        <v>0.37140000000000001</v>
      </c>
      <c r="BC49" s="392">
        <v>2.4756</v>
      </c>
      <c r="BD49" s="392">
        <v>0.7097</v>
      </c>
      <c r="BE49" s="392">
        <v>13.4886</v>
      </c>
      <c r="BF49" s="392">
        <v>4.9793000000000003</v>
      </c>
      <c r="BG49" s="392">
        <v>3.1892</v>
      </c>
      <c r="BH49" s="392">
        <v>12.554500000000001</v>
      </c>
      <c r="BI49" s="392">
        <v>9.2728000000000002</v>
      </c>
      <c r="BJ49" s="392">
        <v>1.2262999999999999</v>
      </c>
      <c r="BK49" s="392">
        <v>1.8189</v>
      </c>
      <c r="BL49" s="392">
        <v>0.5222</v>
      </c>
      <c r="BM49" s="392">
        <v>1.1735</v>
      </c>
      <c r="BN49" s="392">
        <v>1.8587</v>
      </c>
      <c r="BO49" s="392">
        <v>3.2774999999999999</v>
      </c>
      <c r="BP49" s="392">
        <v>1.5883</v>
      </c>
      <c r="BQ49" s="392">
        <v>4.5781999999999998</v>
      </c>
      <c r="BR49" s="392"/>
      <c r="BS49" s="392">
        <v>365.32429999999999</v>
      </c>
      <c r="BT49" s="394">
        <v>215.96520000000001</v>
      </c>
      <c r="BU49" s="394"/>
      <c r="BV49" s="394"/>
      <c r="BW49" s="395">
        <v>215.96520000000001</v>
      </c>
      <c r="BX49" s="393"/>
      <c r="BY49" s="394"/>
      <c r="BZ49" s="394"/>
      <c r="CA49" s="394">
        <v>66.168099999999995</v>
      </c>
      <c r="CB49" s="396">
        <v>282.13330000000002</v>
      </c>
      <c r="CC49" s="397">
        <v>647.45759999999996</v>
      </c>
      <c r="CE49" s="5"/>
    </row>
    <row r="50" spans="1:83" x14ac:dyDescent="0.3">
      <c r="A50" s="7">
        <v>44</v>
      </c>
      <c r="B50" s="150" t="s">
        <v>150</v>
      </c>
      <c r="C50" s="150"/>
      <c r="D50" s="150"/>
      <c r="E50" s="150"/>
      <c r="F50" s="392">
        <v>0.29749999999999999</v>
      </c>
      <c r="G50" s="392">
        <v>3.4099999999999998E-2</v>
      </c>
      <c r="H50" s="392">
        <v>2.63E-2</v>
      </c>
      <c r="I50" s="392">
        <v>1.52E-2</v>
      </c>
      <c r="J50" s="392">
        <v>0.44619999999999999</v>
      </c>
      <c r="K50" s="392">
        <v>0.42349999999999999</v>
      </c>
      <c r="L50" s="392">
        <v>1.3295999999999999</v>
      </c>
      <c r="M50" s="392">
        <v>1.0427999999999999</v>
      </c>
      <c r="N50" s="392">
        <v>0.34939999999999999</v>
      </c>
      <c r="O50" s="392">
        <v>0.10630000000000001</v>
      </c>
      <c r="P50" s="392">
        <v>0.17100000000000001</v>
      </c>
      <c r="Q50" s="392">
        <v>4.1399999999999999E-2</v>
      </c>
      <c r="R50" s="392">
        <v>0.1777</v>
      </c>
      <c r="S50" s="392">
        <v>0.23150000000000001</v>
      </c>
      <c r="T50" s="392"/>
      <c r="U50" s="392">
        <v>0.13070000000000001</v>
      </c>
      <c r="V50" s="392">
        <v>0.1205</v>
      </c>
      <c r="W50" s="392">
        <v>0.15379999999999999</v>
      </c>
      <c r="X50" s="392">
        <v>0.1507</v>
      </c>
      <c r="Y50" s="392">
        <v>0.1268</v>
      </c>
      <c r="Z50" s="392">
        <v>0.16139999999999999</v>
      </c>
      <c r="AA50" s="392">
        <v>0.48620000000000002</v>
      </c>
      <c r="AB50" s="392">
        <v>0.15690000000000001</v>
      </c>
      <c r="AC50" s="392">
        <v>0.92749999999999999</v>
      </c>
      <c r="AD50" s="392">
        <v>3.9100000000000003E-2</v>
      </c>
      <c r="AE50" s="392">
        <v>0.22750000000000001</v>
      </c>
      <c r="AF50" s="392">
        <v>0.26229999999999998</v>
      </c>
      <c r="AG50" s="392">
        <v>0.21890000000000001</v>
      </c>
      <c r="AH50" s="392">
        <v>4.5750000000000002</v>
      </c>
      <c r="AI50" s="392">
        <v>1.0886</v>
      </c>
      <c r="AJ50" s="392">
        <v>9.1119000000000003</v>
      </c>
      <c r="AK50" s="392">
        <v>0.7329</v>
      </c>
      <c r="AL50" s="392">
        <v>11.4765</v>
      </c>
      <c r="AM50" s="392">
        <v>1.0096000000000001</v>
      </c>
      <c r="AN50" s="392">
        <v>7.0699999999999999E-2</v>
      </c>
      <c r="AO50" s="392">
        <v>4.4093</v>
      </c>
      <c r="AP50" s="392">
        <v>4.41E-2</v>
      </c>
      <c r="AQ50" s="392">
        <v>1.0350999999999999</v>
      </c>
      <c r="AR50" s="392">
        <v>7.4200000000000002E-2</v>
      </c>
      <c r="AS50" s="392">
        <v>6.8000000000000005E-2</v>
      </c>
      <c r="AT50" s="392">
        <v>0.1157</v>
      </c>
      <c r="AU50" s="392">
        <v>0.48799999999999999</v>
      </c>
      <c r="AV50" s="392">
        <v>5.0079000000000002</v>
      </c>
      <c r="AW50" s="392">
        <v>7.5016999999999996</v>
      </c>
      <c r="AX50" s="392">
        <v>1.8243</v>
      </c>
      <c r="AY50" s="392">
        <v>9.2763000000000009</v>
      </c>
      <c r="AZ50" s="392">
        <v>2.8936999999999999</v>
      </c>
      <c r="BA50" s="392">
        <v>1.0201</v>
      </c>
      <c r="BB50" s="392">
        <v>0.13550000000000001</v>
      </c>
      <c r="BC50" s="392">
        <v>0.94299999999999995</v>
      </c>
      <c r="BD50" s="392">
        <v>0.15179999999999999</v>
      </c>
      <c r="BE50" s="392">
        <v>0.42330000000000001</v>
      </c>
      <c r="BF50" s="392">
        <v>0.11409999999999999</v>
      </c>
      <c r="BG50" s="392">
        <v>0.04</v>
      </c>
      <c r="BH50" s="392">
        <v>1.0144</v>
      </c>
      <c r="BI50" s="392">
        <v>1.5495000000000001</v>
      </c>
      <c r="BJ50" s="392">
        <v>0.76539999999999997</v>
      </c>
      <c r="BK50" s="392">
        <v>0.72240000000000004</v>
      </c>
      <c r="BL50" s="392">
        <v>0.1399</v>
      </c>
      <c r="BM50" s="392">
        <v>0.23069999999999999</v>
      </c>
      <c r="BN50" s="392">
        <v>0.27879999999999999</v>
      </c>
      <c r="BO50" s="392">
        <v>8.1900000000000001E-2</v>
      </c>
      <c r="BP50" s="392">
        <v>3.6499999999999998E-2</v>
      </c>
      <c r="BQ50" s="392">
        <v>0.17069999999999999</v>
      </c>
      <c r="BR50" s="392"/>
      <c r="BS50" s="392">
        <v>76.476299999999995</v>
      </c>
      <c r="BT50" s="394">
        <v>63.061799999999998</v>
      </c>
      <c r="BU50" s="394"/>
      <c r="BV50" s="394"/>
      <c r="BW50" s="395">
        <v>63.061799999999998</v>
      </c>
      <c r="BX50" s="393"/>
      <c r="BY50" s="394"/>
      <c r="BZ50" s="394"/>
      <c r="CA50" s="394">
        <v>6.72</v>
      </c>
      <c r="CB50" s="396">
        <v>69.781800000000004</v>
      </c>
      <c r="CC50" s="397">
        <v>146.25810000000001</v>
      </c>
      <c r="CE50" s="5"/>
    </row>
    <row r="51" spans="1:83" x14ac:dyDescent="0.3">
      <c r="A51" s="7">
        <v>45</v>
      </c>
      <c r="B51" s="150" t="s">
        <v>151</v>
      </c>
      <c r="C51" s="150"/>
      <c r="D51" s="150"/>
      <c r="E51" s="150"/>
      <c r="F51" s="392">
        <v>6.9900000000000004E-2</v>
      </c>
      <c r="G51" s="392">
        <v>0.152</v>
      </c>
      <c r="H51" s="392">
        <v>2.6700000000000002E-2</v>
      </c>
      <c r="I51" s="392">
        <v>3.3500000000000002E-2</v>
      </c>
      <c r="J51" s="392">
        <v>0.19520000000000001</v>
      </c>
      <c r="K51" s="392">
        <v>0.2107</v>
      </c>
      <c r="L51" s="392">
        <v>6.3600000000000004E-2</v>
      </c>
      <c r="M51" s="392">
        <v>4.8399999999999999E-2</v>
      </c>
      <c r="N51" s="392">
        <v>1.29E-2</v>
      </c>
      <c r="O51" s="392">
        <v>2.7000000000000001E-3</v>
      </c>
      <c r="P51" s="392">
        <v>2.47E-2</v>
      </c>
      <c r="Q51" s="392"/>
      <c r="R51" s="392">
        <v>4.1200000000000001E-2</v>
      </c>
      <c r="S51" s="392"/>
      <c r="T51" s="392"/>
      <c r="U51" s="392"/>
      <c r="V51" s="392">
        <v>0.161</v>
      </c>
      <c r="W51" s="392">
        <v>3.8300000000000001E-2</v>
      </c>
      <c r="X51" s="392">
        <v>6.7199999999999996E-2</v>
      </c>
      <c r="Y51" s="392">
        <v>8.8000000000000005E-3</v>
      </c>
      <c r="Z51" s="392">
        <v>7.6799999999999993E-2</v>
      </c>
      <c r="AA51" s="392">
        <v>0.14230000000000001</v>
      </c>
      <c r="AB51" s="392">
        <v>1.3899999999999999E-2</v>
      </c>
      <c r="AC51" s="392">
        <v>4.0399999999999998E-2</v>
      </c>
      <c r="AD51" s="392"/>
      <c r="AE51" s="392"/>
      <c r="AF51" s="392">
        <v>8.0999999999999996E-3</v>
      </c>
      <c r="AG51" s="392">
        <v>3.2000000000000001E-2</v>
      </c>
      <c r="AH51" s="392">
        <v>0.34820000000000001</v>
      </c>
      <c r="AI51" s="392">
        <v>1.5599999999999999E-2</v>
      </c>
      <c r="AJ51" s="392">
        <v>1.7823</v>
      </c>
      <c r="AK51" s="392">
        <v>4.0494000000000003</v>
      </c>
      <c r="AL51" s="392">
        <v>0.1532</v>
      </c>
      <c r="AM51" s="392">
        <v>0.107</v>
      </c>
      <c r="AN51" s="392">
        <v>3.2399999999999998E-2</v>
      </c>
      <c r="AO51" s="392">
        <v>0.1958</v>
      </c>
      <c r="AP51" s="392"/>
      <c r="AQ51" s="392">
        <v>0.68620000000000003</v>
      </c>
      <c r="AR51" s="392">
        <v>0.10630000000000001</v>
      </c>
      <c r="AS51" s="392">
        <v>4.0000000000000001E-3</v>
      </c>
      <c r="AT51" s="392">
        <v>0.39979999999999999</v>
      </c>
      <c r="AU51" s="392">
        <v>8.9999999999999993E-3</v>
      </c>
      <c r="AV51" s="392">
        <v>48.622599999999998</v>
      </c>
      <c r="AW51" s="392">
        <v>28.177900000000001</v>
      </c>
      <c r="AX51" s="392">
        <v>29.299299999999999</v>
      </c>
      <c r="AY51" s="392">
        <v>0.36659999999999998</v>
      </c>
      <c r="AZ51" s="392">
        <v>4.1391</v>
      </c>
      <c r="BA51" s="392">
        <v>0.15379999999999999</v>
      </c>
      <c r="BB51" s="392">
        <v>5.5300000000000002E-2</v>
      </c>
      <c r="BC51" s="392">
        <v>0.31819999999999998</v>
      </c>
      <c r="BD51" s="392">
        <v>0.3226</v>
      </c>
      <c r="BE51" s="392">
        <v>0.1142</v>
      </c>
      <c r="BF51" s="392">
        <v>4.7199999999999999E-2</v>
      </c>
      <c r="BG51" s="392">
        <v>8.6999999999999994E-3</v>
      </c>
      <c r="BH51" s="392">
        <v>0.4632</v>
      </c>
      <c r="BI51" s="392"/>
      <c r="BJ51" s="392">
        <v>3.8999999999999998E-3</v>
      </c>
      <c r="BK51" s="392">
        <v>6.13E-2</v>
      </c>
      <c r="BL51" s="392">
        <v>8.0000000000000004E-4</v>
      </c>
      <c r="BM51" s="392">
        <v>6.8099999999999994E-2</v>
      </c>
      <c r="BN51" s="392">
        <v>0.10970000000000001</v>
      </c>
      <c r="BO51" s="392">
        <v>1.6000000000000001E-3</v>
      </c>
      <c r="BP51" s="392">
        <v>2.3E-2</v>
      </c>
      <c r="BQ51" s="392">
        <v>0.1401</v>
      </c>
      <c r="BR51" s="392"/>
      <c r="BS51" s="392">
        <v>121.8567</v>
      </c>
      <c r="BT51" s="394">
        <v>10.9915</v>
      </c>
      <c r="BU51" s="394"/>
      <c r="BV51" s="394"/>
      <c r="BW51" s="395">
        <v>10.9915</v>
      </c>
      <c r="BX51" s="393"/>
      <c r="BY51" s="394"/>
      <c r="BZ51" s="394"/>
      <c r="CA51" s="394">
        <v>38.418500000000002</v>
      </c>
      <c r="CB51" s="396">
        <v>49.41</v>
      </c>
      <c r="CC51" s="397">
        <v>171.26669999999999</v>
      </c>
      <c r="CE51" s="5"/>
    </row>
    <row r="52" spans="1:83" x14ac:dyDescent="0.3">
      <c r="A52" s="7">
        <v>46</v>
      </c>
      <c r="B52" s="150" t="s">
        <v>12</v>
      </c>
      <c r="C52" s="150"/>
      <c r="D52" s="150"/>
      <c r="E52" s="150"/>
      <c r="F52" s="392">
        <v>1.9355</v>
      </c>
      <c r="G52" s="392">
        <v>5.0556999999999999</v>
      </c>
      <c r="H52" s="392">
        <v>0.24790000000000001</v>
      </c>
      <c r="I52" s="392">
        <v>0.87639999999999996</v>
      </c>
      <c r="J52" s="392">
        <v>7.8513999999999999</v>
      </c>
      <c r="K52" s="392">
        <v>8.0801999999999996</v>
      </c>
      <c r="L52" s="392">
        <v>10.269299999999999</v>
      </c>
      <c r="M52" s="392">
        <v>1.5263</v>
      </c>
      <c r="N52" s="392">
        <v>3.2050999999999998</v>
      </c>
      <c r="O52" s="392"/>
      <c r="P52" s="392">
        <v>0.21829999999999999</v>
      </c>
      <c r="Q52" s="392"/>
      <c r="R52" s="392">
        <v>5.3601999999999999</v>
      </c>
      <c r="S52" s="392">
        <v>1.2101999999999999</v>
      </c>
      <c r="T52" s="392">
        <v>1.0577000000000001</v>
      </c>
      <c r="U52" s="392">
        <v>10.738099999999999</v>
      </c>
      <c r="V52" s="392">
        <v>5.4381000000000004</v>
      </c>
      <c r="W52" s="392">
        <v>3.4927999999999999</v>
      </c>
      <c r="X52" s="392">
        <v>4.0655000000000001</v>
      </c>
      <c r="Y52" s="392">
        <v>5.8159999999999998</v>
      </c>
      <c r="Z52" s="392">
        <v>0.66180000000000005</v>
      </c>
      <c r="AA52" s="392">
        <v>7.3776000000000002</v>
      </c>
      <c r="AB52" s="392">
        <v>6.5160999999999998</v>
      </c>
      <c r="AC52" s="392">
        <v>5.9781000000000004</v>
      </c>
      <c r="AD52" s="392">
        <v>0.33579999999999999</v>
      </c>
      <c r="AE52" s="392">
        <v>0.63470000000000004</v>
      </c>
      <c r="AF52" s="392">
        <v>1.0121</v>
      </c>
      <c r="AG52" s="392">
        <v>6.5685000000000002</v>
      </c>
      <c r="AH52" s="392">
        <v>11.502800000000001</v>
      </c>
      <c r="AI52" s="392">
        <v>29.579000000000001</v>
      </c>
      <c r="AJ52" s="392">
        <v>86.252200000000002</v>
      </c>
      <c r="AK52" s="392">
        <v>168.0599</v>
      </c>
      <c r="AL52" s="392">
        <v>8.0227000000000004</v>
      </c>
      <c r="AM52" s="392"/>
      <c r="AN52" s="392">
        <v>6.88E-2</v>
      </c>
      <c r="AO52" s="392">
        <v>48.402999999999999</v>
      </c>
      <c r="AP52" s="392">
        <v>0.68569999999999998</v>
      </c>
      <c r="AQ52" s="392">
        <v>58.944000000000003</v>
      </c>
      <c r="AR52" s="392">
        <v>3.1284000000000001</v>
      </c>
      <c r="AS52" s="392">
        <v>0.86570000000000003</v>
      </c>
      <c r="AT52" s="392">
        <v>6.7464000000000004</v>
      </c>
      <c r="AU52" s="392">
        <v>14.428699999999999</v>
      </c>
      <c r="AV52" s="392">
        <v>17.378900000000002</v>
      </c>
      <c r="AW52" s="392">
        <v>3.3843000000000001</v>
      </c>
      <c r="AX52" s="392">
        <v>5.6772</v>
      </c>
      <c r="AY52" s="392">
        <v>64.636300000000006</v>
      </c>
      <c r="AZ52" s="392">
        <v>20.316500000000001</v>
      </c>
      <c r="BA52" s="392">
        <v>8.4837000000000007</v>
      </c>
      <c r="BB52" s="392">
        <v>3.39</v>
      </c>
      <c r="BC52" s="392">
        <v>6.2004000000000001</v>
      </c>
      <c r="BD52" s="392">
        <v>4.3944000000000001</v>
      </c>
      <c r="BE52" s="392">
        <v>5.8102999999999998</v>
      </c>
      <c r="BF52" s="392">
        <v>0.60089999999999999</v>
      </c>
      <c r="BG52" s="392">
        <v>3.3073000000000001</v>
      </c>
      <c r="BH52" s="392">
        <v>10.6386</v>
      </c>
      <c r="BI52" s="392">
        <v>20.8657</v>
      </c>
      <c r="BJ52" s="392">
        <v>14.806900000000001</v>
      </c>
      <c r="BK52" s="392">
        <v>8.0078999999999994</v>
      </c>
      <c r="BL52" s="392">
        <v>1.1457999999999999</v>
      </c>
      <c r="BM52" s="392">
        <v>10.8489</v>
      </c>
      <c r="BN52" s="392">
        <v>11.8186</v>
      </c>
      <c r="BO52" s="392">
        <v>5.6749000000000001</v>
      </c>
      <c r="BP52" s="392">
        <v>0.74609999999999999</v>
      </c>
      <c r="BQ52" s="392">
        <v>6.2803000000000004</v>
      </c>
      <c r="BR52" s="392"/>
      <c r="BS52" s="392">
        <v>776.63059999999996</v>
      </c>
      <c r="BT52" s="394">
        <v>1082.0525</v>
      </c>
      <c r="BU52" s="394">
        <v>44.501399999999997</v>
      </c>
      <c r="BV52" s="394">
        <v>29.958400000000001</v>
      </c>
      <c r="BW52" s="395">
        <v>1156.5123000000001</v>
      </c>
      <c r="BX52" s="393">
        <v>35.677500000000002</v>
      </c>
      <c r="BY52" s="394"/>
      <c r="BZ52" s="394">
        <v>35.677500000000002</v>
      </c>
      <c r="CA52" s="394">
        <v>13.2873</v>
      </c>
      <c r="CB52" s="396">
        <v>1205.4771000000001</v>
      </c>
      <c r="CC52" s="397">
        <v>1982.1077</v>
      </c>
      <c r="CE52" s="5"/>
    </row>
    <row r="53" spans="1:83" x14ac:dyDescent="0.3">
      <c r="A53" s="7">
        <v>47</v>
      </c>
      <c r="B53" s="150" t="s">
        <v>152</v>
      </c>
      <c r="C53" s="150"/>
      <c r="D53" s="150"/>
      <c r="E53" s="150"/>
      <c r="F53" s="392">
        <v>1.3662000000000001</v>
      </c>
      <c r="G53" s="392">
        <v>4.2834000000000003</v>
      </c>
      <c r="H53" s="392">
        <v>1.2886</v>
      </c>
      <c r="I53" s="392">
        <v>2.2995000000000001</v>
      </c>
      <c r="J53" s="392">
        <v>20.7194</v>
      </c>
      <c r="K53" s="392">
        <v>7.8868999999999998</v>
      </c>
      <c r="L53" s="392">
        <v>12.912000000000001</v>
      </c>
      <c r="M53" s="392">
        <v>4.4820000000000002</v>
      </c>
      <c r="N53" s="392">
        <v>6.5838000000000001</v>
      </c>
      <c r="O53" s="392">
        <v>5.1100000000000003</v>
      </c>
      <c r="P53" s="392">
        <v>1.7625999999999999</v>
      </c>
      <c r="Q53" s="392">
        <v>0.3448</v>
      </c>
      <c r="R53" s="392">
        <v>5.2461000000000002</v>
      </c>
      <c r="S53" s="392">
        <v>3.4350000000000001</v>
      </c>
      <c r="T53" s="392">
        <v>0.86399999999999999</v>
      </c>
      <c r="U53" s="392">
        <v>2.8607999999999998</v>
      </c>
      <c r="V53" s="392">
        <v>12.1432</v>
      </c>
      <c r="W53" s="392">
        <v>8.9113000000000007</v>
      </c>
      <c r="X53" s="392">
        <v>9.0109999999999992</v>
      </c>
      <c r="Y53" s="392">
        <v>5.5377999999999998</v>
      </c>
      <c r="Z53" s="392">
        <v>0.876</v>
      </c>
      <c r="AA53" s="392">
        <v>8.5746000000000002</v>
      </c>
      <c r="AB53" s="392">
        <v>21.521999999999998</v>
      </c>
      <c r="AC53" s="392">
        <v>9.1069999999999993</v>
      </c>
      <c r="AD53" s="392">
        <v>6.9000000000000006E-2</v>
      </c>
      <c r="AE53" s="392">
        <v>4.7176</v>
      </c>
      <c r="AF53" s="392">
        <v>2.2263000000000002</v>
      </c>
      <c r="AG53" s="392">
        <v>6.8829000000000002</v>
      </c>
      <c r="AH53" s="392">
        <v>14.5959</v>
      </c>
      <c r="AI53" s="392">
        <v>14.583500000000001</v>
      </c>
      <c r="AJ53" s="392">
        <v>39.436700000000002</v>
      </c>
      <c r="AK53" s="392">
        <v>26.5611</v>
      </c>
      <c r="AL53" s="392">
        <v>12.602499999999999</v>
      </c>
      <c r="AM53" s="392"/>
      <c r="AN53" s="392">
        <v>0.95279999999999998</v>
      </c>
      <c r="AO53" s="392">
        <v>16.902999999999999</v>
      </c>
      <c r="AP53" s="392">
        <v>1.3283</v>
      </c>
      <c r="AQ53" s="392">
        <v>8.9047999999999998</v>
      </c>
      <c r="AR53" s="392">
        <v>3.3437000000000001</v>
      </c>
      <c r="AS53" s="392">
        <v>2.5331999999999999</v>
      </c>
      <c r="AT53" s="392">
        <v>27.498200000000001</v>
      </c>
      <c r="AU53" s="392">
        <v>14.0379</v>
      </c>
      <c r="AV53" s="392">
        <v>22.173999999999999</v>
      </c>
      <c r="AW53" s="392">
        <v>1.4312</v>
      </c>
      <c r="AX53" s="392">
        <v>9.6004000000000005</v>
      </c>
      <c r="AY53" s="392">
        <v>30.750299999999999</v>
      </c>
      <c r="AZ53" s="392">
        <v>41.911099999999998</v>
      </c>
      <c r="BA53" s="392">
        <v>7.7862999999999998</v>
      </c>
      <c r="BB53" s="392">
        <v>1.8286</v>
      </c>
      <c r="BC53" s="392">
        <v>23.599299999999999</v>
      </c>
      <c r="BD53" s="392">
        <v>4.1063999999999998</v>
      </c>
      <c r="BE53" s="392">
        <v>9.1625999999999994</v>
      </c>
      <c r="BF53" s="392">
        <v>8.5010999999999992</v>
      </c>
      <c r="BG53" s="392">
        <v>2.9630000000000001</v>
      </c>
      <c r="BH53" s="392">
        <v>28.991</v>
      </c>
      <c r="BI53" s="392">
        <v>17.743500000000001</v>
      </c>
      <c r="BJ53" s="392">
        <v>2.9085000000000001</v>
      </c>
      <c r="BK53" s="392">
        <v>2.4548999999999999</v>
      </c>
      <c r="BL53" s="392">
        <v>0.26390000000000002</v>
      </c>
      <c r="BM53" s="392">
        <v>1.5432999999999999</v>
      </c>
      <c r="BN53" s="392">
        <v>4.7420999999999998</v>
      </c>
      <c r="BO53" s="392">
        <v>3.8452000000000002</v>
      </c>
      <c r="BP53" s="392">
        <v>0.67889999999999995</v>
      </c>
      <c r="BQ53" s="392">
        <v>1.7077</v>
      </c>
      <c r="BR53" s="392"/>
      <c r="BS53" s="392">
        <v>582.99869999999999</v>
      </c>
      <c r="BT53" s="394">
        <v>3.3260000000000001</v>
      </c>
      <c r="BU53" s="394"/>
      <c r="BV53" s="394">
        <v>3.1554000000000002</v>
      </c>
      <c r="BW53" s="395">
        <v>6.4813999999999998</v>
      </c>
      <c r="BX53" s="393">
        <v>25.334700000000002</v>
      </c>
      <c r="BY53" s="394"/>
      <c r="BZ53" s="394">
        <v>25.334700000000002</v>
      </c>
      <c r="CA53" s="394">
        <v>136.2432</v>
      </c>
      <c r="CB53" s="396">
        <v>168.05930000000001</v>
      </c>
      <c r="CC53" s="397">
        <v>751.05799999999999</v>
      </c>
      <c r="CE53" s="5"/>
    </row>
    <row r="54" spans="1:83" x14ac:dyDescent="0.3">
      <c r="A54" s="7">
        <v>48</v>
      </c>
      <c r="B54" s="150" t="s">
        <v>153</v>
      </c>
      <c r="C54" s="150"/>
      <c r="D54" s="150"/>
      <c r="E54" s="150"/>
      <c r="F54" s="392">
        <v>0.67020000000000002</v>
      </c>
      <c r="G54" s="392">
        <v>4.1500000000000004</v>
      </c>
      <c r="H54" s="392">
        <v>6.1000000000000004E-3</v>
      </c>
      <c r="I54" s="392"/>
      <c r="J54" s="392">
        <v>1.3057000000000001</v>
      </c>
      <c r="K54" s="392">
        <v>0.66500000000000004</v>
      </c>
      <c r="L54" s="392">
        <v>6.8900000000000003E-2</v>
      </c>
      <c r="M54" s="392">
        <v>0.45529999999999998</v>
      </c>
      <c r="N54" s="392">
        <v>9.9400000000000002E-2</v>
      </c>
      <c r="O54" s="392">
        <v>0.2152</v>
      </c>
      <c r="P54" s="392">
        <v>8.3000000000000001E-3</v>
      </c>
      <c r="Q54" s="392"/>
      <c r="R54" s="392">
        <v>0.64459999999999995</v>
      </c>
      <c r="S54" s="392">
        <v>0.81079999999999997</v>
      </c>
      <c r="T54" s="392"/>
      <c r="U54" s="392"/>
      <c r="V54" s="392">
        <v>1.5841000000000001</v>
      </c>
      <c r="W54" s="392"/>
      <c r="X54" s="392">
        <v>0.18690000000000001</v>
      </c>
      <c r="Y54" s="392">
        <v>0.63649999999999995</v>
      </c>
      <c r="Z54" s="392">
        <v>0.27510000000000001</v>
      </c>
      <c r="AA54" s="392">
        <v>0.1099</v>
      </c>
      <c r="AB54" s="392">
        <v>4.9051</v>
      </c>
      <c r="AC54" s="392">
        <v>7.9722999999999997</v>
      </c>
      <c r="AD54" s="392">
        <v>0.4365</v>
      </c>
      <c r="AE54" s="392">
        <v>0.21560000000000001</v>
      </c>
      <c r="AF54" s="392">
        <v>0.22439999999999999</v>
      </c>
      <c r="AG54" s="392">
        <v>0.13320000000000001</v>
      </c>
      <c r="AH54" s="392">
        <v>131.0266</v>
      </c>
      <c r="AI54" s="392">
        <v>1.2574000000000001</v>
      </c>
      <c r="AJ54" s="392">
        <v>5.8513000000000002</v>
      </c>
      <c r="AK54" s="392"/>
      <c r="AL54" s="392">
        <v>6.7450999999999999</v>
      </c>
      <c r="AM54" s="392"/>
      <c r="AN54" s="392"/>
      <c r="AO54" s="392">
        <v>2.1701999999999999</v>
      </c>
      <c r="AP54" s="392"/>
      <c r="AQ54" s="392">
        <v>4.1200000000000001E-2</v>
      </c>
      <c r="AR54" s="392">
        <v>0.19670000000000001</v>
      </c>
      <c r="AS54" s="392">
        <v>0.2571</v>
      </c>
      <c r="AT54" s="392">
        <v>0.1077</v>
      </c>
      <c r="AU54" s="392">
        <v>0.95230000000000004</v>
      </c>
      <c r="AV54" s="392">
        <v>0.1009</v>
      </c>
      <c r="AW54" s="392">
        <v>1.49E-2</v>
      </c>
      <c r="AX54" s="392">
        <v>7.1599999999999997E-2</v>
      </c>
      <c r="AY54" s="392">
        <v>1.8806</v>
      </c>
      <c r="AZ54" s="392">
        <v>1.6371</v>
      </c>
      <c r="BA54" s="392">
        <v>43.076700000000002</v>
      </c>
      <c r="BB54" s="392">
        <v>0.9889</v>
      </c>
      <c r="BC54" s="392">
        <v>5.0799999999999998E-2</v>
      </c>
      <c r="BD54" s="392">
        <v>0.1696</v>
      </c>
      <c r="BE54" s="392">
        <v>0.36940000000000001</v>
      </c>
      <c r="BF54" s="392">
        <v>2.7900000000000001E-2</v>
      </c>
      <c r="BG54" s="392">
        <v>7.8200000000000006E-2</v>
      </c>
      <c r="BH54" s="392">
        <v>3.6924000000000001</v>
      </c>
      <c r="BI54" s="392">
        <v>8.5751000000000008</v>
      </c>
      <c r="BJ54" s="392">
        <v>1.6382000000000001</v>
      </c>
      <c r="BK54" s="392">
        <v>1.8107</v>
      </c>
      <c r="BL54" s="392">
        <v>0.3251</v>
      </c>
      <c r="BM54" s="392">
        <v>0.32340000000000002</v>
      </c>
      <c r="BN54" s="392">
        <v>0.57230000000000003</v>
      </c>
      <c r="BO54" s="392">
        <v>0.34539999999999998</v>
      </c>
      <c r="BP54" s="392">
        <v>0.2621</v>
      </c>
      <c r="BQ54" s="392">
        <v>0.13669999999999999</v>
      </c>
      <c r="BR54" s="392"/>
      <c r="BS54" s="392">
        <v>240.53270000000001</v>
      </c>
      <c r="BT54" s="394">
        <v>10.3062</v>
      </c>
      <c r="BU54" s="394"/>
      <c r="BV54" s="394">
        <v>5.7152000000000003</v>
      </c>
      <c r="BW54" s="395">
        <v>16.0214</v>
      </c>
      <c r="BX54" s="393"/>
      <c r="BY54" s="394">
        <v>3.2099999999999997E-2</v>
      </c>
      <c r="BZ54" s="394">
        <v>3.2099999999999997E-2</v>
      </c>
      <c r="CA54" s="394">
        <v>43.145200000000003</v>
      </c>
      <c r="CB54" s="396">
        <v>59.198700000000002</v>
      </c>
      <c r="CC54" s="397">
        <v>299.73140000000001</v>
      </c>
      <c r="CE54" s="5"/>
    </row>
    <row r="55" spans="1:83" x14ac:dyDescent="0.3">
      <c r="A55" s="7">
        <v>49</v>
      </c>
      <c r="B55" s="150" t="s">
        <v>154</v>
      </c>
      <c r="C55" s="150"/>
      <c r="D55" s="150"/>
      <c r="E55" s="150"/>
      <c r="F55" s="392">
        <v>8.0699999999999994E-2</v>
      </c>
      <c r="G55" s="392">
        <v>0.11990000000000001</v>
      </c>
      <c r="H55" s="392"/>
      <c r="I55" s="392">
        <v>0.55759999999999998</v>
      </c>
      <c r="J55" s="392">
        <v>0.33379999999999999</v>
      </c>
      <c r="K55" s="392">
        <v>0.13389999999999999</v>
      </c>
      <c r="L55" s="392">
        <v>0.37590000000000001</v>
      </c>
      <c r="M55" s="392"/>
      <c r="N55" s="392"/>
      <c r="O55" s="392">
        <v>0.43359999999999999</v>
      </c>
      <c r="P55" s="392">
        <v>0.40550000000000003</v>
      </c>
      <c r="Q55" s="392">
        <v>0.1857</v>
      </c>
      <c r="R55" s="392">
        <v>1.67E-2</v>
      </c>
      <c r="S55" s="392">
        <v>0.42920000000000003</v>
      </c>
      <c r="T55" s="392"/>
      <c r="U55" s="392"/>
      <c r="V55" s="392"/>
      <c r="W55" s="392">
        <v>4.2622999999999998</v>
      </c>
      <c r="X55" s="392">
        <v>1.8700000000000001E-2</v>
      </c>
      <c r="Y55" s="392">
        <v>0.74250000000000005</v>
      </c>
      <c r="Z55" s="392"/>
      <c r="AA55" s="392">
        <v>4.0300000000000002E-2</v>
      </c>
      <c r="AB55" s="392"/>
      <c r="AC55" s="392">
        <v>0.35570000000000002</v>
      </c>
      <c r="AD55" s="392">
        <v>1.6899999999999998E-2</v>
      </c>
      <c r="AE55" s="392">
        <v>0.44269999999999998</v>
      </c>
      <c r="AF55" s="392">
        <v>0.53859999999999997</v>
      </c>
      <c r="AG55" s="392">
        <v>0.25650000000000001</v>
      </c>
      <c r="AH55" s="392"/>
      <c r="AI55" s="392">
        <v>0.17299999999999999</v>
      </c>
      <c r="AJ55" s="392">
        <v>0.75880000000000003</v>
      </c>
      <c r="AK55" s="392"/>
      <c r="AL55" s="392">
        <v>0.99429999999999996</v>
      </c>
      <c r="AM55" s="392"/>
      <c r="AN55" s="392"/>
      <c r="AO55" s="392"/>
      <c r="AP55" s="392">
        <v>4.3099999999999999E-2</v>
      </c>
      <c r="AQ55" s="392">
        <v>9.6600000000000005E-2</v>
      </c>
      <c r="AR55" s="392">
        <v>7.1000000000000004E-3</v>
      </c>
      <c r="AS55" s="392">
        <v>2.1299999999999999E-2</v>
      </c>
      <c r="AT55" s="392">
        <v>0.34599999999999997</v>
      </c>
      <c r="AU55" s="392">
        <v>1.9027000000000001</v>
      </c>
      <c r="AV55" s="392"/>
      <c r="AW55" s="392"/>
      <c r="AX55" s="392"/>
      <c r="AY55" s="392">
        <v>1.1599999999999999E-2</v>
      </c>
      <c r="AZ55" s="392">
        <v>0.51</v>
      </c>
      <c r="BA55" s="392">
        <v>1.2121999999999999</v>
      </c>
      <c r="BB55" s="392">
        <v>10.2645</v>
      </c>
      <c r="BC55" s="392">
        <v>1.7353000000000001</v>
      </c>
      <c r="BD55" s="392">
        <v>1.5204</v>
      </c>
      <c r="BE55" s="392"/>
      <c r="BF55" s="392">
        <v>0.83679999999999999</v>
      </c>
      <c r="BG55" s="392">
        <v>1.03E-2</v>
      </c>
      <c r="BH55" s="392">
        <v>8.7599999999999997E-2</v>
      </c>
      <c r="BI55" s="392">
        <v>5.4588000000000001</v>
      </c>
      <c r="BJ55" s="392">
        <v>3.1265999999999998</v>
      </c>
      <c r="BK55" s="392">
        <v>0.29289999999999999</v>
      </c>
      <c r="BL55" s="392">
        <v>3.4000000000000002E-2</v>
      </c>
      <c r="BM55" s="392">
        <v>0.2112</v>
      </c>
      <c r="BN55" s="392">
        <v>0.1007</v>
      </c>
      <c r="BO55" s="392">
        <v>0.3417</v>
      </c>
      <c r="BP55" s="392"/>
      <c r="BQ55" s="392"/>
      <c r="BR55" s="392"/>
      <c r="BS55" s="392">
        <v>39.844200000000001</v>
      </c>
      <c r="BT55" s="394">
        <v>0.34870000000000001</v>
      </c>
      <c r="BU55" s="394"/>
      <c r="BV55" s="394">
        <v>78.616200000000006</v>
      </c>
      <c r="BW55" s="395">
        <v>78.9649</v>
      </c>
      <c r="BX55" s="393"/>
      <c r="BY55" s="394"/>
      <c r="BZ55" s="394"/>
      <c r="CA55" s="394">
        <v>14.016400000000001</v>
      </c>
      <c r="CB55" s="396">
        <v>92.981300000000005</v>
      </c>
      <c r="CC55" s="397">
        <v>132.82550000000001</v>
      </c>
      <c r="CE55" s="5"/>
    </row>
    <row r="56" spans="1:83" x14ac:dyDescent="0.3">
      <c r="A56" s="7">
        <v>50</v>
      </c>
      <c r="B56" s="150" t="s">
        <v>155</v>
      </c>
      <c r="C56" s="150"/>
      <c r="D56" s="150"/>
      <c r="E56" s="150"/>
      <c r="F56" s="392"/>
      <c r="G56" s="392">
        <v>1.1597999999999999</v>
      </c>
      <c r="H56" s="392">
        <v>2.0500000000000001E-2</v>
      </c>
      <c r="I56" s="392"/>
      <c r="J56" s="392">
        <v>19.708200000000001</v>
      </c>
      <c r="K56" s="392">
        <v>1.2829999999999999</v>
      </c>
      <c r="L56" s="392">
        <v>1.3962000000000001</v>
      </c>
      <c r="M56" s="392">
        <v>0.12970000000000001</v>
      </c>
      <c r="N56" s="392">
        <v>0.48209999999999997</v>
      </c>
      <c r="O56" s="392"/>
      <c r="P56" s="392">
        <v>2.0219999999999998</v>
      </c>
      <c r="Q56" s="392">
        <v>6.4763999999999999</v>
      </c>
      <c r="R56" s="392">
        <v>0.80430000000000001</v>
      </c>
      <c r="S56" s="392">
        <v>1.0606</v>
      </c>
      <c r="T56" s="392"/>
      <c r="U56" s="392"/>
      <c r="V56" s="392">
        <v>2.9100000000000001E-2</v>
      </c>
      <c r="W56" s="392"/>
      <c r="X56" s="392">
        <v>3.4860000000000002</v>
      </c>
      <c r="Y56" s="392">
        <v>0.10100000000000001</v>
      </c>
      <c r="Z56" s="392">
        <v>0.18079999999999999</v>
      </c>
      <c r="AA56" s="392">
        <v>1.4253</v>
      </c>
      <c r="AB56" s="392"/>
      <c r="AC56" s="392"/>
      <c r="AD56" s="392"/>
      <c r="AE56" s="392"/>
      <c r="AF56" s="392">
        <v>8.2900000000000001E-2</v>
      </c>
      <c r="AG56" s="392">
        <v>0.25790000000000002</v>
      </c>
      <c r="AH56" s="392">
        <v>3.7759</v>
      </c>
      <c r="AI56" s="392">
        <v>13.667</v>
      </c>
      <c r="AJ56" s="392">
        <v>32.7057</v>
      </c>
      <c r="AK56" s="392">
        <v>26.6463</v>
      </c>
      <c r="AL56" s="392">
        <v>1.2181999999999999</v>
      </c>
      <c r="AM56" s="392"/>
      <c r="AN56" s="392">
        <v>0.43559999999999999</v>
      </c>
      <c r="AO56" s="392">
        <v>4.1764000000000001</v>
      </c>
      <c r="AP56" s="392">
        <v>0.3931</v>
      </c>
      <c r="AQ56" s="392">
        <v>7.4678000000000004</v>
      </c>
      <c r="AR56" s="392">
        <v>4.1561000000000003</v>
      </c>
      <c r="AS56" s="392">
        <v>0.90939999999999999</v>
      </c>
      <c r="AT56" s="392">
        <v>8.9595000000000002</v>
      </c>
      <c r="AU56" s="392">
        <v>1.8409</v>
      </c>
      <c r="AV56" s="392">
        <v>2.4756999999999998</v>
      </c>
      <c r="AW56" s="392">
        <v>0.6915</v>
      </c>
      <c r="AX56" s="392">
        <v>2.4076</v>
      </c>
      <c r="AY56" s="392">
        <v>3.7124999999999999</v>
      </c>
      <c r="AZ56" s="392">
        <v>9.6321999999999992</v>
      </c>
      <c r="BA56" s="392">
        <v>1.1829000000000001</v>
      </c>
      <c r="BB56" s="392">
        <v>0.47520000000000001</v>
      </c>
      <c r="BC56" s="392">
        <v>15.829499999999999</v>
      </c>
      <c r="BD56" s="392">
        <v>2.4731999999999998</v>
      </c>
      <c r="BE56" s="392">
        <v>1.5152000000000001</v>
      </c>
      <c r="BF56" s="392">
        <v>0.4073</v>
      </c>
      <c r="BG56" s="392">
        <v>1.6414</v>
      </c>
      <c r="BH56" s="392">
        <v>3.7991999999999999</v>
      </c>
      <c r="BI56" s="392">
        <v>3.0091000000000001</v>
      </c>
      <c r="BJ56" s="392">
        <v>1.4213</v>
      </c>
      <c r="BK56" s="392">
        <v>0.78200000000000003</v>
      </c>
      <c r="BL56" s="392">
        <v>7.6100000000000001E-2</v>
      </c>
      <c r="BM56" s="392">
        <v>4.6104000000000003</v>
      </c>
      <c r="BN56" s="392">
        <v>3.2820999999999998</v>
      </c>
      <c r="BO56" s="392">
        <v>2.2284999999999999</v>
      </c>
      <c r="BP56" s="392">
        <v>0.2407</v>
      </c>
      <c r="BQ56" s="392">
        <v>0.45639999999999997</v>
      </c>
      <c r="BR56" s="392"/>
      <c r="BS56" s="392">
        <v>208.80770000000001</v>
      </c>
      <c r="BT56" s="394"/>
      <c r="BU56" s="394"/>
      <c r="BV56" s="394"/>
      <c r="BW56" s="395"/>
      <c r="BX56" s="393"/>
      <c r="BY56" s="394">
        <v>-0.11940000000000001</v>
      </c>
      <c r="BZ56" s="394">
        <v>-0.11940000000000001</v>
      </c>
      <c r="CA56" s="394">
        <v>70.097899999999996</v>
      </c>
      <c r="CB56" s="396">
        <v>69.978499999999997</v>
      </c>
      <c r="CC56" s="397">
        <v>278.78620000000001</v>
      </c>
      <c r="CE56" s="5"/>
    </row>
    <row r="57" spans="1:83" x14ac:dyDescent="0.3">
      <c r="A57" s="7">
        <v>51</v>
      </c>
      <c r="B57" s="150" t="s">
        <v>156</v>
      </c>
      <c r="C57" s="150"/>
      <c r="D57" s="150"/>
      <c r="E57" s="150"/>
      <c r="F57" s="392">
        <v>6.6753999999999998</v>
      </c>
      <c r="G57" s="392">
        <v>0.32300000000000001</v>
      </c>
      <c r="H57" s="392">
        <v>3.1099999999999999E-2</v>
      </c>
      <c r="I57" s="392"/>
      <c r="J57" s="392">
        <v>0.8034</v>
      </c>
      <c r="K57" s="392">
        <v>0.14599999999999999</v>
      </c>
      <c r="L57" s="392">
        <v>0.14199999999999999</v>
      </c>
      <c r="M57" s="392">
        <v>4.5499999999999999E-2</v>
      </c>
      <c r="N57" s="392">
        <v>6.3399999999999998E-2</v>
      </c>
      <c r="O57" s="392"/>
      <c r="P57" s="392">
        <v>8.7499999999999994E-2</v>
      </c>
      <c r="Q57" s="392"/>
      <c r="R57" s="392">
        <v>0.33889999999999998</v>
      </c>
      <c r="S57" s="392">
        <v>0.38090000000000002</v>
      </c>
      <c r="T57" s="392">
        <v>2.5999999999999999E-3</v>
      </c>
      <c r="U57" s="392">
        <v>0.59940000000000004</v>
      </c>
      <c r="V57" s="392">
        <v>4.9200000000000001E-2</v>
      </c>
      <c r="W57" s="392"/>
      <c r="X57" s="392"/>
      <c r="Y57" s="392">
        <v>8.7900000000000006E-2</v>
      </c>
      <c r="Z57" s="392">
        <v>2.98E-2</v>
      </c>
      <c r="AA57" s="392">
        <v>1.4029</v>
      </c>
      <c r="AB57" s="392"/>
      <c r="AC57" s="392">
        <v>0.4446</v>
      </c>
      <c r="AD57" s="392"/>
      <c r="AE57" s="392">
        <v>1.55E-2</v>
      </c>
      <c r="AF57" s="392">
        <v>1.2999999999999999E-3</v>
      </c>
      <c r="AG57" s="392"/>
      <c r="AH57" s="392">
        <v>3.3944999999999999</v>
      </c>
      <c r="AI57" s="392">
        <v>0.29649999999999999</v>
      </c>
      <c r="AJ57" s="392">
        <v>3.395</v>
      </c>
      <c r="AK57" s="392">
        <v>1.1687000000000001</v>
      </c>
      <c r="AL57" s="392">
        <v>0.55389999999999995</v>
      </c>
      <c r="AM57" s="392"/>
      <c r="AN57" s="392"/>
      <c r="AO57" s="392">
        <v>2.9908999999999999</v>
      </c>
      <c r="AP57" s="392"/>
      <c r="AQ57" s="392">
        <v>0.75419999999999998</v>
      </c>
      <c r="AR57" s="392">
        <v>3.3277999999999999</v>
      </c>
      <c r="AS57" s="392">
        <v>2.7040999999999999</v>
      </c>
      <c r="AT57" s="392"/>
      <c r="AU57" s="392">
        <v>0.70299999999999996</v>
      </c>
      <c r="AV57" s="392">
        <v>2.1690999999999998</v>
      </c>
      <c r="AW57" s="392">
        <v>0.14879999999999999</v>
      </c>
      <c r="AX57" s="392">
        <v>0.218</v>
      </c>
      <c r="AY57" s="392">
        <v>0.1966</v>
      </c>
      <c r="AZ57" s="392">
        <v>5.9676</v>
      </c>
      <c r="BA57" s="392">
        <v>1.5787</v>
      </c>
      <c r="BB57" s="392">
        <v>0.1298</v>
      </c>
      <c r="BC57" s="392">
        <v>1.2981</v>
      </c>
      <c r="BD57" s="392">
        <v>1.9323999999999999</v>
      </c>
      <c r="BE57" s="392">
        <v>7.2999999999999995E-2</v>
      </c>
      <c r="BF57" s="392">
        <v>0.40550000000000003</v>
      </c>
      <c r="BG57" s="392">
        <v>0.54459999999999997</v>
      </c>
      <c r="BH57" s="392">
        <v>0.71989999999999998</v>
      </c>
      <c r="BI57" s="392">
        <v>1.3262</v>
      </c>
      <c r="BJ57" s="392">
        <v>0.37669999999999998</v>
      </c>
      <c r="BK57" s="392">
        <v>1.47E-2</v>
      </c>
      <c r="BL57" s="392">
        <v>2.0899999999999998E-2</v>
      </c>
      <c r="BM57" s="392">
        <v>0.27060000000000001</v>
      </c>
      <c r="BN57" s="392">
        <v>6.1600000000000002E-2</v>
      </c>
      <c r="BO57" s="392">
        <v>1.9322999999999999</v>
      </c>
      <c r="BP57" s="392"/>
      <c r="BQ57" s="392">
        <v>5.3E-3</v>
      </c>
      <c r="BR57" s="392"/>
      <c r="BS57" s="392">
        <v>50.349299999999999</v>
      </c>
      <c r="BT57" s="394">
        <v>11.0449</v>
      </c>
      <c r="BU57" s="394"/>
      <c r="BV57" s="394"/>
      <c r="BW57" s="395">
        <v>11.0449</v>
      </c>
      <c r="BX57" s="393"/>
      <c r="BY57" s="394"/>
      <c r="BZ57" s="394"/>
      <c r="CA57" s="394">
        <v>9.3853000000000009</v>
      </c>
      <c r="CB57" s="396">
        <v>20.430199999999999</v>
      </c>
      <c r="CC57" s="397">
        <v>70.779499999999999</v>
      </c>
      <c r="CE57" s="5"/>
    </row>
    <row r="58" spans="1:83" x14ac:dyDescent="0.3">
      <c r="A58" s="7">
        <v>52</v>
      </c>
      <c r="B58" s="150" t="s">
        <v>157</v>
      </c>
      <c r="C58" s="150"/>
      <c r="D58" s="150"/>
      <c r="E58" s="150"/>
      <c r="F58" s="392">
        <v>1.1533</v>
      </c>
      <c r="G58" s="392">
        <v>2.1796000000000002</v>
      </c>
      <c r="H58" s="392">
        <v>0.87039999999999995</v>
      </c>
      <c r="I58" s="392">
        <v>0.77039999999999997</v>
      </c>
      <c r="J58" s="392">
        <v>5.7557999999999998</v>
      </c>
      <c r="K58" s="392">
        <v>1.5569</v>
      </c>
      <c r="L58" s="392">
        <v>2.2572000000000001</v>
      </c>
      <c r="M58" s="392">
        <v>0.2485</v>
      </c>
      <c r="N58" s="392">
        <v>0.46200000000000002</v>
      </c>
      <c r="O58" s="392">
        <v>0.2863</v>
      </c>
      <c r="P58" s="392">
        <v>3.2105999999999999</v>
      </c>
      <c r="Q58" s="392">
        <v>7.7100000000000002E-2</v>
      </c>
      <c r="R58" s="392">
        <v>0.83279999999999998</v>
      </c>
      <c r="S58" s="392">
        <v>0.74819999999999998</v>
      </c>
      <c r="T58" s="392">
        <v>0.1103</v>
      </c>
      <c r="U58" s="392">
        <v>10.297599999999999</v>
      </c>
      <c r="V58" s="392">
        <v>5.4646999999999997</v>
      </c>
      <c r="W58" s="392">
        <v>2.2648000000000001</v>
      </c>
      <c r="X58" s="392">
        <v>0.13339999999999999</v>
      </c>
      <c r="Y58" s="392">
        <v>0.17860000000000001</v>
      </c>
      <c r="Z58" s="392"/>
      <c r="AA58" s="392">
        <v>0.80420000000000003</v>
      </c>
      <c r="AB58" s="392">
        <v>1.4232</v>
      </c>
      <c r="AC58" s="392">
        <v>0.51729999999999998</v>
      </c>
      <c r="AD58" s="392">
        <v>8.1655999999999995</v>
      </c>
      <c r="AE58" s="392">
        <v>3.4169999999999998</v>
      </c>
      <c r="AF58" s="392">
        <v>0.5948</v>
      </c>
      <c r="AG58" s="392">
        <v>6.8358999999999996</v>
      </c>
      <c r="AH58" s="392">
        <v>31.436</v>
      </c>
      <c r="AI58" s="392">
        <v>1.2843</v>
      </c>
      <c r="AJ58" s="392">
        <v>23.579599999999999</v>
      </c>
      <c r="AK58" s="392">
        <v>6.0871000000000004</v>
      </c>
      <c r="AL58" s="392">
        <v>29.4344</v>
      </c>
      <c r="AM58" s="392">
        <v>115.0316</v>
      </c>
      <c r="AN58" s="392">
        <v>10.7643</v>
      </c>
      <c r="AO58" s="392">
        <v>24.648700000000002</v>
      </c>
      <c r="AP58" s="392">
        <v>0.58430000000000004</v>
      </c>
      <c r="AQ58" s="392">
        <v>5.0239000000000003</v>
      </c>
      <c r="AR58" s="392">
        <v>0.7137</v>
      </c>
      <c r="AS58" s="392">
        <v>0.99709999999999999</v>
      </c>
      <c r="AT58" s="392">
        <v>2.1339000000000001</v>
      </c>
      <c r="AU58" s="392">
        <v>7.1792999999999996</v>
      </c>
      <c r="AV58" s="392">
        <v>4.8512000000000004</v>
      </c>
      <c r="AW58" s="392">
        <v>3.6785999999999999</v>
      </c>
      <c r="AX58" s="392">
        <v>0.39939999999999998</v>
      </c>
      <c r="AY58" s="392">
        <v>6.6650999999999998</v>
      </c>
      <c r="AZ58" s="392">
        <v>5.3148999999999997</v>
      </c>
      <c r="BA58" s="392">
        <v>3.4291</v>
      </c>
      <c r="BB58" s="392">
        <v>1.2899</v>
      </c>
      <c r="BC58" s="392">
        <v>2.9683000000000002</v>
      </c>
      <c r="BD58" s="392">
        <v>0.64339999999999997</v>
      </c>
      <c r="BE58" s="392">
        <v>7.7752999999999997</v>
      </c>
      <c r="BF58" s="392">
        <v>0.65969999999999995</v>
      </c>
      <c r="BG58" s="392">
        <v>0.1111</v>
      </c>
      <c r="BH58" s="392">
        <v>6.0366999999999997</v>
      </c>
      <c r="BI58" s="392">
        <v>2.7336</v>
      </c>
      <c r="BJ58" s="392">
        <v>3.4230999999999998</v>
      </c>
      <c r="BK58" s="392">
        <v>2.8689</v>
      </c>
      <c r="BL58" s="392">
        <v>0.31940000000000002</v>
      </c>
      <c r="BM58" s="392">
        <v>1.5098</v>
      </c>
      <c r="BN58" s="392">
        <v>2.1112000000000002</v>
      </c>
      <c r="BO58" s="392">
        <v>2.3092000000000001</v>
      </c>
      <c r="BP58" s="392">
        <v>0.1323</v>
      </c>
      <c r="BQ58" s="392">
        <v>0.48220000000000002</v>
      </c>
      <c r="BR58" s="392"/>
      <c r="BS58" s="392">
        <v>379.22710000000001</v>
      </c>
      <c r="BT58" s="394">
        <v>46.335799999999999</v>
      </c>
      <c r="BU58" s="394"/>
      <c r="BV58" s="394"/>
      <c r="BW58" s="395">
        <v>46.335799999999999</v>
      </c>
      <c r="BX58" s="393"/>
      <c r="BY58" s="394"/>
      <c r="BZ58" s="394"/>
      <c r="CA58" s="394">
        <v>119.35720000000001</v>
      </c>
      <c r="CB58" s="396">
        <v>165.69300000000001</v>
      </c>
      <c r="CC58" s="397">
        <v>544.92010000000005</v>
      </c>
      <c r="CE58" s="5"/>
    </row>
    <row r="59" spans="1:83" x14ac:dyDescent="0.3">
      <c r="A59" s="7">
        <v>53</v>
      </c>
      <c r="B59" s="150" t="s">
        <v>158</v>
      </c>
      <c r="C59" s="150"/>
      <c r="D59" s="150"/>
      <c r="E59" s="150"/>
      <c r="F59" s="392">
        <v>9.98E-2</v>
      </c>
      <c r="G59" s="392">
        <v>2.8999999999999998E-3</v>
      </c>
      <c r="H59" s="392">
        <v>0.41420000000000001</v>
      </c>
      <c r="I59" s="392">
        <v>4.4000000000000003E-3</v>
      </c>
      <c r="J59" s="392">
        <v>0.1724</v>
      </c>
      <c r="K59" s="392">
        <v>0.1356</v>
      </c>
      <c r="L59" s="392">
        <v>0.38629999999999998</v>
      </c>
      <c r="M59" s="392">
        <v>1.0200000000000001E-2</v>
      </c>
      <c r="N59" s="392">
        <v>8.5699999999999998E-2</v>
      </c>
      <c r="O59" s="392"/>
      <c r="P59" s="392">
        <v>3.1300000000000001E-2</v>
      </c>
      <c r="Q59" s="392"/>
      <c r="R59" s="392">
        <v>1.7000000000000001E-2</v>
      </c>
      <c r="S59" s="392"/>
      <c r="T59" s="392"/>
      <c r="U59" s="392">
        <v>1.1662999999999999</v>
      </c>
      <c r="V59" s="392">
        <v>3.2480000000000002</v>
      </c>
      <c r="W59" s="392">
        <v>2.81E-2</v>
      </c>
      <c r="X59" s="392">
        <v>7.9000000000000008E-3</v>
      </c>
      <c r="Y59" s="392">
        <v>0.27229999999999999</v>
      </c>
      <c r="Z59" s="392"/>
      <c r="AA59" s="392">
        <v>0.1555</v>
      </c>
      <c r="AB59" s="392"/>
      <c r="AC59" s="392">
        <v>0.1149</v>
      </c>
      <c r="AD59" s="392"/>
      <c r="AE59" s="392"/>
      <c r="AF59" s="392">
        <v>1.6999999999999999E-3</v>
      </c>
      <c r="AG59" s="392">
        <v>2.3300000000000001E-2</v>
      </c>
      <c r="AH59" s="392">
        <v>1.1957</v>
      </c>
      <c r="AI59" s="392">
        <v>7.8299999999999995E-2</v>
      </c>
      <c r="AJ59" s="392">
        <v>0.53769999999999996</v>
      </c>
      <c r="AK59" s="392">
        <v>1.2418</v>
      </c>
      <c r="AL59" s="392">
        <v>2.0647000000000002</v>
      </c>
      <c r="AM59" s="392">
        <v>42.250700000000002</v>
      </c>
      <c r="AN59" s="392">
        <v>0.57189999999999996</v>
      </c>
      <c r="AO59" s="392">
        <v>0.70369999999999999</v>
      </c>
      <c r="AP59" s="392">
        <v>5.0700000000000002E-2</v>
      </c>
      <c r="AQ59" s="392">
        <v>7.4511000000000003</v>
      </c>
      <c r="AR59" s="392">
        <v>0.59409999999999996</v>
      </c>
      <c r="AS59" s="392"/>
      <c r="AT59" s="392">
        <v>0.6159</v>
      </c>
      <c r="AU59" s="392">
        <v>0.25390000000000001</v>
      </c>
      <c r="AV59" s="392"/>
      <c r="AW59" s="392">
        <v>1E-3</v>
      </c>
      <c r="AX59" s="392">
        <v>0.12230000000000001</v>
      </c>
      <c r="AY59" s="392">
        <v>2.0575000000000001</v>
      </c>
      <c r="AZ59" s="392">
        <v>0.41070000000000001</v>
      </c>
      <c r="BA59" s="392">
        <v>0.74219999999999997</v>
      </c>
      <c r="BB59" s="392">
        <v>7.1199999999999999E-2</v>
      </c>
      <c r="BC59" s="392">
        <v>0.1346</v>
      </c>
      <c r="BD59" s="392">
        <v>0.16889999999999999</v>
      </c>
      <c r="BE59" s="392"/>
      <c r="BF59" s="392">
        <v>10.650700000000001</v>
      </c>
      <c r="BG59" s="392">
        <v>3.6700000000000003E-2</v>
      </c>
      <c r="BH59" s="392">
        <v>1.2230000000000001</v>
      </c>
      <c r="BI59" s="392">
        <v>0.32900000000000001</v>
      </c>
      <c r="BJ59" s="392"/>
      <c r="BK59" s="392">
        <v>2.24E-2</v>
      </c>
      <c r="BL59" s="392">
        <v>1.2200000000000001E-2</v>
      </c>
      <c r="BM59" s="392">
        <v>9.4200000000000006E-2</v>
      </c>
      <c r="BN59" s="392">
        <v>1.09E-2</v>
      </c>
      <c r="BO59" s="392">
        <v>9.1700000000000004E-2</v>
      </c>
      <c r="BP59" s="392"/>
      <c r="BQ59" s="392">
        <v>0.15939999999999999</v>
      </c>
      <c r="BR59" s="392"/>
      <c r="BS59" s="392">
        <v>80.326599999999999</v>
      </c>
      <c r="BT59" s="394">
        <v>1.1157999999999999</v>
      </c>
      <c r="BU59" s="394"/>
      <c r="BV59" s="394"/>
      <c r="BW59" s="395">
        <v>1.1157999999999999</v>
      </c>
      <c r="BX59" s="393"/>
      <c r="BY59" s="394"/>
      <c r="BZ59" s="394"/>
      <c r="CA59" s="394">
        <v>71.714699999999993</v>
      </c>
      <c r="CB59" s="396">
        <v>72.830500000000001</v>
      </c>
      <c r="CC59" s="397">
        <v>153.15710000000001</v>
      </c>
      <c r="CE59" s="5"/>
    </row>
    <row r="60" spans="1:83" x14ac:dyDescent="0.3">
      <c r="A60" s="7">
        <v>54</v>
      </c>
      <c r="B60" s="150" t="s">
        <v>159</v>
      </c>
      <c r="C60" s="150"/>
      <c r="D60" s="150"/>
      <c r="E60" s="150"/>
      <c r="F60" s="392"/>
      <c r="G60" s="392">
        <v>3.4000000000000002E-2</v>
      </c>
      <c r="H60" s="392">
        <v>4.1999999999999997E-3</v>
      </c>
      <c r="I60" s="392">
        <v>7.9000000000000008E-3</v>
      </c>
      <c r="J60" s="392">
        <v>0.1867</v>
      </c>
      <c r="K60" s="392">
        <v>0.15679999999999999</v>
      </c>
      <c r="L60" s="392">
        <v>1.8800000000000001E-2</v>
      </c>
      <c r="M60" s="392"/>
      <c r="N60" s="392">
        <v>7.1999999999999998E-3</v>
      </c>
      <c r="O60" s="392"/>
      <c r="P60" s="392">
        <v>0.18179999999999999</v>
      </c>
      <c r="Q60" s="392"/>
      <c r="R60" s="392">
        <v>2.0400000000000001E-2</v>
      </c>
      <c r="S60" s="392">
        <v>3.3399999999999999E-2</v>
      </c>
      <c r="T60" s="392">
        <v>2.8E-3</v>
      </c>
      <c r="U60" s="392">
        <v>4.1999999999999997E-3</v>
      </c>
      <c r="V60" s="392">
        <v>0.26590000000000003</v>
      </c>
      <c r="W60" s="392">
        <v>0.27129999999999999</v>
      </c>
      <c r="X60" s="392">
        <v>5.1999999999999998E-3</v>
      </c>
      <c r="Y60" s="392">
        <v>6.5799999999999997E-2</v>
      </c>
      <c r="Z60" s="392">
        <v>1.6E-2</v>
      </c>
      <c r="AA60" s="392">
        <v>0.21410000000000001</v>
      </c>
      <c r="AB60" s="392">
        <v>0.33110000000000001</v>
      </c>
      <c r="AC60" s="392"/>
      <c r="AD60" s="392"/>
      <c r="AE60" s="392"/>
      <c r="AF60" s="392">
        <v>0.12690000000000001</v>
      </c>
      <c r="AG60" s="392"/>
      <c r="AH60" s="392">
        <v>0.1163</v>
      </c>
      <c r="AI60" s="392">
        <v>0.19489999999999999</v>
      </c>
      <c r="AJ60" s="392">
        <v>0.27450000000000002</v>
      </c>
      <c r="AK60" s="392">
        <v>0.4</v>
      </c>
      <c r="AL60" s="392">
        <v>0.63229999999999997</v>
      </c>
      <c r="AM60" s="392">
        <v>1.1113</v>
      </c>
      <c r="AN60" s="392">
        <v>0.3332</v>
      </c>
      <c r="AO60" s="392">
        <v>9.8199999999999996E-2</v>
      </c>
      <c r="AP60" s="392"/>
      <c r="AQ60" s="392">
        <v>0.51949999999999996</v>
      </c>
      <c r="AR60" s="392">
        <v>8.5599999999999996E-2</v>
      </c>
      <c r="AS60" s="392">
        <v>5.33E-2</v>
      </c>
      <c r="AT60" s="392">
        <v>3.8800000000000001E-2</v>
      </c>
      <c r="AU60" s="392">
        <v>0.14169999999999999</v>
      </c>
      <c r="AV60" s="392">
        <v>0.14319999999999999</v>
      </c>
      <c r="AW60" s="392">
        <v>5.1499999999999997E-2</v>
      </c>
      <c r="AX60" s="392">
        <v>0.1042</v>
      </c>
      <c r="AY60" s="392">
        <v>0.10780000000000001</v>
      </c>
      <c r="AZ60" s="392">
        <v>0.30320000000000003</v>
      </c>
      <c r="BA60" s="392">
        <v>0.1181</v>
      </c>
      <c r="BB60" s="392"/>
      <c r="BC60" s="392">
        <v>0.70330000000000004</v>
      </c>
      <c r="BD60" s="392"/>
      <c r="BE60" s="392">
        <v>0.16059999999999999</v>
      </c>
      <c r="BF60" s="392">
        <v>0.1215</v>
      </c>
      <c r="BG60" s="392">
        <v>2.5506000000000002</v>
      </c>
      <c r="BH60" s="392">
        <v>0.19139999999999999</v>
      </c>
      <c r="BI60" s="392"/>
      <c r="BJ60" s="392">
        <v>0.15210000000000001</v>
      </c>
      <c r="BK60" s="392">
        <v>0.1648</v>
      </c>
      <c r="BL60" s="392"/>
      <c r="BM60" s="392">
        <v>4.3400000000000001E-2</v>
      </c>
      <c r="BN60" s="392">
        <v>6.1000000000000004E-3</v>
      </c>
      <c r="BO60" s="392">
        <v>1.3899999999999999E-2</v>
      </c>
      <c r="BP60" s="392"/>
      <c r="BQ60" s="392">
        <v>5.4999999999999997E-3</v>
      </c>
      <c r="BR60" s="392"/>
      <c r="BS60" s="392">
        <v>10.895300000000001</v>
      </c>
      <c r="BT60" s="394">
        <v>77.288700000000006</v>
      </c>
      <c r="BU60" s="394"/>
      <c r="BV60" s="394"/>
      <c r="BW60" s="395">
        <v>77.288700000000006</v>
      </c>
      <c r="BX60" s="393"/>
      <c r="BY60" s="394"/>
      <c r="BZ60" s="394"/>
      <c r="CA60" s="394">
        <v>0.46639999999999998</v>
      </c>
      <c r="CB60" s="396">
        <v>77.755099999999999</v>
      </c>
      <c r="CC60" s="397">
        <v>88.650400000000005</v>
      </c>
      <c r="CE60" s="5"/>
    </row>
    <row r="61" spans="1:83" x14ac:dyDescent="0.3">
      <c r="A61" s="7">
        <v>55</v>
      </c>
      <c r="B61" s="150" t="s">
        <v>160</v>
      </c>
      <c r="C61" s="150"/>
      <c r="D61" s="150"/>
      <c r="E61" s="150"/>
      <c r="F61" s="392">
        <v>0.2059</v>
      </c>
      <c r="G61" s="392">
        <v>0.92600000000000005</v>
      </c>
      <c r="H61" s="392">
        <v>0.13730000000000001</v>
      </c>
      <c r="I61" s="392">
        <v>0.83140000000000003</v>
      </c>
      <c r="J61" s="392">
        <v>6.1795</v>
      </c>
      <c r="K61" s="392">
        <v>1.4704999999999999</v>
      </c>
      <c r="L61" s="392">
        <v>1.8704000000000001</v>
      </c>
      <c r="M61" s="392">
        <v>0.36459999999999998</v>
      </c>
      <c r="N61" s="392">
        <v>0.96030000000000004</v>
      </c>
      <c r="O61" s="392">
        <v>0.40339999999999998</v>
      </c>
      <c r="P61" s="392">
        <v>0.49830000000000002</v>
      </c>
      <c r="Q61" s="392">
        <v>1.77E-2</v>
      </c>
      <c r="R61" s="392">
        <v>0.25779999999999997</v>
      </c>
      <c r="S61" s="392">
        <v>0.9325</v>
      </c>
      <c r="T61" s="392">
        <v>8.72E-2</v>
      </c>
      <c r="U61" s="392">
        <v>4.3975999999999997</v>
      </c>
      <c r="V61" s="392">
        <v>1.7361</v>
      </c>
      <c r="W61" s="392">
        <v>1.3088</v>
      </c>
      <c r="X61" s="392">
        <v>0.68149999999999999</v>
      </c>
      <c r="Y61" s="392">
        <v>1.0051000000000001</v>
      </c>
      <c r="Z61" s="392">
        <v>0.16669999999999999</v>
      </c>
      <c r="AA61" s="392">
        <v>1.4355</v>
      </c>
      <c r="AB61" s="392">
        <v>0.64459999999999995</v>
      </c>
      <c r="AC61" s="392">
        <v>4.0438999999999998</v>
      </c>
      <c r="AD61" s="392">
        <v>0.33179999999999998</v>
      </c>
      <c r="AE61" s="392">
        <v>0.89049999999999996</v>
      </c>
      <c r="AF61" s="392">
        <v>1.0085</v>
      </c>
      <c r="AG61" s="392">
        <v>0.81869999999999998</v>
      </c>
      <c r="AH61" s="392">
        <v>15.5671</v>
      </c>
      <c r="AI61" s="392">
        <v>4.6609999999999996</v>
      </c>
      <c r="AJ61" s="392">
        <v>16.4252</v>
      </c>
      <c r="AK61" s="392">
        <v>20.791</v>
      </c>
      <c r="AL61" s="392">
        <v>2.0474000000000001</v>
      </c>
      <c r="AM61" s="392"/>
      <c r="AN61" s="392"/>
      <c r="AO61" s="392">
        <v>17.9938</v>
      </c>
      <c r="AP61" s="392">
        <v>1.2606999999999999</v>
      </c>
      <c r="AQ61" s="392">
        <v>9.9573999999999998</v>
      </c>
      <c r="AR61" s="392">
        <v>1.52E-2</v>
      </c>
      <c r="AS61" s="392"/>
      <c r="AT61" s="392">
        <v>2.8854000000000002</v>
      </c>
      <c r="AU61" s="392">
        <v>3.4432</v>
      </c>
      <c r="AV61" s="392">
        <v>8.6524999999999999</v>
      </c>
      <c r="AW61" s="392">
        <v>1.8318000000000001</v>
      </c>
      <c r="AX61" s="392">
        <v>1.2604</v>
      </c>
      <c r="AY61" s="392">
        <v>45.8675</v>
      </c>
      <c r="AZ61" s="392">
        <v>24.0715</v>
      </c>
      <c r="BA61" s="392">
        <v>8.7010000000000005</v>
      </c>
      <c r="BB61" s="392">
        <v>1.4970000000000001</v>
      </c>
      <c r="BC61" s="392">
        <v>15.5558</v>
      </c>
      <c r="BD61" s="392">
        <v>1.3591</v>
      </c>
      <c r="BE61" s="392">
        <v>2.431</v>
      </c>
      <c r="BF61" s="392">
        <v>1.4472</v>
      </c>
      <c r="BG61" s="392">
        <v>0.4793</v>
      </c>
      <c r="BH61" s="392">
        <v>20.8675</v>
      </c>
      <c r="BI61" s="392">
        <v>37.146900000000002</v>
      </c>
      <c r="BJ61" s="392">
        <v>10.6366</v>
      </c>
      <c r="BK61" s="392">
        <v>6.6458000000000004</v>
      </c>
      <c r="BL61" s="392">
        <v>1.4296</v>
      </c>
      <c r="BM61" s="392">
        <v>5.3975</v>
      </c>
      <c r="BN61" s="392">
        <v>5.4409000000000001</v>
      </c>
      <c r="BO61" s="392">
        <v>3.4735</v>
      </c>
      <c r="BP61" s="392">
        <v>0.73660000000000003</v>
      </c>
      <c r="BQ61" s="392">
        <v>1.1513</v>
      </c>
      <c r="BR61" s="392"/>
      <c r="BS61" s="392">
        <v>334.7398</v>
      </c>
      <c r="BT61" s="394">
        <v>6.8811999999999998</v>
      </c>
      <c r="BU61" s="394"/>
      <c r="BV61" s="394"/>
      <c r="BW61" s="395">
        <v>6.8811999999999998</v>
      </c>
      <c r="BX61" s="393"/>
      <c r="BY61" s="394">
        <v>-1.4E-2</v>
      </c>
      <c r="BZ61" s="394">
        <v>-1.4E-2</v>
      </c>
      <c r="CA61" s="394">
        <v>34.792000000000002</v>
      </c>
      <c r="CB61" s="396">
        <v>41.659199999999998</v>
      </c>
      <c r="CC61" s="397">
        <v>376.399</v>
      </c>
      <c r="CE61" s="5"/>
    </row>
    <row r="62" spans="1:83" x14ac:dyDescent="0.3">
      <c r="A62" s="7">
        <v>56</v>
      </c>
      <c r="B62" s="150" t="s">
        <v>161</v>
      </c>
      <c r="C62" s="150"/>
      <c r="D62" s="150"/>
      <c r="E62" s="150"/>
      <c r="F62" s="392">
        <v>0.34560000000000002</v>
      </c>
      <c r="G62" s="392">
        <v>0.1227</v>
      </c>
      <c r="H62" s="392">
        <v>0.82809999999999995</v>
      </c>
      <c r="I62" s="392">
        <v>0.16320000000000001</v>
      </c>
      <c r="J62" s="392">
        <v>0.98540000000000005</v>
      </c>
      <c r="K62" s="392">
        <v>0.16059999999999999</v>
      </c>
      <c r="L62" s="392">
        <v>0.49990000000000001</v>
      </c>
      <c r="M62" s="392">
        <v>7.7700000000000005E-2</v>
      </c>
      <c r="N62" s="392">
        <v>0.09</v>
      </c>
      <c r="O62" s="392">
        <v>7.5899999999999995E-2</v>
      </c>
      <c r="P62" s="392">
        <v>0.16650000000000001</v>
      </c>
      <c r="Q62" s="392">
        <v>3.32E-2</v>
      </c>
      <c r="R62" s="392">
        <v>0.1172</v>
      </c>
      <c r="S62" s="392">
        <v>9.7699999999999995E-2</v>
      </c>
      <c r="T62" s="392">
        <v>1.7100000000000001E-2</v>
      </c>
      <c r="U62" s="392">
        <v>0.35389999999999999</v>
      </c>
      <c r="V62" s="392">
        <v>0.1255</v>
      </c>
      <c r="W62" s="392">
        <v>0.14269999999999999</v>
      </c>
      <c r="X62" s="392">
        <v>0.1124</v>
      </c>
      <c r="Y62" s="392">
        <v>8.1900000000000001E-2</v>
      </c>
      <c r="Z62" s="392">
        <v>2.0400000000000001E-2</v>
      </c>
      <c r="AA62" s="392">
        <v>0.16919999999999999</v>
      </c>
      <c r="AB62" s="392">
        <v>0.122</v>
      </c>
      <c r="AC62" s="392">
        <v>0.71440000000000003</v>
      </c>
      <c r="AD62" s="392">
        <v>0.10290000000000001</v>
      </c>
      <c r="AE62" s="392">
        <v>0.3075</v>
      </c>
      <c r="AF62" s="392">
        <v>0.1867</v>
      </c>
      <c r="AG62" s="392">
        <v>0.15110000000000001</v>
      </c>
      <c r="AH62" s="392">
        <v>3.2082000000000002</v>
      </c>
      <c r="AI62" s="392">
        <v>2.2437999999999998</v>
      </c>
      <c r="AJ62" s="392">
        <v>1.6154999999999999</v>
      </c>
      <c r="AK62" s="392">
        <v>1.1207</v>
      </c>
      <c r="AL62" s="392">
        <v>1.0098</v>
      </c>
      <c r="AM62" s="392">
        <v>0.1331</v>
      </c>
      <c r="AN62" s="392">
        <v>7.2700000000000001E-2</v>
      </c>
      <c r="AO62" s="392">
        <v>1.1221000000000001</v>
      </c>
      <c r="AP62" s="392">
        <v>3.2599999999999997E-2</v>
      </c>
      <c r="AQ62" s="392">
        <v>0.39150000000000001</v>
      </c>
      <c r="AR62" s="392">
        <v>4.82E-2</v>
      </c>
      <c r="AS62" s="392">
        <v>2.6164000000000001</v>
      </c>
      <c r="AT62" s="392">
        <v>2.9184999999999999</v>
      </c>
      <c r="AU62" s="392">
        <v>0.1862</v>
      </c>
      <c r="AV62" s="392">
        <v>7.6E-3</v>
      </c>
      <c r="AW62" s="392">
        <v>6.8999999999999999E-3</v>
      </c>
      <c r="AX62" s="392"/>
      <c r="AY62" s="392">
        <v>2.0335999999999999</v>
      </c>
      <c r="AZ62" s="392">
        <v>4.3517000000000001</v>
      </c>
      <c r="BA62" s="392">
        <v>0.25409999999999999</v>
      </c>
      <c r="BB62" s="392">
        <v>0.33300000000000002</v>
      </c>
      <c r="BC62" s="392">
        <v>0.20150000000000001</v>
      </c>
      <c r="BD62" s="392">
        <v>9.7699999999999995E-2</v>
      </c>
      <c r="BE62" s="392">
        <v>0.33210000000000001</v>
      </c>
      <c r="BF62" s="392">
        <v>1.26E-2</v>
      </c>
      <c r="BG62" s="392">
        <v>5.3199999999999997E-2</v>
      </c>
      <c r="BH62" s="392">
        <v>1.0646</v>
      </c>
      <c r="BI62" s="392">
        <v>5.633</v>
      </c>
      <c r="BJ62" s="392">
        <v>0.12330000000000001</v>
      </c>
      <c r="BK62" s="392">
        <v>0.3075</v>
      </c>
      <c r="BL62" s="392">
        <v>1.7000000000000001E-2</v>
      </c>
      <c r="BM62" s="392">
        <v>0.17449999999999999</v>
      </c>
      <c r="BN62" s="392">
        <v>6.2300000000000001E-2</v>
      </c>
      <c r="BO62" s="392">
        <v>0.13950000000000001</v>
      </c>
      <c r="BP62" s="392">
        <v>1.15E-2</v>
      </c>
      <c r="BQ62" s="392">
        <v>4.3400000000000001E-2</v>
      </c>
      <c r="BR62" s="392"/>
      <c r="BS62" s="392">
        <v>38.351300000000002</v>
      </c>
      <c r="BT62" s="394">
        <v>23.275400000000001</v>
      </c>
      <c r="BU62" s="394"/>
      <c r="BV62" s="394">
        <v>1287.0812000000001</v>
      </c>
      <c r="BW62" s="395">
        <v>1310.3566000000001</v>
      </c>
      <c r="BX62" s="393">
        <v>4.6337999999999999</v>
      </c>
      <c r="BY62" s="394"/>
      <c r="BZ62" s="394">
        <v>4.6337999999999999</v>
      </c>
      <c r="CA62" s="394">
        <v>11.064500000000001</v>
      </c>
      <c r="CB62" s="396">
        <v>1326.0549000000001</v>
      </c>
      <c r="CC62" s="397">
        <v>1364.4061999999999</v>
      </c>
      <c r="CE62" s="5"/>
    </row>
    <row r="63" spans="1:83" x14ac:dyDescent="0.3">
      <c r="A63" s="7">
        <v>57</v>
      </c>
      <c r="B63" s="150" t="s">
        <v>162</v>
      </c>
      <c r="C63" s="150"/>
      <c r="D63" s="150"/>
      <c r="E63" s="150"/>
      <c r="F63" s="392">
        <v>0.2051</v>
      </c>
      <c r="G63" s="392">
        <v>7.2999999999999995E-2</v>
      </c>
      <c r="H63" s="392">
        <v>1.34E-2</v>
      </c>
      <c r="I63" s="392">
        <v>0.17910000000000001</v>
      </c>
      <c r="J63" s="392">
        <v>1.0838000000000001</v>
      </c>
      <c r="K63" s="392">
        <v>0.21249999999999999</v>
      </c>
      <c r="L63" s="392">
        <v>0.29899999999999999</v>
      </c>
      <c r="M63" s="392">
        <v>1.7100000000000001E-2</v>
      </c>
      <c r="N63" s="392">
        <v>0.12659999999999999</v>
      </c>
      <c r="O63" s="392">
        <v>7.0300000000000001E-2</v>
      </c>
      <c r="P63" s="392">
        <v>0.11890000000000001</v>
      </c>
      <c r="Q63" s="392">
        <v>3.32E-2</v>
      </c>
      <c r="R63" s="392">
        <v>0.11169999999999999</v>
      </c>
      <c r="S63" s="392">
        <v>0.2185</v>
      </c>
      <c r="T63" s="392">
        <v>9.5200000000000007E-2</v>
      </c>
      <c r="U63" s="392">
        <v>0.28770000000000001</v>
      </c>
      <c r="V63" s="392">
        <v>0.23300000000000001</v>
      </c>
      <c r="W63" s="392">
        <v>0.67269999999999996</v>
      </c>
      <c r="X63" s="392">
        <v>0.1201</v>
      </c>
      <c r="Y63" s="392">
        <v>2.9399999999999999E-2</v>
      </c>
      <c r="Z63" s="392">
        <v>1.55E-2</v>
      </c>
      <c r="AA63" s="392">
        <v>0.16009999999999999</v>
      </c>
      <c r="AB63" s="392">
        <v>0.2316</v>
      </c>
      <c r="AC63" s="392">
        <v>0.86870000000000003</v>
      </c>
      <c r="AD63" s="392">
        <v>8.6400000000000005E-2</v>
      </c>
      <c r="AE63" s="392">
        <v>0.12230000000000001</v>
      </c>
      <c r="AF63" s="392">
        <v>9.4700000000000006E-2</v>
      </c>
      <c r="AG63" s="392">
        <v>0.1532</v>
      </c>
      <c r="AH63" s="392">
        <v>0.96889999999999998</v>
      </c>
      <c r="AI63" s="392">
        <v>0.4778</v>
      </c>
      <c r="AJ63" s="392">
        <v>1.3073999999999999</v>
      </c>
      <c r="AK63" s="392">
        <v>1.3686</v>
      </c>
      <c r="AL63" s="392">
        <v>1.6416999999999999</v>
      </c>
      <c r="AM63" s="392"/>
      <c r="AN63" s="392">
        <v>0.55489999999999995</v>
      </c>
      <c r="AO63" s="392">
        <v>1.0265</v>
      </c>
      <c r="AP63" s="392">
        <v>4.8500000000000001E-2</v>
      </c>
      <c r="AQ63" s="392">
        <v>0.5363</v>
      </c>
      <c r="AR63" s="392">
        <v>0.30309999999999998</v>
      </c>
      <c r="AS63" s="392">
        <v>7.8700000000000006E-2</v>
      </c>
      <c r="AT63" s="392">
        <v>1.4875</v>
      </c>
      <c r="AU63" s="392">
        <v>1.008</v>
      </c>
      <c r="AV63" s="392">
        <v>2.8268</v>
      </c>
      <c r="AW63" s="392">
        <v>1.6914</v>
      </c>
      <c r="AX63" s="392">
        <v>0.51619999999999999</v>
      </c>
      <c r="AY63" s="392">
        <v>0.25659999999999999</v>
      </c>
      <c r="AZ63" s="392">
        <v>0.79730000000000001</v>
      </c>
      <c r="BA63" s="392">
        <v>0.36899999999999999</v>
      </c>
      <c r="BB63" s="392">
        <v>1.9152</v>
      </c>
      <c r="BC63" s="392">
        <v>0.46429999999999999</v>
      </c>
      <c r="BD63" s="392">
        <v>5.2400000000000002E-2</v>
      </c>
      <c r="BE63" s="392">
        <v>0.1749</v>
      </c>
      <c r="BF63" s="392">
        <v>0.28920000000000001</v>
      </c>
      <c r="BG63" s="392">
        <v>9.2299999999999993E-2</v>
      </c>
      <c r="BH63" s="392">
        <v>0.39529999999999998</v>
      </c>
      <c r="BI63" s="392">
        <v>9.9659999999999993</v>
      </c>
      <c r="BJ63" s="392">
        <v>13.3377</v>
      </c>
      <c r="BK63" s="392">
        <v>1.3103</v>
      </c>
      <c r="BL63" s="392">
        <v>0.68540000000000001</v>
      </c>
      <c r="BM63" s="392">
        <v>0.24929999999999999</v>
      </c>
      <c r="BN63" s="392">
        <v>0.62639999999999996</v>
      </c>
      <c r="BO63" s="392">
        <v>2.3795000000000002</v>
      </c>
      <c r="BP63" s="392">
        <v>2.4500000000000001E-2</v>
      </c>
      <c r="BQ63" s="392">
        <v>2.7400000000000001E-2</v>
      </c>
      <c r="BR63" s="392"/>
      <c r="BS63" s="392">
        <v>55.188099999999999</v>
      </c>
      <c r="BT63" s="394">
        <v>100.46120000000001</v>
      </c>
      <c r="BU63" s="394">
        <v>15.6602</v>
      </c>
      <c r="BV63" s="394">
        <v>703.36329999999998</v>
      </c>
      <c r="BW63" s="395">
        <v>819.48469999999998</v>
      </c>
      <c r="BX63" s="393"/>
      <c r="BY63" s="394"/>
      <c r="BZ63" s="394"/>
      <c r="CA63" s="394">
        <v>1.6704000000000001</v>
      </c>
      <c r="CB63" s="396">
        <v>821.15509999999995</v>
      </c>
      <c r="CC63" s="397">
        <v>876.34320000000002</v>
      </c>
      <c r="CE63" s="5"/>
    </row>
    <row r="64" spans="1:83" x14ac:dyDescent="0.3">
      <c r="A64" s="7">
        <v>58</v>
      </c>
      <c r="B64" s="150" t="s">
        <v>163</v>
      </c>
      <c r="C64" s="150"/>
      <c r="D64" s="150"/>
      <c r="E64" s="150"/>
      <c r="F64" s="392"/>
      <c r="G64" s="392">
        <v>2.1499999999999998E-2</v>
      </c>
      <c r="H64" s="392">
        <v>1.21E-2</v>
      </c>
      <c r="I64" s="392">
        <v>0.14910000000000001</v>
      </c>
      <c r="J64" s="392">
        <v>0.3735</v>
      </c>
      <c r="K64" s="392">
        <v>7.9200000000000007E-2</v>
      </c>
      <c r="L64" s="392">
        <v>5.5300000000000002E-2</v>
      </c>
      <c r="M64" s="392">
        <v>2.06E-2</v>
      </c>
      <c r="N64" s="392">
        <v>0.1065</v>
      </c>
      <c r="O64" s="392">
        <v>6.1100000000000002E-2</v>
      </c>
      <c r="P64" s="392">
        <v>4.3900000000000002E-2</v>
      </c>
      <c r="Q64" s="392">
        <v>2.9999999999999997E-4</v>
      </c>
      <c r="R64" s="392">
        <v>4.1399999999999999E-2</v>
      </c>
      <c r="S64" s="392">
        <v>4.4200000000000003E-2</v>
      </c>
      <c r="T64" s="392">
        <v>6.8999999999999999E-3</v>
      </c>
      <c r="U64" s="392">
        <v>0.10539999999999999</v>
      </c>
      <c r="V64" s="392">
        <v>0.10440000000000001</v>
      </c>
      <c r="W64" s="392">
        <v>9.4299999999999995E-2</v>
      </c>
      <c r="X64" s="392">
        <v>3.3700000000000001E-2</v>
      </c>
      <c r="Y64" s="392">
        <v>9.6500000000000002E-2</v>
      </c>
      <c r="Z64" s="392"/>
      <c r="AA64" s="392">
        <v>9.4100000000000003E-2</v>
      </c>
      <c r="AB64" s="392">
        <v>6.54E-2</v>
      </c>
      <c r="AC64" s="392">
        <v>0.53739999999999999</v>
      </c>
      <c r="AD64" s="392"/>
      <c r="AE64" s="392">
        <v>3.0599999999999999E-2</v>
      </c>
      <c r="AF64" s="392">
        <v>2.8999999999999998E-3</v>
      </c>
      <c r="AG64" s="392">
        <v>9.1999999999999998E-2</v>
      </c>
      <c r="AH64" s="392">
        <v>0.51559999999999995</v>
      </c>
      <c r="AI64" s="392">
        <v>0.1216</v>
      </c>
      <c r="AJ64" s="392">
        <v>0.69220000000000004</v>
      </c>
      <c r="AK64" s="392">
        <v>0.89570000000000005</v>
      </c>
      <c r="AL64" s="392">
        <v>0.2417</v>
      </c>
      <c r="AM64" s="392"/>
      <c r="AN64" s="392">
        <v>3.3599999999999998E-2</v>
      </c>
      <c r="AO64" s="392">
        <v>0.2782</v>
      </c>
      <c r="AP64" s="392">
        <v>0.1434</v>
      </c>
      <c r="AQ64" s="392">
        <v>0.57920000000000005</v>
      </c>
      <c r="AR64" s="392">
        <v>2.5899999999999999E-2</v>
      </c>
      <c r="AS64" s="392">
        <v>1.1299999999999999E-2</v>
      </c>
      <c r="AT64" s="392">
        <v>1.21E-2</v>
      </c>
      <c r="AU64" s="392">
        <v>0.24629999999999999</v>
      </c>
      <c r="AV64" s="392">
        <v>3.44E-2</v>
      </c>
      <c r="AW64" s="392">
        <v>0.1149</v>
      </c>
      <c r="AX64" s="392">
        <v>0.75590000000000002</v>
      </c>
      <c r="AY64" s="392">
        <v>5.0700000000000002E-2</v>
      </c>
      <c r="AZ64" s="392">
        <v>0.30859999999999999</v>
      </c>
      <c r="BA64" s="392">
        <v>0.19750000000000001</v>
      </c>
      <c r="BB64" s="392">
        <v>1.0002</v>
      </c>
      <c r="BC64" s="392">
        <v>0.20130000000000001</v>
      </c>
      <c r="BD64" s="392">
        <v>3.9199999999999999E-2</v>
      </c>
      <c r="BE64" s="392">
        <v>0.255</v>
      </c>
      <c r="BF64" s="392">
        <v>0.23949999999999999</v>
      </c>
      <c r="BG64" s="392">
        <v>6.6E-3</v>
      </c>
      <c r="BH64" s="392">
        <v>0.40050000000000002</v>
      </c>
      <c r="BI64" s="392">
        <v>6.2073999999999998</v>
      </c>
      <c r="BJ64" s="392">
        <v>3.4113000000000002</v>
      </c>
      <c r="BK64" s="392">
        <v>24.152799999999999</v>
      </c>
      <c r="BL64" s="392">
        <v>1.0587</v>
      </c>
      <c r="BM64" s="392">
        <v>4.9299999999999997E-2</v>
      </c>
      <c r="BN64" s="392">
        <v>0.55100000000000005</v>
      </c>
      <c r="BO64" s="392">
        <v>0.1928</v>
      </c>
      <c r="BP64" s="392">
        <v>1.34E-2</v>
      </c>
      <c r="BQ64" s="392">
        <v>3.9600000000000003E-2</v>
      </c>
      <c r="BR64" s="392"/>
      <c r="BS64" s="392">
        <v>45.349699999999999</v>
      </c>
      <c r="BT64" s="394">
        <v>89.867800000000003</v>
      </c>
      <c r="BU64" s="394"/>
      <c r="BV64" s="394">
        <v>535.00819999999999</v>
      </c>
      <c r="BW64" s="395">
        <v>624.87599999999998</v>
      </c>
      <c r="BX64" s="393"/>
      <c r="BY64" s="394"/>
      <c r="BZ64" s="394"/>
      <c r="CA64" s="394">
        <v>2.8613</v>
      </c>
      <c r="CB64" s="396">
        <v>627.7373</v>
      </c>
      <c r="CC64" s="397">
        <v>673.08699999999999</v>
      </c>
      <c r="CE64" s="5"/>
    </row>
    <row r="65" spans="1:83" x14ac:dyDescent="0.3">
      <c r="A65" s="7">
        <v>59</v>
      </c>
      <c r="B65" s="150" t="s">
        <v>164</v>
      </c>
      <c r="C65" s="150"/>
      <c r="D65" s="150"/>
      <c r="E65" s="150"/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/>
      <c r="BA65" s="392"/>
      <c r="BB65" s="392">
        <v>2.3E-3</v>
      </c>
      <c r="BC65" s="392"/>
      <c r="BD65" s="392"/>
      <c r="BE65" s="392"/>
      <c r="BF65" s="392"/>
      <c r="BG65" s="392"/>
      <c r="BH65" s="392"/>
      <c r="BI65" s="392">
        <v>1.7786999999999999</v>
      </c>
      <c r="BJ65" s="392">
        <v>1.78E-2</v>
      </c>
      <c r="BK65" s="392">
        <v>2.3999999999999998E-3</v>
      </c>
      <c r="BL65" s="392">
        <v>0.33100000000000002</v>
      </c>
      <c r="BM65" s="392">
        <v>2.2000000000000001E-3</v>
      </c>
      <c r="BN65" s="392"/>
      <c r="BO65" s="392"/>
      <c r="BP65" s="392"/>
      <c r="BQ65" s="392">
        <v>6.4000000000000003E-3</v>
      </c>
      <c r="BR65" s="392"/>
      <c r="BS65" s="392">
        <v>2.1408</v>
      </c>
      <c r="BT65" s="394">
        <v>26.034300000000002</v>
      </c>
      <c r="BU65" s="394">
        <v>15.4358</v>
      </c>
      <c r="BV65" s="394">
        <v>56.460099999999997</v>
      </c>
      <c r="BW65" s="395">
        <v>97.930199999999999</v>
      </c>
      <c r="BX65" s="393"/>
      <c r="BY65" s="394"/>
      <c r="BZ65" s="394"/>
      <c r="CA65" s="394">
        <v>2.8400000000000002E-2</v>
      </c>
      <c r="CB65" s="396">
        <v>97.958600000000004</v>
      </c>
      <c r="CC65" s="397">
        <v>100.0994</v>
      </c>
      <c r="CE65" s="5"/>
    </row>
    <row r="66" spans="1:83" x14ac:dyDescent="0.3">
      <c r="A66" s="7">
        <v>60</v>
      </c>
      <c r="B66" s="150" t="s">
        <v>165</v>
      </c>
      <c r="C66" s="150"/>
      <c r="D66" s="150"/>
      <c r="E66" s="150"/>
      <c r="F66" s="392"/>
      <c r="G66" s="392"/>
      <c r="H66" s="392"/>
      <c r="I66" s="392"/>
      <c r="J66" s="392"/>
      <c r="K66" s="392"/>
      <c r="L66" s="392">
        <v>0.19209999999999999</v>
      </c>
      <c r="M66" s="392"/>
      <c r="N66" s="392">
        <v>2.6599999999999999E-2</v>
      </c>
      <c r="O66" s="392"/>
      <c r="P66" s="392"/>
      <c r="Q66" s="392"/>
      <c r="R66" s="392">
        <v>4.8999999999999998E-3</v>
      </c>
      <c r="S66" s="392"/>
      <c r="T66" s="392"/>
      <c r="U66" s="392"/>
      <c r="V66" s="392">
        <v>3.0999999999999999E-3</v>
      </c>
      <c r="W66" s="392"/>
      <c r="X66" s="392"/>
      <c r="Y66" s="392"/>
      <c r="Z66" s="392"/>
      <c r="AA66" s="392">
        <v>3.2199999999999999E-2</v>
      </c>
      <c r="AB66" s="392"/>
      <c r="AC66" s="392"/>
      <c r="AD66" s="392"/>
      <c r="AE66" s="392"/>
      <c r="AF66" s="392"/>
      <c r="AG66" s="392"/>
      <c r="AH66" s="392"/>
      <c r="AI66" s="392">
        <v>7.9600000000000004E-2</v>
      </c>
      <c r="AJ66" s="392">
        <v>0.25869999999999999</v>
      </c>
      <c r="AK66" s="392">
        <v>3.1899999999999998E-2</v>
      </c>
      <c r="AL66" s="392"/>
      <c r="AM66" s="392"/>
      <c r="AN66" s="392"/>
      <c r="AO66" s="392"/>
      <c r="AP66" s="392">
        <v>1.7500000000000002E-2</v>
      </c>
      <c r="AQ66" s="392">
        <v>1.4553</v>
      </c>
      <c r="AR66" s="392">
        <v>0.21529999999999999</v>
      </c>
      <c r="AS66" s="392">
        <v>0.76139999999999997</v>
      </c>
      <c r="AT66" s="392">
        <v>0.1198</v>
      </c>
      <c r="AU66" s="392">
        <v>0.16300000000000001</v>
      </c>
      <c r="AV66" s="392">
        <v>5.3900000000000003E-2</v>
      </c>
      <c r="AW66" s="392"/>
      <c r="AX66" s="392"/>
      <c r="AY66" s="392">
        <v>4.4000000000000003E-3</v>
      </c>
      <c r="AZ66" s="392">
        <v>0.2331</v>
      </c>
      <c r="BA66" s="392"/>
      <c r="BB66" s="392">
        <v>9.5600000000000004E-2</v>
      </c>
      <c r="BC66" s="392"/>
      <c r="BD66" s="392"/>
      <c r="BE66" s="392">
        <v>1.2E-2</v>
      </c>
      <c r="BF66" s="392">
        <v>1.4E-3</v>
      </c>
      <c r="BG66" s="392">
        <v>0.51060000000000005</v>
      </c>
      <c r="BH66" s="392">
        <v>0.57169999999999999</v>
      </c>
      <c r="BI66" s="392">
        <v>1.5271999999999999</v>
      </c>
      <c r="BJ66" s="392">
        <v>1.0566</v>
      </c>
      <c r="BK66" s="392">
        <v>7.46E-2</v>
      </c>
      <c r="BL66" s="392">
        <v>0.1943</v>
      </c>
      <c r="BM66" s="392">
        <v>29.1448</v>
      </c>
      <c r="BN66" s="392">
        <v>2.2951000000000001</v>
      </c>
      <c r="BO66" s="392">
        <v>0.30499999999999999</v>
      </c>
      <c r="BP66" s="392"/>
      <c r="BQ66" s="392"/>
      <c r="BR66" s="392"/>
      <c r="BS66" s="392">
        <v>39.441699999999997</v>
      </c>
      <c r="BT66" s="394">
        <v>74.963899999999995</v>
      </c>
      <c r="BU66" s="394">
        <v>6.7516999999999996</v>
      </c>
      <c r="BV66" s="394">
        <v>87.937899999999999</v>
      </c>
      <c r="BW66" s="395">
        <v>169.65350000000001</v>
      </c>
      <c r="BX66" s="393">
        <v>4.1783000000000001</v>
      </c>
      <c r="BY66" s="394">
        <v>2.75E-2</v>
      </c>
      <c r="BZ66" s="394">
        <v>4.2058</v>
      </c>
      <c r="CA66" s="394">
        <v>4.024</v>
      </c>
      <c r="CB66" s="396">
        <v>177.88329999999999</v>
      </c>
      <c r="CC66" s="397">
        <v>217.32499999999999</v>
      </c>
      <c r="CE66" s="5"/>
    </row>
    <row r="67" spans="1:83" x14ac:dyDescent="0.3">
      <c r="A67" s="7">
        <v>61</v>
      </c>
      <c r="B67" s="150" t="s">
        <v>166</v>
      </c>
      <c r="C67" s="150"/>
      <c r="D67" s="150"/>
      <c r="E67" s="150"/>
      <c r="F67" s="392">
        <v>4.0000000000000002E-4</v>
      </c>
      <c r="G67" s="392"/>
      <c r="H67" s="392">
        <v>5.0000000000000001E-4</v>
      </c>
      <c r="I67" s="392"/>
      <c r="J67" s="392"/>
      <c r="K67" s="392"/>
      <c r="L67" s="392"/>
      <c r="M67" s="392"/>
      <c r="N67" s="392">
        <v>1.4E-3</v>
      </c>
      <c r="O67" s="392">
        <v>2.9999999999999997E-4</v>
      </c>
      <c r="P67" s="392"/>
      <c r="Q67" s="392"/>
      <c r="R67" s="392"/>
      <c r="S67" s="392"/>
      <c r="T67" s="392"/>
      <c r="U67" s="392"/>
      <c r="V67" s="392">
        <v>3.8899999999999997E-2</v>
      </c>
      <c r="W67" s="392"/>
      <c r="X67" s="392">
        <v>2.5899999999999999E-2</v>
      </c>
      <c r="Y67" s="392"/>
      <c r="Z67" s="392">
        <v>5.0000000000000001E-4</v>
      </c>
      <c r="AA67" s="392">
        <v>8.6999999999999994E-3</v>
      </c>
      <c r="AB67" s="392"/>
      <c r="AC67" s="392">
        <v>2.9999999999999997E-4</v>
      </c>
      <c r="AD67" s="392">
        <v>1.8E-3</v>
      </c>
      <c r="AE67" s="392"/>
      <c r="AF67" s="392">
        <v>8.9999999999999998E-4</v>
      </c>
      <c r="AG67" s="392"/>
      <c r="AH67" s="392"/>
      <c r="AI67" s="392">
        <v>0.48799999999999999</v>
      </c>
      <c r="AJ67" s="392">
        <v>0.71499999999999997</v>
      </c>
      <c r="AK67" s="392">
        <v>0.53659999999999997</v>
      </c>
      <c r="AL67" s="392"/>
      <c r="AM67" s="392">
        <v>4.9539999999999997</v>
      </c>
      <c r="AN67" s="392">
        <v>8.0000000000000004E-4</v>
      </c>
      <c r="AO67" s="392"/>
      <c r="AP67" s="392"/>
      <c r="AQ67" s="392"/>
      <c r="AR67" s="392">
        <v>9.2799999999999994E-2</v>
      </c>
      <c r="AS67" s="392">
        <v>0.14219999999999999</v>
      </c>
      <c r="AT67" s="392">
        <v>5.0599999999999999E-2</v>
      </c>
      <c r="AU67" s="392">
        <v>0.14119999999999999</v>
      </c>
      <c r="AV67" s="392">
        <v>7.0800000000000002E-2</v>
      </c>
      <c r="AW67" s="392">
        <v>2.07E-2</v>
      </c>
      <c r="AX67" s="392">
        <v>2.24E-2</v>
      </c>
      <c r="AY67" s="392"/>
      <c r="AZ67" s="392">
        <v>5.6399999999999999E-2</v>
      </c>
      <c r="BA67" s="392">
        <v>4.7000000000000002E-3</v>
      </c>
      <c r="BB67" s="392">
        <v>8.9399999999999993E-2</v>
      </c>
      <c r="BC67" s="392">
        <v>0.28129999999999999</v>
      </c>
      <c r="BD67" s="392"/>
      <c r="BE67" s="392">
        <v>2.3900000000000001E-2</v>
      </c>
      <c r="BF67" s="392">
        <v>5.0000000000000001E-4</v>
      </c>
      <c r="BG67" s="392"/>
      <c r="BH67" s="392"/>
      <c r="BI67" s="392">
        <v>1.1048</v>
      </c>
      <c r="BJ67" s="392">
        <v>4.4252000000000002</v>
      </c>
      <c r="BK67" s="392">
        <v>4.7199999999999999E-2</v>
      </c>
      <c r="BL67" s="392">
        <v>3.9699999999999999E-2</v>
      </c>
      <c r="BM67" s="392">
        <v>0.4</v>
      </c>
      <c r="BN67" s="392">
        <v>17.009699999999999</v>
      </c>
      <c r="BO67" s="392">
        <v>0.1426</v>
      </c>
      <c r="BP67" s="392">
        <v>6.2399999999999997E-2</v>
      </c>
      <c r="BQ67" s="392">
        <v>1.2500000000000001E-2</v>
      </c>
      <c r="BR67" s="392"/>
      <c r="BS67" s="392">
        <v>31.015000000000001</v>
      </c>
      <c r="BT67" s="394">
        <v>48.531500000000001</v>
      </c>
      <c r="BU67" s="394">
        <v>44.654600000000002</v>
      </c>
      <c r="BV67" s="394">
        <v>41.977600000000002</v>
      </c>
      <c r="BW67" s="395">
        <v>135.16370000000001</v>
      </c>
      <c r="BX67" s="393"/>
      <c r="BY67" s="394"/>
      <c r="BZ67" s="394"/>
      <c r="CA67" s="394">
        <v>3.4813999999999998</v>
      </c>
      <c r="CB67" s="396">
        <v>138.64510000000001</v>
      </c>
      <c r="CC67" s="397">
        <v>169.6601</v>
      </c>
      <c r="CE67" s="5"/>
    </row>
    <row r="68" spans="1:83" x14ac:dyDescent="0.3">
      <c r="A68" s="7">
        <v>62</v>
      </c>
      <c r="B68" s="150" t="s">
        <v>167</v>
      </c>
      <c r="C68" s="150"/>
      <c r="D68" s="150"/>
      <c r="E68" s="150"/>
      <c r="F68" s="392">
        <v>1.2228000000000001</v>
      </c>
      <c r="G68" s="392">
        <v>0.62519999999999998</v>
      </c>
      <c r="H68" s="392">
        <v>8.6900000000000005E-2</v>
      </c>
      <c r="I68" s="392">
        <v>5.6000000000000001E-2</v>
      </c>
      <c r="J68" s="392">
        <v>6.9858000000000002</v>
      </c>
      <c r="K68" s="392">
        <v>4.6800000000000001E-2</v>
      </c>
      <c r="L68" s="392">
        <v>4.2999999999999997E-2</v>
      </c>
      <c r="M68" s="392">
        <v>7.0000000000000001E-3</v>
      </c>
      <c r="N68" s="392">
        <v>3.2300000000000002E-2</v>
      </c>
      <c r="O68" s="392">
        <v>1.3599999999999999E-2</v>
      </c>
      <c r="P68" s="392">
        <v>4.1599999999999998E-2</v>
      </c>
      <c r="Q68" s="392">
        <v>2.9999999999999997E-4</v>
      </c>
      <c r="R68" s="392">
        <v>1.8100000000000002E-2</v>
      </c>
      <c r="S68" s="392">
        <v>5.5E-2</v>
      </c>
      <c r="T68" s="392"/>
      <c r="U68" s="392"/>
      <c r="V68" s="392"/>
      <c r="W68" s="392">
        <v>3.3999999999999998E-3</v>
      </c>
      <c r="X68" s="392">
        <v>2.9499999999999998E-2</v>
      </c>
      <c r="Y68" s="392">
        <v>1.23E-2</v>
      </c>
      <c r="Z68" s="392">
        <v>1E-3</v>
      </c>
      <c r="AA68" s="392">
        <v>3.4099999999999998E-2</v>
      </c>
      <c r="AB68" s="392"/>
      <c r="AC68" s="392">
        <v>0.221</v>
      </c>
      <c r="AD68" s="392">
        <v>2.64E-2</v>
      </c>
      <c r="AE68" s="392">
        <v>6.7999999999999996E-3</v>
      </c>
      <c r="AF68" s="392">
        <v>5.1799999999999999E-2</v>
      </c>
      <c r="AG68" s="392">
        <v>1.2997000000000001</v>
      </c>
      <c r="AH68" s="392">
        <v>0.1177</v>
      </c>
      <c r="AI68" s="392">
        <v>0.46489999999999998</v>
      </c>
      <c r="AJ68" s="392">
        <v>1.7822</v>
      </c>
      <c r="AK68" s="392">
        <v>2.4201000000000001</v>
      </c>
      <c r="AL68" s="392">
        <v>3.5792000000000002</v>
      </c>
      <c r="AM68" s="392"/>
      <c r="AN68" s="392">
        <v>2.9399999999999999E-2</v>
      </c>
      <c r="AO68" s="392">
        <v>0.35139999999999999</v>
      </c>
      <c r="AP68" s="392">
        <v>2.81E-2</v>
      </c>
      <c r="AQ68" s="392">
        <v>0.16109999999999999</v>
      </c>
      <c r="AR68" s="392">
        <v>5.3600000000000002E-2</v>
      </c>
      <c r="AS68" s="392">
        <v>0.12429999999999999</v>
      </c>
      <c r="AT68" s="392">
        <v>7.0000000000000001E-3</v>
      </c>
      <c r="AU68" s="392">
        <v>8.5800000000000001E-2</v>
      </c>
      <c r="AV68" s="392">
        <v>1.5800000000000002E-2</v>
      </c>
      <c r="AW68" s="392">
        <v>2.1999999999999999E-2</v>
      </c>
      <c r="AX68" s="392">
        <v>8.2799999999999999E-2</v>
      </c>
      <c r="AY68" s="392">
        <v>0.18360000000000001</v>
      </c>
      <c r="AZ68" s="392">
        <v>0.45879999999999999</v>
      </c>
      <c r="BA68" s="392">
        <v>9.1499999999999998E-2</v>
      </c>
      <c r="BB68" s="392">
        <v>4.2099999999999999E-2</v>
      </c>
      <c r="BC68" s="392">
        <v>0.13780000000000001</v>
      </c>
      <c r="BD68" s="392"/>
      <c r="BE68" s="392"/>
      <c r="BF68" s="392">
        <v>1.5E-3</v>
      </c>
      <c r="BG68" s="392">
        <v>0.41349999999999998</v>
      </c>
      <c r="BH68" s="392">
        <v>0.2606</v>
      </c>
      <c r="BI68" s="392"/>
      <c r="BJ68" s="392">
        <v>0.61929999999999996</v>
      </c>
      <c r="BK68" s="392">
        <v>1.8700000000000001E-2</v>
      </c>
      <c r="BL68" s="392"/>
      <c r="BM68" s="392">
        <v>3.6600000000000001E-2</v>
      </c>
      <c r="BN68" s="392">
        <v>1.6199999999999999E-2</v>
      </c>
      <c r="BO68" s="392">
        <v>6.1000000000000004E-3</v>
      </c>
      <c r="BP68" s="392"/>
      <c r="BQ68" s="392"/>
      <c r="BR68" s="392"/>
      <c r="BS68" s="392">
        <v>22.5321</v>
      </c>
      <c r="BT68" s="394"/>
      <c r="BU68" s="394">
        <v>88.666200000000003</v>
      </c>
      <c r="BV68" s="394"/>
      <c r="BW68" s="395">
        <v>88.666200000000003</v>
      </c>
      <c r="BX68" s="393"/>
      <c r="BY68" s="394"/>
      <c r="BZ68" s="394"/>
      <c r="CA68" s="394">
        <v>0.31119999999999998</v>
      </c>
      <c r="CB68" s="396">
        <v>88.977400000000003</v>
      </c>
      <c r="CC68" s="397">
        <v>111.5095</v>
      </c>
      <c r="CE68" s="5"/>
    </row>
    <row r="69" spans="1:83" x14ac:dyDescent="0.3">
      <c r="A69" s="7">
        <v>63</v>
      </c>
      <c r="B69" s="150" t="s">
        <v>168</v>
      </c>
      <c r="C69" s="150"/>
      <c r="D69" s="150"/>
      <c r="E69" s="150"/>
      <c r="F69" s="392">
        <v>0.1331</v>
      </c>
      <c r="G69" s="392">
        <v>0.15809999999999999</v>
      </c>
      <c r="H69" s="392">
        <v>1.77E-2</v>
      </c>
      <c r="I69" s="392">
        <v>5.0000000000000001E-4</v>
      </c>
      <c r="J69" s="392">
        <v>0.1072</v>
      </c>
      <c r="K69" s="392">
        <v>0.13120000000000001</v>
      </c>
      <c r="L69" s="392">
        <v>0.13980000000000001</v>
      </c>
      <c r="M69" s="392">
        <v>3.8999999999999998E-3</v>
      </c>
      <c r="N69" s="392">
        <v>5.0999999999999997E-2</v>
      </c>
      <c r="O69" s="392"/>
      <c r="P69" s="392">
        <v>8.3400000000000002E-2</v>
      </c>
      <c r="Q69" s="392"/>
      <c r="R69" s="392">
        <v>1.6E-2</v>
      </c>
      <c r="S69" s="392">
        <v>4.7800000000000002E-2</v>
      </c>
      <c r="T69" s="392">
        <v>9.4999999999999998E-3</v>
      </c>
      <c r="U69" s="392">
        <v>0.1095</v>
      </c>
      <c r="V69" s="392">
        <v>3.0394000000000001</v>
      </c>
      <c r="W69" s="392">
        <v>0.47489999999999999</v>
      </c>
      <c r="X69" s="392">
        <v>0.17169999999999999</v>
      </c>
      <c r="Y69" s="392">
        <v>3.8600000000000002E-2</v>
      </c>
      <c r="Z69" s="392">
        <v>0.12379999999999999</v>
      </c>
      <c r="AA69" s="392">
        <v>1.3899999999999999E-2</v>
      </c>
      <c r="AB69" s="392"/>
      <c r="AC69" s="392"/>
      <c r="AD69" s="392"/>
      <c r="AE69" s="392"/>
      <c r="AF69" s="392">
        <v>1.17E-2</v>
      </c>
      <c r="AG69" s="392">
        <v>2.2200000000000001E-2</v>
      </c>
      <c r="AH69" s="392">
        <v>0.32779999999999998</v>
      </c>
      <c r="AI69" s="392">
        <v>0.17599999999999999</v>
      </c>
      <c r="AJ69" s="392">
        <v>0.78090000000000004</v>
      </c>
      <c r="AK69" s="392">
        <v>1.0643</v>
      </c>
      <c r="AL69" s="392">
        <v>0.43240000000000001</v>
      </c>
      <c r="AM69" s="392"/>
      <c r="AN69" s="392">
        <v>1.1999999999999999E-3</v>
      </c>
      <c r="AO69" s="392">
        <v>0.3135</v>
      </c>
      <c r="AP69" s="392">
        <v>1.5699999999999999E-2</v>
      </c>
      <c r="AQ69" s="392">
        <v>0.40029999999999999</v>
      </c>
      <c r="AR69" s="392">
        <v>0.2727</v>
      </c>
      <c r="AS69" s="392">
        <v>0.21340000000000001</v>
      </c>
      <c r="AT69" s="392">
        <v>4.2198000000000002</v>
      </c>
      <c r="AU69" s="392">
        <v>1.2091000000000001</v>
      </c>
      <c r="AV69" s="392">
        <v>0.5494</v>
      </c>
      <c r="AW69" s="392">
        <v>0.1716</v>
      </c>
      <c r="AX69" s="392">
        <v>0.93130000000000002</v>
      </c>
      <c r="AY69" s="392">
        <v>0.61</v>
      </c>
      <c r="AZ69" s="392">
        <v>0.65129999999999999</v>
      </c>
      <c r="BA69" s="392">
        <v>0.18920000000000001</v>
      </c>
      <c r="BB69" s="392">
        <v>0.27010000000000001</v>
      </c>
      <c r="BC69" s="392">
        <v>0.30680000000000002</v>
      </c>
      <c r="BD69" s="392">
        <v>7.6999999999999999E-2</v>
      </c>
      <c r="BE69" s="392">
        <v>0.62570000000000003</v>
      </c>
      <c r="BF69" s="392">
        <v>1.7399999999999999E-2</v>
      </c>
      <c r="BG69" s="392">
        <v>5.3499999999999999E-2</v>
      </c>
      <c r="BH69" s="392">
        <v>0.35920000000000002</v>
      </c>
      <c r="BI69" s="392">
        <v>6.4298999999999999</v>
      </c>
      <c r="BJ69" s="392">
        <v>1.3422000000000001</v>
      </c>
      <c r="BK69" s="392">
        <v>0.70620000000000005</v>
      </c>
      <c r="BL69" s="392">
        <v>0.1736</v>
      </c>
      <c r="BM69" s="392">
        <v>0.51259999999999994</v>
      </c>
      <c r="BN69" s="392">
        <v>0.21959999999999999</v>
      </c>
      <c r="BO69" s="392">
        <v>0.129</v>
      </c>
      <c r="BP69" s="392">
        <v>0.86</v>
      </c>
      <c r="BQ69" s="392">
        <v>0.12379999999999999</v>
      </c>
      <c r="BR69" s="392"/>
      <c r="BS69" s="392">
        <v>29.641400000000001</v>
      </c>
      <c r="BT69" s="394">
        <v>2.0419</v>
      </c>
      <c r="BU69" s="394"/>
      <c r="BV69" s="394"/>
      <c r="BW69" s="395">
        <v>2.0419</v>
      </c>
      <c r="BX69" s="393"/>
      <c r="BY69" s="394"/>
      <c r="BZ69" s="394"/>
      <c r="CA69" s="394">
        <v>0.63990000000000002</v>
      </c>
      <c r="CB69" s="396">
        <v>2.6818</v>
      </c>
      <c r="CC69" s="397">
        <v>32.3232</v>
      </c>
      <c r="CE69" s="5"/>
    </row>
    <row r="70" spans="1:83" x14ac:dyDescent="0.3">
      <c r="A70" s="7">
        <v>64</v>
      </c>
      <c r="B70" s="150" t="s">
        <v>169</v>
      </c>
      <c r="C70" s="150"/>
      <c r="D70" s="150"/>
      <c r="E70" s="150"/>
      <c r="F70" s="392">
        <v>4.1300000000000003E-2</v>
      </c>
      <c r="G70" s="392">
        <v>0.1036</v>
      </c>
      <c r="H70" s="392">
        <v>1.0500000000000001E-2</v>
      </c>
      <c r="I70" s="392"/>
      <c r="J70" s="392">
        <v>1.6839999999999999</v>
      </c>
      <c r="K70" s="392">
        <v>0.26490000000000002</v>
      </c>
      <c r="L70" s="392">
        <v>0.21829999999999999</v>
      </c>
      <c r="M70" s="392">
        <v>3.6700000000000003E-2</v>
      </c>
      <c r="N70" s="392">
        <v>0.17069999999999999</v>
      </c>
      <c r="O70" s="392">
        <v>0.15690000000000001</v>
      </c>
      <c r="P70" s="392">
        <v>4.0300000000000002E-2</v>
      </c>
      <c r="Q70" s="392">
        <v>1.5299999999999999E-2</v>
      </c>
      <c r="R70" s="392">
        <v>0.17810000000000001</v>
      </c>
      <c r="S70" s="392">
        <v>0.19769999999999999</v>
      </c>
      <c r="T70" s="392">
        <v>2.0400000000000001E-2</v>
      </c>
      <c r="U70" s="392">
        <v>0.21809999999999999</v>
      </c>
      <c r="V70" s="392">
        <v>0.26069999999999999</v>
      </c>
      <c r="W70" s="392">
        <v>0.66490000000000005</v>
      </c>
      <c r="X70" s="392">
        <v>0.27510000000000001</v>
      </c>
      <c r="Y70" s="392">
        <v>0.24809999999999999</v>
      </c>
      <c r="Z70" s="392">
        <v>0.11799999999999999</v>
      </c>
      <c r="AA70" s="392">
        <v>0.10589999999999999</v>
      </c>
      <c r="AB70" s="392">
        <v>0.30869999999999997</v>
      </c>
      <c r="AC70" s="392">
        <v>4.9599999999999998E-2</v>
      </c>
      <c r="AD70" s="392"/>
      <c r="AE70" s="392">
        <v>7.3599999999999999E-2</v>
      </c>
      <c r="AF70" s="392">
        <v>6.0000000000000001E-3</v>
      </c>
      <c r="AG70" s="392">
        <v>3.9800000000000002E-2</v>
      </c>
      <c r="AH70" s="392">
        <v>8.4199999999999997E-2</v>
      </c>
      <c r="AI70" s="392"/>
      <c r="AJ70" s="392"/>
      <c r="AK70" s="392">
        <v>0.32029999999999997</v>
      </c>
      <c r="AL70" s="392"/>
      <c r="AM70" s="392"/>
      <c r="AN70" s="392"/>
      <c r="AO70" s="392"/>
      <c r="AP70" s="392">
        <v>5.1999999999999998E-3</v>
      </c>
      <c r="AQ70" s="392">
        <v>0.38069999999999998</v>
      </c>
      <c r="AR70" s="392"/>
      <c r="AS70" s="392">
        <v>1.6400000000000001E-2</v>
      </c>
      <c r="AT70" s="392">
        <v>3.7499999999999999E-2</v>
      </c>
      <c r="AU70" s="392">
        <v>5.11E-2</v>
      </c>
      <c r="AV70" s="392">
        <v>5.74E-2</v>
      </c>
      <c r="AW70" s="392">
        <v>3.1300000000000001E-2</v>
      </c>
      <c r="AX70" s="392">
        <v>1.8700000000000001E-2</v>
      </c>
      <c r="AY70" s="392"/>
      <c r="AZ70" s="392"/>
      <c r="BA70" s="392"/>
      <c r="BB70" s="392">
        <v>0.1229</v>
      </c>
      <c r="BC70" s="392">
        <v>0.08</v>
      </c>
      <c r="BD70" s="392"/>
      <c r="BE70" s="392">
        <v>1.0938000000000001</v>
      </c>
      <c r="BF70" s="392"/>
      <c r="BG70" s="392"/>
      <c r="BH70" s="392">
        <v>0.1229</v>
      </c>
      <c r="BI70" s="392">
        <v>1.4411</v>
      </c>
      <c r="BJ70" s="392">
        <v>0.1956</v>
      </c>
      <c r="BK70" s="392">
        <v>0.91279999999999994</v>
      </c>
      <c r="BL70" s="392">
        <v>0.253</v>
      </c>
      <c r="BM70" s="392">
        <v>0.2782</v>
      </c>
      <c r="BN70" s="392">
        <v>0.31259999999999999</v>
      </c>
      <c r="BO70" s="392">
        <v>6.8699999999999997E-2</v>
      </c>
      <c r="BP70" s="392"/>
      <c r="BQ70" s="392">
        <v>5.7251000000000003</v>
      </c>
      <c r="BR70" s="392"/>
      <c r="BS70" s="392">
        <v>17.116700000000002</v>
      </c>
      <c r="BT70" s="394">
        <v>75.7119</v>
      </c>
      <c r="BU70" s="394"/>
      <c r="BV70" s="394">
        <v>1.2317</v>
      </c>
      <c r="BW70" s="395">
        <v>76.943600000000004</v>
      </c>
      <c r="BX70" s="393"/>
      <c r="BY70" s="394"/>
      <c r="BZ70" s="394"/>
      <c r="CA70" s="394">
        <v>5.1337999999999999</v>
      </c>
      <c r="CB70" s="396">
        <v>82.077399999999997</v>
      </c>
      <c r="CC70" s="397">
        <v>99.194100000000006</v>
      </c>
      <c r="CE70" s="5"/>
    </row>
    <row r="71" spans="1:83" x14ac:dyDescent="0.3">
      <c r="A71" s="33">
        <v>65</v>
      </c>
      <c r="B71" s="150" t="s">
        <v>170</v>
      </c>
      <c r="C71" s="150"/>
      <c r="D71" s="150"/>
      <c r="E71" s="150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M71" s="392"/>
      <c r="AN71" s="392"/>
      <c r="AO71" s="392"/>
      <c r="AP71" s="392"/>
      <c r="AQ71" s="392"/>
      <c r="AR71" s="392"/>
      <c r="AS71" s="392"/>
      <c r="AT71" s="392"/>
      <c r="AU71" s="392"/>
      <c r="AV71" s="392"/>
      <c r="AW71" s="392"/>
      <c r="AX71" s="392"/>
      <c r="AY71" s="392"/>
      <c r="AZ71" s="392"/>
      <c r="BA71" s="392"/>
      <c r="BB71" s="392"/>
      <c r="BC71" s="392"/>
      <c r="BD71" s="392"/>
      <c r="BE71" s="392"/>
      <c r="BF71" s="392"/>
      <c r="BG71" s="392"/>
      <c r="BH71" s="392"/>
      <c r="BI71" s="392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4">
        <v>4.3353000000000002</v>
      </c>
      <c r="BU71" s="394"/>
      <c r="BV71" s="394"/>
      <c r="BW71" s="395">
        <v>4.3353000000000002</v>
      </c>
      <c r="BX71" s="393"/>
      <c r="BY71" s="394"/>
      <c r="BZ71" s="394"/>
      <c r="CA71" s="394"/>
      <c r="CB71" s="396">
        <v>4.3353000000000002</v>
      </c>
      <c r="CC71" s="397">
        <v>4.3353000000000002</v>
      </c>
      <c r="CE71" s="5"/>
    </row>
    <row r="72" spans="1:83" x14ac:dyDescent="0.3">
      <c r="A72" s="7">
        <v>66</v>
      </c>
      <c r="B72" s="4" t="s">
        <v>13</v>
      </c>
      <c r="C72" s="4"/>
      <c r="D72" s="4"/>
      <c r="E72" s="4"/>
      <c r="F72" s="398">
        <v>378.04300000000001</v>
      </c>
      <c r="G72" s="398">
        <v>234.69499999999999</v>
      </c>
      <c r="H72" s="398">
        <v>30.7746</v>
      </c>
      <c r="I72" s="398">
        <v>130.8656</v>
      </c>
      <c r="J72" s="398">
        <v>963.43439999999998</v>
      </c>
      <c r="K72" s="398">
        <v>278.13209999999998</v>
      </c>
      <c r="L72" s="398">
        <v>826.4538</v>
      </c>
      <c r="M72" s="398">
        <v>123.94929999999999</v>
      </c>
      <c r="N72" s="398">
        <v>127.8068</v>
      </c>
      <c r="O72" s="398">
        <v>108.0504</v>
      </c>
      <c r="P72" s="398">
        <v>232.4126</v>
      </c>
      <c r="Q72" s="398">
        <v>23.241</v>
      </c>
      <c r="R72" s="398">
        <v>188.6626</v>
      </c>
      <c r="S72" s="398">
        <v>182.25559999999999</v>
      </c>
      <c r="T72" s="398">
        <v>51.731699999999996</v>
      </c>
      <c r="U72" s="398">
        <v>592.64390000000003</v>
      </c>
      <c r="V72" s="398">
        <v>697.1336</v>
      </c>
      <c r="W72" s="398">
        <v>384.26780000000002</v>
      </c>
      <c r="X72" s="398">
        <v>176.9444</v>
      </c>
      <c r="Y72" s="398">
        <v>183.15459999999999</v>
      </c>
      <c r="Z72" s="398">
        <v>37.842500000000001</v>
      </c>
      <c r="AA72" s="398">
        <v>293.13630000000001</v>
      </c>
      <c r="AB72" s="398">
        <v>148.97460000000001</v>
      </c>
      <c r="AC72" s="398">
        <v>296.34390000000002</v>
      </c>
      <c r="AD72" s="398">
        <v>188.5462</v>
      </c>
      <c r="AE72" s="398">
        <v>173.17959999999999</v>
      </c>
      <c r="AF72" s="398">
        <v>26.563400000000001</v>
      </c>
      <c r="AG72" s="398">
        <v>208.98259999999999</v>
      </c>
      <c r="AH72" s="398">
        <v>1223.8198</v>
      </c>
      <c r="AI72" s="398">
        <v>219.34809999999999</v>
      </c>
      <c r="AJ72" s="398">
        <v>784.92</v>
      </c>
      <c r="AK72" s="398">
        <v>437.33109999999999</v>
      </c>
      <c r="AL72" s="398">
        <v>710.17529999999999</v>
      </c>
      <c r="AM72" s="398">
        <v>344.12169999999998</v>
      </c>
      <c r="AN72" s="398">
        <v>81.750100000000003</v>
      </c>
      <c r="AO72" s="398">
        <v>1038.0585000000001</v>
      </c>
      <c r="AP72" s="398">
        <v>31.270399999999999</v>
      </c>
      <c r="AQ72" s="398">
        <v>332.26819999999998</v>
      </c>
      <c r="AR72" s="398">
        <v>75.9666</v>
      </c>
      <c r="AS72" s="398">
        <v>52.383000000000003</v>
      </c>
      <c r="AT72" s="398">
        <v>393.84300000000002</v>
      </c>
      <c r="AU72" s="398">
        <v>137.2063</v>
      </c>
      <c r="AV72" s="398">
        <v>216.17930000000001</v>
      </c>
      <c r="AW72" s="398">
        <v>67.008499999999998</v>
      </c>
      <c r="AX72" s="398">
        <v>84.251999999999995</v>
      </c>
      <c r="AY72" s="398">
        <v>525.69550000000004</v>
      </c>
      <c r="AZ72" s="398">
        <v>188.2346</v>
      </c>
      <c r="BA72" s="398">
        <v>119.4119</v>
      </c>
      <c r="BB72" s="398">
        <v>43.222900000000003</v>
      </c>
      <c r="BC72" s="398">
        <v>153.10470000000001</v>
      </c>
      <c r="BD72" s="398">
        <v>35.2607</v>
      </c>
      <c r="BE72" s="398">
        <v>168.03989999999999</v>
      </c>
      <c r="BF72" s="398">
        <v>37.702300000000001</v>
      </c>
      <c r="BG72" s="398">
        <v>62.372100000000003</v>
      </c>
      <c r="BH72" s="398">
        <v>168.00069999999999</v>
      </c>
      <c r="BI72" s="398">
        <v>422.2808</v>
      </c>
      <c r="BJ72" s="398">
        <v>202.0635</v>
      </c>
      <c r="BK72" s="398">
        <v>236.22290000000001</v>
      </c>
      <c r="BL72" s="398">
        <v>30.936900000000001</v>
      </c>
      <c r="BM72" s="398">
        <v>92.384200000000007</v>
      </c>
      <c r="BN72" s="398">
        <v>92.232100000000003</v>
      </c>
      <c r="BO72" s="398">
        <v>57.016599999999997</v>
      </c>
      <c r="BP72" s="398">
        <v>18.008500000000002</v>
      </c>
      <c r="BQ72" s="398">
        <v>51.753700000000002</v>
      </c>
      <c r="BR72" s="398"/>
      <c r="BS72" s="398">
        <v>16222.068300000001</v>
      </c>
      <c r="BT72" s="393">
        <v>6682.5019000000002</v>
      </c>
      <c r="BU72" s="393">
        <v>215.68020000000001</v>
      </c>
      <c r="BV72" s="393">
        <v>2976.5196000000001</v>
      </c>
      <c r="BW72" s="395">
        <v>9874.7016999999996</v>
      </c>
      <c r="BX72" s="393">
        <v>2757.1129999999998</v>
      </c>
      <c r="BY72" s="393">
        <v>22.976500000000001</v>
      </c>
      <c r="BZ72" s="393">
        <v>2780.0895</v>
      </c>
      <c r="CA72" s="393">
        <v>10487.954299999999</v>
      </c>
      <c r="CB72" s="396">
        <v>23142.745500000001</v>
      </c>
      <c r="CC72" s="397">
        <v>39364.813800000004</v>
      </c>
      <c r="CE72" s="8"/>
    </row>
    <row r="73" spans="1:83" x14ac:dyDescent="0.3">
      <c r="A73" s="7">
        <v>67</v>
      </c>
      <c r="B73" s="2" t="s">
        <v>40</v>
      </c>
      <c r="C73" s="2"/>
      <c r="D73" s="2"/>
      <c r="E73" s="2"/>
      <c r="F73" s="399">
        <v>17.780899999999999</v>
      </c>
      <c r="G73" s="399">
        <v>5.0686999999999998</v>
      </c>
      <c r="H73" s="399">
        <v>1.4374</v>
      </c>
      <c r="I73" s="399">
        <v>5.1710000000000003</v>
      </c>
      <c r="J73" s="399">
        <v>2.1236000000000002</v>
      </c>
      <c r="K73" s="399">
        <v>3.9613999999999998</v>
      </c>
      <c r="L73" s="399">
        <v>4.1772999999999998</v>
      </c>
      <c r="M73" s="399">
        <v>2.032</v>
      </c>
      <c r="N73" s="399">
        <v>0.4007</v>
      </c>
      <c r="O73" s="399">
        <v>2.1627999999999998</v>
      </c>
      <c r="P73" s="399">
        <v>1.0860000000000001</v>
      </c>
      <c r="Q73" s="399">
        <v>4.8300000000000003E-2</v>
      </c>
      <c r="R73" s="399">
        <v>1.0452999999999999</v>
      </c>
      <c r="S73" s="399">
        <v>1.2808999999999999</v>
      </c>
      <c r="T73" s="399">
        <v>0.4284</v>
      </c>
      <c r="U73" s="399">
        <v>2.7349000000000001</v>
      </c>
      <c r="V73" s="399">
        <v>1.2512000000000001</v>
      </c>
      <c r="W73" s="399">
        <v>0.9859</v>
      </c>
      <c r="X73" s="399">
        <v>0.73089999999999999</v>
      </c>
      <c r="Y73" s="399">
        <v>0.62529999999999997</v>
      </c>
      <c r="Z73" s="399">
        <v>0.11940000000000001</v>
      </c>
      <c r="AA73" s="399">
        <v>2.8653</v>
      </c>
      <c r="AB73" s="399">
        <v>1.18</v>
      </c>
      <c r="AC73" s="399">
        <v>1.2975000000000001</v>
      </c>
      <c r="AD73" s="399">
        <v>2.0500000000000001E-2</v>
      </c>
      <c r="AE73" s="399">
        <v>8.3716000000000008</v>
      </c>
      <c r="AF73" s="399">
        <v>0.68579999999999997</v>
      </c>
      <c r="AG73" s="399">
        <v>1.6137999999999999</v>
      </c>
      <c r="AH73" s="399">
        <v>23.814699999999998</v>
      </c>
      <c r="AI73" s="399">
        <v>2.4689999999999999</v>
      </c>
      <c r="AJ73" s="399">
        <v>9.2990999999999993</v>
      </c>
      <c r="AK73" s="399">
        <v>5.1984000000000004</v>
      </c>
      <c r="AL73" s="399">
        <v>116.0625</v>
      </c>
      <c r="AM73" s="399"/>
      <c r="AN73" s="399">
        <v>0.1366</v>
      </c>
      <c r="AO73" s="399">
        <v>4.6886000000000001</v>
      </c>
      <c r="AP73" s="399">
        <v>1.5416000000000001</v>
      </c>
      <c r="AQ73" s="399">
        <v>2.2951999999999999</v>
      </c>
      <c r="AR73" s="399">
        <v>0.31869999999999998</v>
      </c>
      <c r="AS73" s="399">
        <v>1.1215999999999999</v>
      </c>
      <c r="AT73" s="399">
        <v>0.94950000000000001</v>
      </c>
      <c r="AU73" s="399">
        <v>1.6055999999999999</v>
      </c>
      <c r="AV73" s="399">
        <v>19.2681</v>
      </c>
      <c r="AW73" s="399">
        <v>5.6405000000000003</v>
      </c>
      <c r="AX73" s="399">
        <v>4.8342000000000001</v>
      </c>
      <c r="AY73" s="399">
        <v>34.152099999999997</v>
      </c>
      <c r="AZ73" s="399">
        <v>2.8603999999999998</v>
      </c>
      <c r="BA73" s="399">
        <v>2.8858000000000001</v>
      </c>
      <c r="BB73" s="399">
        <v>3.6257999999999999</v>
      </c>
      <c r="BC73" s="399">
        <v>1.0826</v>
      </c>
      <c r="BD73" s="399">
        <v>0.58779999999999999</v>
      </c>
      <c r="BE73" s="399">
        <v>0.9829</v>
      </c>
      <c r="BF73" s="399">
        <v>0.3034</v>
      </c>
      <c r="BG73" s="399">
        <v>0.14460000000000001</v>
      </c>
      <c r="BH73" s="399">
        <v>3.6690999999999998</v>
      </c>
      <c r="BI73" s="399">
        <v>67.949700000000007</v>
      </c>
      <c r="BJ73" s="399">
        <v>36.012099999999997</v>
      </c>
      <c r="BK73" s="399">
        <v>31.546099999999999</v>
      </c>
      <c r="BL73" s="399">
        <v>5.7054</v>
      </c>
      <c r="BM73" s="399">
        <v>9.8478999999999992</v>
      </c>
      <c r="BN73" s="399">
        <v>8.81</v>
      </c>
      <c r="BO73" s="399">
        <v>6.7729999999999997</v>
      </c>
      <c r="BP73" s="399">
        <v>0.87649999999999995</v>
      </c>
      <c r="BQ73" s="399">
        <v>2.6949999999999998</v>
      </c>
      <c r="BR73" s="399"/>
      <c r="BS73" s="399">
        <v>490.4409</v>
      </c>
      <c r="BT73" s="394">
        <v>1224.3942</v>
      </c>
      <c r="BU73" s="394">
        <v>2.2000000000000001E-3</v>
      </c>
      <c r="BV73" s="394">
        <v>1.1759999999999999</v>
      </c>
      <c r="BW73" s="395">
        <v>1225.5724</v>
      </c>
      <c r="BX73" s="393">
        <v>147.69579999999999</v>
      </c>
      <c r="BY73" s="394">
        <v>-26.622199999999999</v>
      </c>
      <c r="BZ73" s="394">
        <v>121.0736</v>
      </c>
      <c r="CA73" s="394">
        <v>0.25390000000000001</v>
      </c>
      <c r="CB73" s="396">
        <v>1346.8998999999999</v>
      </c>
      <c r="CC73" s="397">
        <v>1837.3407999999999</v>
      </c>
      <c r="CE73" s="5"/>
    </row>
    <row r="74" spans="1:83" x14ac:dyDescent="0.3">
      <c r="A74" s="7">
        <v>68</v>
      </c>
      <c r="B74" s="18" t="s">
        <v>17</v>
      </c>
      <c r="C74" s="18"/>
      <c r="D74" s="18"/>
      <c r="E74" s="18"/>
      <c r="F74" s="400">
        <v>395.82389999999998</v>
      </c>
      <c r="G74" s="400">
        <v>239.7637</v>
      </c>
      <c r="H74" s="400">
        <v>32.212000000000003</v>
      </c>
      <c r="I74" s="400">
        <v>136.03659999999999</v>
      </c>
      <c r="J74" s="400">
        <v>965.55799999999999</v>
      </c>
      <c r="K74" s="400">
        <v>282.09350000000001</v>
      </c>
      <c r="L74" s="400">
        <v>830.63109999999995</v>
      </c>
      <c r="M74" s="400">
        <v>125.9813</v>
      </c>
      <c r="N74" s="400">
        <v>128.20750000000001</v>
      </c>
      <c r="O74" s="400">
        <v>110.2132</v>
      </c>
      <c r="P74" s="400">
        <v>233.49860000000001</v>
      </c>
      <c r="Q74" s="400">
        <v>23.289300000000001</v>
      </c>
      <c r="R74" s="400">
        <v>189.7079</v>
      </c>
      <c r="S74" s="400">
        <v>183.53649999999999</v>
      </c>
      <c r="T74" s="400">
        <v>52.1601</v>
      </c>
      <c r="U74" s="400">
        <v>595.37879999999996</v>
      </c>
      <c r="V74" s="400">
        <v>698.38480000000004</v>
      </c>
      <c r="W74" s="400">
        <v>385.25369999999998</v>
      </c>
      <c r="X74" s="400">
        <v>177.67529999999999</v>
      </c>
      <c r="Y74" s="400">
        <v>183.7799</v>
      </c>
      <c r="Z74" s="400">
        <v>37.9619</v>
      </c>
      <c r="AA74" s="400">
        <v>296.0016</v>
      </c>
      <c r="AB74" s="400">
        <v>150.15459999999999</v>
      </c>
      <c r="AC74" s="400">
        <v>297.64139999999998</v>
      </c>
      <c r="AD74" s="400">
        <v>188.5667</v>
      </c>
      <c r="AE74" s="400">
        <v>181.55119999999999</v>
      </c>
      <c r="AF74" s="400">
        <v>27.249199999999998</v>
      </c>
      <c r="AG74" s="400">
        <v>210.59639999999999</v>
      </c>
      <c r="AH74" s="400">
        <v>1247.6344999999999</v>
      </c>
      <c r="AI74" s="400">
        <v>221.81710000000001</v>
      </c>
      <c r="AJ74" s="400">
        <v>794.21910000000003</v>
      </c>
      <c r="AK74" s="400">
        <v>442.52949999999998</v>
      </c>
      <c r="AL74" s="400">
        <v>826.23779999999999</v>
      </c>
      <c r="AM74" s="400">
        <v>344.12169999999998</v>
      </c>
      <c r="AN74" s="400">
        <v>81.886700000000005</v>
      </c>
      <c r="AO74" s="400">
        <v>1042.7471</v>
      </c>
      <c r="AP74" s="400">
        <v>32.811999999999998</v>
      </c>
      <c r="AQ74" s="400">
        <v>334.5634</v>
      </c>
      <c r="AR74" s="400">
        <v>76.285300000000007</v>
      </c>
      <c r="AS74" s="400">
        <v>53.504600000000003</v>
      </c>
      <c r="AT74" s="400">
        <v>394.79250000000002</v>
      </c>
      <c r="AU74" s="400">
        <v>138.81190000000001</v>
      </c>
      <c r="AV74" s="400">
        <v>235.44739999999999</v>
      </c>
      <c r="AW74" s="400">
        <v>72.649000000000001</v>
      </c>
      <c r="AX74" s="400">
        <v>89.086200000000005</v>
      </c>
      <c r="AY74" s="400">
        <v>559.84760000000006</v>
      </c>
      <c r="AZ74" s="400">
        <v>191.095</v>
      </c>
      <c r="BA74" s="400">
        <v>122.29770000000001</v>
      </c>
      <c r="BB74" s="400">
        <v>46.848700000000001</v>
      </c>
      <c r="BC74" s="400">
        <v>154.18729999999999</v>
      </c>
      <c r="BD74" s="400">
        <v>35.848500000000001</v>
      </c>
      <c r="BE74" s="400">
        <v>169.02279999999999</v>
      </c>
      <c r="BF74" s="400">
        <v>38.005699999999997</v>
      </c>
      <c r="BG74" s="400">
        <v>62.5167</v>
      </c>
      <c r="BH74" s="400">
        <v>171.66980000000001</v>
      </c>
      <c r="BI74" s="400">
        <v>490.23050000000001</v>
      </c>
      <c r="BJ74" s="400">
        <v>238.07560000000001</v>
      </c>
      <c r="BK74" s="400">
        <v>267.76900000000001</v>
      </c>
      <c r="BL74" s="400">
        <v>36.642299999999999</v>
      </c>
      <c r="BM74" s="400">
        <v>102.2321</v>
      </c>
      <c r="BN74" s="400">
        <v>101.0421</v>
      </c>
      <c r="BO74" s="400">
        <v>63.7896</v>
      </c>
      <c r="BP74" s="400">
        <v>18.885000000000002</v>
      </c>
      <c r="BQ74" s="400">
        <v>54.448700000000002</v>
      </c>
      <c r="BR74" s="400"/>
      <c r="BS74" s="400">
        <v>16712.5092</v>
      </c>
      <c r="BT74" s="396">
        <v>7906.8960999999999</v>
      </c>
      <c r="BU74" s="396">
        <v>215.6824</v>
      </c>
      <c r="BV74" s="396">
        <v>2977.6956</v>
      </c>
      <c r="BW74" s="395">
        <v>11100.274100000001</v>
      </c>
      <c r="BX74" s="396">
        <v>2904.8087999999998</v>
      </c>
      <c r="BY74" s="396">
        <v>-3.6457000000000002</v>
      </c>
      <c r="BZ74" s="396">
        <v>2901.1631000000002</v>
      </c>
      <c r="CA74" s="396">
        <v>10488.208199999999</v>
      </c>
      <c r="CB74" s="396">
        <v>24489.645400000001</v>
      </c>
      <c r="CC74" s="397">
        <v>41202.154600000002</v>
      </c>
      <c r="CE74" s="8"/>
    </row>
    <row r="75" spans="1:83" x14ac:dyDescent="0.3">
      <c r="A75" s="7">
        <v>69</v>
      </c>
      <c r="B75" s="4" t="s">
        <v>18</v>
      </c>
      <c r="C75" s="4"/>
      <c r="D75" s="4"/>
      <c r="E75" s="4"/>
      <c r="F75" s="398">
        <v>96.005499999999998</v>
      </c>
      <c r="G75" s="398">
        <v>49.935699999999997</v>
      </c>
      <c r="H75" s="398">
        <v>4.9819000000000004</v>
      </c>
      <c r="I75" s="398">
        <v>79.09</v>
      </c>
      <c r="J75" s="398">
        <v>155.40960000000001</v>
      </c>
      <c r="K75" s="398">
        <v>100.1215</v>
      </c>
      <c r="L75" s="398">
        <v>148.2209</v>
      </c>
      <c r="M75" s="398">
        <v>18.3598</v>
      </c>
      <c r="N75" s="398">
        <v>36.071599999999997</v>
      </c>
      <c r="O75" s="398">
        <v>18.385000000000002</v>
      </c>
      <c r="P75" s="398">
        <v>28.267600000000002</v>
      </c>
      <c r="Q75" s="398">
        <v>5.4284999999999997</v>
      </c>
      <c r="R75" s="398">
        <v>46.4666</v>
      </c>
      <c r="S75" s="398">
        <v>50.303699999999999</v>
      </c>
      <c r="T75" s="398">
        <v>11.209099999999999</v>
      </c>
      <c r="U75" s="398">
        <v>136.45769999999999</v>
      </c>
      <c r="V75" s="398">
        <v>46.275300000000001</v>
      </c>
      <c r="W75" s="398">
        <v>69.2209</v>
      </c>
      <c r="X75" s="398">
        <v>64.537899999999993</v>
      </c>
      <c r="Y75" s="398">
        <v>39.801000000000002</v>
      </c>
      <c r="Z75" s="398">
        <v>11.327</v>
      </c>
      <c r="AA75" s="398">
        <v>95.393299999999996</v>
      </c>
      <c r="AB75" s="398">
        <v>74.068799999999996</v>
      </c>
      <c r="AC75" s="398">
        <v>62.4634</v>
      </c>
      <c r="AD75" s="398">
        <v>5.6822999999999997</v>
      </c>
      <c r="AE75" s="398">
        <v>27.623699999999999</v>
      </c>
      <c r="AF75" s="398">
        <v>20.5715</v>
      </c>
      <c r="AG75" s="398">
        <v>28.364699999999999</v>
      </c>
      <c r="AH75" s="398">
        <v>532.50570000000005</v>
      </c>
      <c r="AI75" s="398">
        <v>124.24169999999999</v>
      </c>
      <c r="AJ75" s="398">
        <v>432.95350000000002</v>
      </c>
      <c r="AK75" s="398">
        <v>377.04559999999998</v>
      </c>
      <c r="AL75" s="398">
        <v>246.8391</v>
      </c>
      <c r="AM75" s="398">
        <v>8.9993999999999996</v>
      </c>
      <c r="AN75" s="398">
        <v>10.973699999999999</v>
      </c>
      <c r="AO75" s="398">
        <v>198.05719999999999</v>
      </c>
      <c r="AP75" s="398">
        <v>30.823599999999999</v>
      </c>
      <c r="AQ75" s="398">
        <v>152.72120000000001</v>
      </c>
      <c r="AR75" s="398">
        <v>43.296900000000001</v>
      </c>
      <c r="AS75" s="398">
        <v>30.943000000000001</v>
      </c>
      <c r="AT75" s="398">
        <v>74.111599999999996</v>
      </c>
      <c r="AU75" s="398">
        <v>189.1283</v>
      </c>
      <c r="AV75" s="398">
        <v>137.84819999999999</v>
      </c>
      <c r="AW75" s="398">
        <v>33.696800000000003</v>
      </c>
      <c r="AX75" s="398">
        <v>40.021000000000001</v>
      </c>
      <c r="AY75" s="398">
        <v>130.95599999999999</v>
      </c>
      <c r="AZ75" s="398">
        <v>158.96860000000001</v>
      </c>
      <c r="BA75" s="398">
        <v>90.105699999999999</v>
      </c>
      <c r="BB75" s="398">
        <v>78.869100000000003</v>
      </c>
      <c r="BC75" s="398">
        <v>54.358800000000002</v>
      </c>
      <c r="BD75" s="398">
        <v>22.929500000000001</v>
      </c>
      <c r="BE75" s="398">
        <v>35.603400000000001</v>
      </c>
      <c r="BF75" s="398">
        <v>112.96599999999999</v>
      </c>
      <c r="BG75" s="398">
        <v>19.309100000000001</v>
      </c>
      <c r="BH75" s="398">
        <v>160.9572</v>
      </c>
      <c r="BI75" s="398">
        <v>716.97749999999996</v>
      </c>
      <c r="BJ75" s="398">
        <v>561.53449999999998</v>
      </c>
      <c r="BK75" s="398">
        <v>349.69720000000001</v>
      </c>
      <c r="BL75" s="398">
        <v>58.296300000000002</v>
      </c>
      <c r="BM75" s="398">
        <v>82.438000000000002</v>
      </c>
      <c r="BN75" s="398">
        <v>47.743499999999997</v>
      </c>
      <c r="BO75" s="398">
        <v>44.400300000000001</v>
      </c>
      <c r="BP75" s="398">
        <v>9.1796000000000006</v>
      </c>
      <c r="BQ75" s="398">
        <v>29.203099999999999</v>
      </c>
      <c r="BR75" s="398"/>
      <c r="BS75" s="398">
        <v>6958.7443999999996</v>
      </c>
      <c r="BT75" s="394"/>
      <c r="BU75" s="394"/>
      <c r="BV75" s="394"/>
      <c r="BW75" s="395"/>
      <c r="BX75" s="393"/>
      <c r="BY75" s="394"/>
      <c r="BZ75" s="394"/>
      <c r="CA75" s="394"/>
      <c r="CB75" s="396"/>
      <c r="CC75" s="397"/>
      <c r="CE75" s="5"/>
    </row>
    <row r="76" spans="1:83" x14ac:dyDescent="0.3">
      <c r="A76" s="7">
        <v>70</v>
      </c>
      <c r="B76" s="14" t="s">
        <v>19</v>
      </c>
      <c r="C76" s="14"/>
      <c r="D76" s="14"/>
      <c r="E76" s="14"/>
      <c r="F76" s="399">
        <v>73.532499999999999</v>
      </c>
      <c r="G76" s="399">
        <v>37.510199999999998</v>
      </c>
      <c r="H76" s="399">
        <v>3.7448000000000001</v>
      </c>
      <c r="I76" s="399">
        <v>58.940899999999999</v>
      </c>
      <c r="J76" s="399">
        <v>117.10250000000001</v>
      </c>
      <c r="K76" s="399">
        <v>75.287300000000002</v>
      </c>
      <c r="L76" s="399">
        <v>111.9559</v>
      </c>
      <c r="M76" s="399">
        <v>13.8666</v>
      </c>
      <c r="N76" s="399">
        <v>27.3094</v>
      </c>
      <c r="O76" s="399">
        <v>13.7905</v>
      </c>
      <c r="P76" s="399">
        <v>21.370100000000001</v>
      </c>
      <c r="Q76" s="399">
        <v>4.0940000000000003</v>
      </c>
      <c r="R76" s="399">
        <v>34.981400000000001</v>
      </c>
      <c r="S76" s="399">
        <v>37.840600000000002</v>
      </c>
      <c r="T76" s="399">
        <v>8.4624000000000006</v>
      </c>
      <c r="U76" s="399">
        <v>102.8095</v>
      </c>
      <c r="V76" s="399">
        <v>34.488900000000001</v>
      </c>
      <c r="W76" s="399">
        <v>52.6126</v>
      </c>
      <c r="X76" s="399">
        <v>48.322099999999999</v>
      </c>
      <c r="Y76" s="399">
        <v>29.6372</v>
      </c>
      <c r="Z76" s="399">
        <v>8.6701999999999995</v>
      </c>
      <c r="AA76" s="399">
        <v>71.646900000000002</v>
      </c>
      <c r="AB76" s="399">
        <v>56.629899999999999</v>
      </c>
      <c r="AC76" s="399">
        <v>46.836199999999998</v>
      </c>
      <c r="AD76" s="399">
        <v>4.2668999999999997</v>
      </c>
      <c r="AE76" s="399">
        <v>20.633500000000002</v>
      </c>
      <c r="AF76" s="399">
        <v>15.3979</v>
      </c>
      <c r="AG76" s="399">
        <v>21.3874</v>
      </c>
      <c r="AH76" s="399">
        <v>417.2996</v>
      </c>
      <c r="AI76" s="399">
        <v>94.015799999999999</v>
      </c>
      <c r="AJ76" s="399">
        <v>331.54579999999999</v>
      </c>
      <c r="AK76" s="399">
        <v>283.44240000000002</v>
      </c>
      <c r="AL76" s="399">
        <v>195.84289999999999</v>
      </c>
      <c r="AM76" s="399">
        <v>6.7187000000000001</v>
      </c>
      <c r="AN76" s="399">
        <v>8.2628000000000004</v>
      </c>
      <c r="AO76" s="399">
        <v>150.28360000000001</v>
      </c>
      <c r="AP76" s="399">
        <v>23.254799999999999</v>
      </c>
      <c r="AQ76" s="399">
        <v>117.0187</v>
      </c>
      <c r="AR76" s="399">
        <v>32.7592</v>
      </c>
      <c r="AS76" s="399">
        <v>23.265799999999999</v>
      </c>
      <c r="AT76" s="399">
        <v>55.744500000000002</v>
      </c>
      <c r="AU76" s="399">
        <v>144.5335</v>
      </c>
      <c r="AV76" s="399">
        <v>102.4567</v>
      </c>
      <c r="AW76" s="399">
        <v>25.1005</v>
      </c>
      <c r="AX76" s="399">
        <v>29.869900000000001</v>
      </c>
      <c r="AY76" s="399">
        <v>99.052400000000006</v>
      </c>
      <c r="AZ76" s="399">
        <v>122.37139999999999</v>
      </c>
      <c r="BA76" s="399">
        <v>68.930199999999999</v>
      </c>
      <c r="BB76" s="399">
        <v>59.523099999999999</v>
      </c>
      <c r="BC76" s="399">
        <v>42.335999999999999</v>
      </c>
      <c r="BD76" s="399">
        <v>17.6388</v>
      </c>
      <c r="BE76" s="399">
        <v>27.432300000000001</v>
      </c>
      <c r="BF76" s="399">
        <v>87.690399999999997</v>
      </c>
      <c r="BG76" s="399">
        <v>15.053800000000001</v>
      </c>
      <c r="BH76" s="399">
        <v>121.6914</v>
      </c>
      <c r="BI76" s="399">
        <v>445.46390000000002</v>
      </c>
      <c r="BJ76" s="399">
        <v>418.51990000000001</v>
      </c>
      <c r="BK76" s="399">
        <v>261.41410000000002</v>
      </c>
      <c r="BL76" s="399">
        <v>43.420900000000003</v>
      </c>
      <c r="BM76" s="399">
        <v>61.591000000000001</v>
      </c>
      <c r="BN76" s="399">
        <v>35.9679</v>
      </c>
      <c r="BO76" s="399">
        <v>33.337000000000003</v>
      </c>
      <c r="BP76" s="399">
        <v>7.0179999999999998</v>
      </c>
      <c r="BQ76" s="399">
        <v>22.3828</v>
      </c>
      <c r="BR76" s="399"/>
      <c r="BS76" s="399">
        <v>5185.3788000000004</v>
      </c>
      <c r="BT76" s="394"/>
      <c r="BU76" s="394"/>
      <c r="BV76" s="394"/>
      <c r="BW76" s="395"/>
      <c r="BX76" s="393"/>
      <c r="BY76" s="394"/>
      <c r="BZ76" s="394"/>
      <c r="CA76" s="394"/>
      <c r="CB76" s="396"/>
      <c r="CC76" s="397"/>
      <c r="CE76" s="5"/>
    </row>
    <row r="77" spans="1:83" x14ac:dyDescent="0.3">
      <c r="A77" s="7">
        <v>71</v>
      </c>
      <c r="B77" s="2" t="s">
        <v>20</v>
      </c>
      <c r="C77" s="2"/>
      <c r="D77" s="2"/>
      <c r="E77" s="2"/>
      <c r="F77" s="399">
        <v>-161.57669999999999</v>
      </c>
      <c r="G77" s="399">
        <v>4.2333999999999996</v>
      </c>
      <c r="H77" s="399">
        <v>1.4027000000000001</v>
      </c>
      <c r="I77" s="399">
        <v>10.001899999999999</v>
      </c>
      <c r="J77" s="399">
        <v>-0.4249</v>
      </c>
      <c r="K77" s="399">
        <v>-5.4999999999999997E-3</v>
      </c>
      <c r="L77" s="399">
        <v>-0.50609999999999999</v>
      </c>
      <c r="M77" s="399">
        <v>0.67230000000000001</v>
      </c>
      <c r="N77" s="399">
        <v>-0.18490000000000001</v>
      </c>
      <c r="O77" s="399">
        <v>1.7889999999999999</v>
      </c>
      <c r="P77" s="399">
        <v>-0.1075</v>
      </c>
      <c r="Q77" s="399">
        <v>-5.0000000000000001E-4</v>
      </c>
      <c r="R77" s="399">
        <v>-0.25009999999999999</v>
      </c>
      <c r="S77" s="399">
        <v>0.32979999999999998</v>
      </c>
      <c r="T77" s="399">
        <v>2.9899999999999999E-2</v>
      </c>
      <c r="U77" s="399">
        <v>-1.61E-2</v>
      </c>
      <c r="V77" s="399">
        <v>-0.54200000000000004</v>
      </c>
      <c r="W77" s="399">
        <v>8.3999999999999995E-3</v>
      </c>
      <c r="X77" s="399">
        <v>-0.82250000000000001</v>
      </c>
      <c r="Y77" s="399">
        <v>1.6199999999999999E-2</v>
      </c>
      <c r="Z77" s="399">
        <v>-0.2712</v>
      </c>
      <c r="AA77" s="399">
        <v>-0.32769999999999999</v>
      </c>
      <c r="AB77" s="399">
        <v>-5.7799999999999997E-2</v>
      </c>
      <c r="AC77" s="399">
        <v>16.7469</v>
      </c>
      <c r="AD77" s="399">
        <v>2.3199999999999998E-2</v>
      </c>
      <c r="AE77" s="399">
        <v>2.1080000000000001</v>
      </c>
      <c r="AF77" s="399">
        <v>5.4589999999999996</v>
      </c>
      <c r="AG77" s="399">
        <v>0.89959999999999996</v>
      </c>
      <c r="AH77" s="399">
        <v>2.1865999999999999</v>
      </c>
      <c r="AI77" s="399">
        <v>0.1517</v>
      </c>
      <c r="AJ77" s="399">
        <v>-0.53610000000000002</v>
      </c>
      <c r="AK77" s="399">
        <v>0.78169999999999995</v>
      </c>
      <c r="AL77" s="399">
        <v>-6.6900000000000001E-2</v>
      </c>
      <c r="AM77" s="399">
        <v>9.0200000000000002E-2</v>
      </c>
      <c r="AN77" s="399">
        <v>-8.9999999999999993E-3</v>
      </c>
      <c r="AO77" s="399">
        <v>1.7667999999999999</v>
      </c>
      <c r="AP77" s="399">
        <v>3.6799999999999999E-2</v>
      </c>
      <c r="AQ77" s="399">
        <v>-0.68930000000000002</v>
      </c>
      <c r="AR77" s="399">
        <v>-0.4405</v>
      </c>
      <c r="AS77" s="399">
        <v>-1.6627000000000001</v>
      </c>
      <c r="AT77" s="399">
        <v>-0.1011</v>
      </c>
      <c r="AU77" s="399">
        <v>-4.2801</v>
      </c>
      <c r="AV77" s="399">
        <v>0.40629999999999999</v>
      </c>
      <c r="AW77" s="399">
        <v>8.14E-2</v>
      </c>
      <c r="AX77" s="399">
        <v>-0.14610000000000001</v>
      </c>
      <c r="AY77" s="399">
        <v>25.3748</v>
      </c>
      <c r="AZ77" s="399">
        <v>-0.7571</v>
      </c>
      <c r="BA77" s="399">
        <v>-0.52539999999999998</v>
      </c>
      <c r="BB77" s="399">
        <v>-11.9793</v>
      </c>
      <c r="BC77" s="399">
        <v>-0.96870000000000001</v>
      </c>
      <c r="BD77" s="399">
        <v>-2.4003999999999999</v>
      </c>
      <c r="BE77" s="399">
        <v>0.3947</v>
      </c>
      <c r="BF77" s="399">
        <v>2.76E-2</v>
      </c>
      <c r="BG77" s="399">
        <v>0.01</v>
      </c>
      <c r="BH77" s="399">
        <v>-0.20269999999999999</v>
      </c>
      <c r="BI77" s="399">
        <v>3.8672</v>
      </c>
      <c r="BJ77" s="399">
        <v>-0.2109</v>
      </c>
      <c r="BK77" s="399">
        <v>7.0199999999999999E-2</v>
      </c>
      <c r="BL77" s="399">
        <v>-0.13150000000000001</v>
      </c>
      <c r="BM77" s="399">
        <v>-4.3E-3</v>
      </c>
      <c r="BN77" s="399">
        <v>-0.92579999999999996</v>
      </c>
      <c r="BO77" s="399">
        <v>-0.10580000000000001</v>
      </c>
      <c r="BP77" s="399">
        <v>1.8800000000000001E-2</v>
      </c>
      <c r="BQ77" s="399">
        <v>1.7000000000000001E-2</v>
      </c>
      <c r="BR77" s="399"/>
      <c r="BS77" s="399">
        <v>-112.2351</v>
      </c>
      <c r="BT77" s="394"/>
      <c r="BU77" s="394"/>
      <c r="BV77" s="394"/>
      <c r="BW77" s="395"/>
      <c r="BX77" s="393"/>
      <c r="BY77" s="394"/>
      <c r="BZ77" s="394"/>
      <c r="CA77" s="394"/>
      <c r="CB77" s="396"/>
      <c r="CC77" s="397"/>
      <c r="CE77" s="5"/>
    </row>
    <row r="78" spans="1:83" x14ac:dyDescent="0.3">
      <c r="A78" s="7">
        <v>72</v>
      </c>
      <c r="B78" s="4" t="s">
        <v>21</v>
      </c>
      <c r="C78" s="4"/>
      <c r="D78" s="4"/>
      <c r="E78" s="4"/>
      <c r="F78" s="398">
        <v>83.983000000000004</v>
      </c>
      <c r="G78" s="398">
        <v>33.1432</v>
      </c>
      <c r="H78" s="398">
        <v>8.6982999999999997</v>
      </c>
      <c r="I78" s="398">
        <v>20.604099999999999</v>
      </c>
      <c r="J78" s="398">
        <v>42.222999999999999</v>
      </c>
      <c r="K78" s="398">
        <v>14.2303</v>
      </c>
      <c r="L78" s="398">
        <v>42.397599999999997</v>
      </c>
      <c r="M78" s="398">
        <v>10.38</v>
      </c>
      <c r="N78" s="398">
        <v>9.8710000000000004</v>
      </c>
      <c r="O78" s="398">
        <v>7.2224000000000004</v>
      </c>
      <c r="P78" s="398">
        <v>6.7843</v>
      </c>
      <c r="Q78" s="398">
        <v>0.44319999999999998</v>
      </c>
      <c r="R78" s="398">
        <v>9.4193999999999996</v>
      </c>
      <c r="S78" s="398">
        <v>20.647200000000002</v>
      </c>
      <c r="T78" s="398">
        <v>1.3883000000000001</v>
      </c>
      <c r="U78" s="398">
        <v>17.232600000000001</v>
      </c>
      <c r="V78" s="398">
        <v>4.78</v>
      </c>
      <c r="W78" s="398">
        <v>5.0286</v>
      </c>
      <c r="X78" s="398">
        <v>7.5819999999999999</v>
      </c>
      <c r="Y78" s="398">
        <v>4.4439000000000002</v>
      </c>
      <c r="Z78" s="398">
        <v>1.7654000000000001</v>
      </c>
      <c r="AA78" s="398">
        <v>15.015499999999999</v>
      </c>
      <c r="AB78" s="398">
        <v>8.9785000000000004</v>
      </c>
      <c r="AC78" s="398">
        <v>106.33629999999999</v>
      </c>
      <c r="AD78" s="398">
        <v>2.2633999999999999</v>
      </c>
      <c r="AE78" s="398">
        <v>14.436199999999999</v>
      </c>
      <c r="AF78" s="398">
        <v>24.063800000000001</v>
      </c>
      <c r="AG78" s="398">
        <v>11.156000000000001</v>
      </c>
      <c r="AH78" s="398">
        <v>90.165499999999994</v>
      </c>
      <c r="AI78" s="398">
        <v>24.957100000000001</v>
      </c>
      <c r="AJ78" s="398">
        <v>111.67619999999999</v>
      </c>
      <c r="AK78" s="398">
        <v>59.113599999999998</v>
      </c>
      <c r="AL78" s="398">
        <v>155.15799999999999</v>
      </c>
      <c r="AM78" s="398">
        <v>11.924200000000001</v>
      </c>
      <c r="AN78" s="398">
        <v>2.1518999999999999</v>
      </c>
      <c r="AO78" s="398">
        <v>74.407700000000006</v>
      </c>
      <c r="AP78" s="398">
        <v>1.1393</v>
      </c>
      <c r="AQ78" s="398">
        <v>26.9513</v>
      </c>
      <c r="AR78" s="398">
        <v>9.1463000000000001</v>
      </c>
      <c r="AS78" s="398">
        <v>27.131499999999999</v>
      </c>
      <c r="AT78" s="398">
        <v>51.204700000000003</v>
      </c>
      <c r="AU78" s="398">
        <v>13.896699999999999</v>
      </c>
      <c r="AV78" s="398">
        <v>66.117699999999999</v>
      </c>
      <c r="AW78" s="398">
        <v>6.3529999999999998</v>
      </c>
      <c r="AX78" s="398">
        <v>11.4429</v>
      </c>
      <c r="AY78" s="398">
        <v>524.08330000000001</v>
      </c>
      <c r="AZ78" s="398">
        <v>19.452100000000002</v>
      </c>
      <c r="BA78" s="398">
        <v>13.353999999999999</v>
      </c>
      <c r="BB78" s="398">
        <v>10.452</v>
      </c>
      <c r="BC78" s="398">
        <v>7.1127000000000002</v>
      </c>
      <c r="BD78" s="398">
        <v>2.3008999999999999</v>
      </c>
      <c r="BE78" s="398">
        <v>103.1114</v>
      </c>
      <c r="BF78" s="398">
        <v>1.5038</v>
      </c>
      <c r="BG78" s="398">
        <v>2.3866000000000001</v>
      </c>
      <c r="BH78" s="398">
        <v>13.8306</v>
      </c>
      <c r="BI78" s="398">
        <v>148.80179999999999</v>
      </c>
      <c r="BJ78" s="398">
        <v>55.427700000000002</v>
      </c>
      <c r="BK78" s="398">
        <v>41.101700000000001</v>
      </c>
      <c r="BL78" s="398">
        <v>5.1623999999999999</v>
      </c>
      <c r="BM78" s="398">
        <v>18.424299999999999</v>
      </c>
      <c r="BN78" s="398">
        <v>21.6174</v>
      </c>
      <c r="BO78" s="398">
        <v>3.4253999999999998</v>
      </c>
      <c r="BP78" s="398">
        <v>2.5821000000000001</v>
      </c>
      <c r="BQ78" s="398">
        <v>10.4384</v>
      </c>
      <c r="BR78" s="398"/>
      <c r="BS78" s="398">
        <v>2282.0237000000002</v>
      </c>
      <c r="BT78" s="394"/>
      <c r="BU78" s="394"/>
      <c r="BV78" s="394"/>
      <c r="BW78" s="395"/>
      <c r="BX78" s="393"/>
      <c r="BY78" s="394"/>
      <c r="BZ78" s="394"/>
      <c r="CA78" s="394"/>
      <c r="CB78" s="396"/>
      <c r="CC78" s="397"/>
      <c r="CE78" s="5"/>
    </row>
    <row r="79" spans="1:83" x14ac:dyDescent="0.3">
      <c r="A79" s="7">
        <v>73</v>
      </c>
      <c r="B79" s="4" t="s">
        <v>22</v>
      </c>
      <c r="C79" s="4"/>
      <c r="D79" s="4"/>
      <c r="E79" s="4"/>
      <c r="F79" s="398">
        <v>199.8629</v>
      </c>
      <c r="G79" s="398">
        <v>69.028599999999997</v>
      </c>
      <c r="H79" s="398">
        <v>9.0170999999999992</v>
      </c>
      <c r="I79" s="398">
        <v>59.618699999999997</v>
      </c>
      <c r="J79" s="398">
        <v>43.509099999999997</v>
      </c>
      <c r="K79" s="398">
        <v>12.416700000000001</v>
      </c>
      <c r="L79" s="398">
        <v>79.430999999999997</v>
      </c>
      <c r="M79" s="398">
        <v>28.838899999999999</v>
      </c>
      <c r="N79" s="398">
        <v>16.598700000000001</v>
      </c>
      <c r="O79" s="398">
        <v>48.202399999999997</v>
      </c>
      <c r="P79" s="398">
        <v>45.817999999999998</v>
      </c>
      <c r="Q79" s="398">
        <v>1.5579000000000001</v>
      </c>
      <c r="R79" s="398">
        <v>9.2316000000000003</v>
      </c>
      <c r="S79" s="398">
        <v>9.7102000000000004</v>
      </c>
      <c r="T79" s="398">
        <v>3.9670999999999998</v>
      </c>
      <c r="U79" s="398">
        <v>39.529299999999999</v>
      </c>
      <c r="V79" s="398">
        <v>33.8538</v>
      </c>
      <c r="W79" s="398">
        <v>37.375999999999998</v>
      </c>
      <c r="X79" s="398">
        <v>14.6899</v>
      </c>
      <c r="Y79" s="398">
        <v>35.266500000000001</v>
      </c>
      <c r="Z79" s="398">
        <v>7.1786000000000003</v>
      </c>
      <c r="AA79" s="398">
        <v>23.021699999999999</v>
      </c>
      <c r="AB79" s="398">
        <v>16.361599999999999</v>
      </c>
      <c r="AC79" s="398">
        <v>178.43190000000001</v>
      </c>
      <c r="AD79" s="398">
        <v>13.668100000000001</v>
      </c>
      <c r="AE79" s="398">
        <v>39.074199999999998</v>
      </c>
      <c r="AF79" s="398">
        <v>19.582799999999999</v>
      </c>
      <c r="AG79" s="398">
        <v>28.5321</v>
      </c>
      <c r="AH79" s="398">
        <v>116.24550000000001</v>
      </c>
      <c r="AI79" s="398">
        <v>18.231200000000001</v>
      </c>
      <c r="AJ79" s="398">
        <v>335.18470000000002</v>
      </c>
      <c r="AK79" s="398">
        <v>82.998699999999999</v>
      </c>
      <c r="AL79" s="398">
        <v>52.4437</v>
      </c>
      <c r="AM79" s="398">
        <v>23.164200000000001</v>
      </c>
      <c r="AN79" s="398"/>
      <c r="AO79" s="398">
        <v>301.76850000000002</v>
      </c>
      <c r="AP79" s="398">
        <v>4.0922000000000001</v>
      </c>
      <c r="AQ79" s="398">
        <v>3.5045999999999999</v>
      </c>
      <c r="AR79" s="398">
        <v>2.1013999999999999</v>
      </c>
      <c r="AS79" s="398">
        <v>0.1865</v>
      </c>
      <c r="AT79" s="398">
        <v>174.92070000000001</v>
      </c>
      <c r="AU79" s="398">
        <v>65.223699999999994</v>
      </c>
      <c r="AV79" s="398">
        <v>124.04089999999999</v>
      </c>
      <c r="AW79" s="398">
        <v>30.943000000000001</v>
      </c>
      <c r="AX79" s="398">
        <v>25.170300000000001</v>
      </c>
      <c r="AY79" s="398">
        <v>735.33600000000001</v>
      </c>
      <c r="AZ79" s="398">
        <v>133.7647</v>
      </c>
      <c r="BA79" s="398">
        <v>36.383800000000001</v>
      </c>
      <c r="BB79" s="398">
        <v>0.51690000000000003</v>
      </c>
      <c r="BC79" s="398">
        <v>25.8492</v>
      </c>
      <c r="BD79" s="398">
        <v>8.1728000000000005</v>
      </c>
      <c r="BE79" s="398">
        <v>76.579700000000003</v>
      </c>
      <c r="BF79" s="398"/>
      <c r="BG79" s="398">
        <v>4.4279999999999999</v>
      </c>
      <c r="BH79" s="398">
        <v>27.482500000000002</v>
      </c>
      <c r="BI79" s="398"/>
      <c r="BJ79" s="398">
        <v>7.5796000000000001</v>
      </c>
      <c r="BK79" s="398">
        <v>10.627800000000001</v>
      </c>
      <c r="BL79" s="398">
        <v>0.12989999999999999</v>
      </c>
      <c r="BM79" s="398">
        <v>8.0137</v>
      </c>
      <c r="BN79" s="398"/>
      <c r="BO79" s="398"/>
      <c r="BP79" s="398">
        <v>1.6577</v>
      </c>
      <c r="BQ79" s="398">
        <v>5.0803000000000003</v>
      </c>
      <c r="BR79" s="398">
        <v>4.3353000000000002</v>
      </c>
      <c r="BS79" s="398">
        <v>3569.5331000000001</v>
      </c>
      <c r="BT79" s="394"/>
      <c r="BU79" s="394"/>
      <c r="BV79" s="394"/>
      <c r="BW79" s="395"/>
      <c r="BX79" s="393"/>
      <c r="BY79" s="394"/>
      <c r="BZ79" s="394"/>
      <c r="CA79" s="394"/>
      <c r="CB79" s="396"/>
      <c r="CC79" s="397"/>
      <c r="CE79" s="5"/>
    </row>
    <row r="80" spans="1:83" x14ac:dyDescent="0.3">
      <c r="A80" s="7">
        <v>74</v>
      </c>
      <c r="B80" s="17" t="s">
        <v>23</v>
      </c>
      <c r="C80" s="17"/>
      <c r="D80" s="17"/>
      <c r="E80" s="17"/>
      <c r="F80" s="401">
        <v>218.2747</v>
      </c>
      <c r="G80" s="401">
        <v>156.3409</v>
      </c>
      <c r="H80" s="401">
        <v>24.1</v>
      </c>
      <c r="I80" s="401">
        <v>169.31469999999999</v>
      </c>
      <c r="J80" s="401">
        <v>240.71680000000001</v>
      </c>
      <c r="K80" s="401">
        <v>126.76300000000001</v>
      </c>
      <c r="L80" s="401">
        <v>269.54340000000002</v>
      </c>
      <c r="M80" s="401">
        <v>58.250999999999998</v>
      </c>
      <c r="N80" s="401">
        <v>62.356400000000001</v>
      </c>
      <c r="O80" s="401">
        <v>75.598799999999997</v>
      </c>
      <c r="P80" s="401">
        <v>80.7624</v>
      </c>
      <c r="Q80" s="401">
        <v>7.4291</v>
      </c>
      <c r="R80" s="401">
        <v>64.867500000000007</v>
      </c>
      <c r="S80" s="401">
        <v>80.990899999999996</v>
      </c>
      <c r="T80" s="401">
        <v>16.5944</v>
      </c>
      <c r="U80" s="401">
        <v>193.20349999999999</v>
      </c>
      <c r="V80" s="401">
        <v>84.367099999999994</v>
      </c>
      <c r="W80" s="401">
        <v>111.6339</v>
      </c>
      <c r="X80" s="401">
        <v>85.987300000000005</v>
      </c>
      <c r="Y80" s="401">
        <v>79.527600000000007</v>
      </c>
      <c r="Z80" s="401">
        <v>19.9998</v>
      </c>
      <c r="AA80" s="401">
        <v>133.1028</v>
      </c>
      <c r="AB80" s="401">
        <v>99.351100000000002</v>
      </c>
      <c r="AC80" s="401">
        <v>363.9785</v>
      </c>
      <c r="AD80" s="401">
        <v>21.637</v>
      </c>
      <c r="AE80" s="401">
        <v>83.242099999999994</v>
      </c>
      <c r="AF80" s="401">
        <v>69.677099999999996</v>
      </c>
      <c r="AG80" s="401">
        <v>68.952399999999997</v>
      </c>
      <c r="AH80" s="401">
        <v>741.10329999999999</v>
      </c>
      <c r="AI80" s="401">
        <v>167.58170000000001</v>
      </c>
      <c r="AJ80" s="401">
        <v>879.27829999999994</v>
      </c>
      <c r="AK80" s="401">
        <v>519.93960000000004</v>
      </c>
      <c r="AL80" s="401">
        <v>454.37389999999999</v>
      </c>
      <c r="AM80" s="401">
        <v>44.177999999999997</v>
      </c>
      <c r="AN80" s="401">
        <v>13.1166</v>
      </c>
      <c r="AO80" s="401">
        <v>576.00019999999995</v>
      </c>
      <c r="AP80" s="401">
        <v>36.091900000000003</v>
      </c>
      <c r="AQ80" s="401">
        <v>182.48779999999999</v>
      </c>
      <c r="AR80" s="401">
        <v>54.104100000000003</v>
      </c>
      <c r="AS80" s="401">
        <v>56.598300000000002</v>
      </c>
      <c r="AT80" s="401">
        <v>300.13589999999999</v>
      </c>
      <c r="AU80" s="401">
        <v>263.96859999999998</v>
      </c>
      <c r="AV80" s="401">
        <v>328.41309999999999</v>
      </c>
      <c r="AW80" s="401">
        <v>71.074200000000005</v>
      </c>
      <c r="AX80" s="401">
        <v>76.488100000000003</v>
      </c>
      <c r="AY80" s="401">
        <v>1415.7501</v>
      </c>
      <c r="AZ80" s="401">
        <v>311.42829999999998</v>
      </c>
      <c r="BA80" s="401">
        <v>139.31809999999999</v>
      </c>
      <c r="BB80" s="401">
        <v>77.858699999999999</v>
      </c>
      <c r="BC80" s="401">
        <v>86.352000000000004</v>
      </c>
      <c r="BD80" s="401">
        <v>31.002800000000001</v>
      </c>
      <c r="BE80" s="401">
        <v>215.6892</v>
      </c>
      <c r="BF80" s="401">
        <v>114.4974</v>
      </c>
      <c r="BG80" s="401">
        <v>26.133700000000001</v>
      </c>
      <c r="BH80" s="401">
        <v>202.0676</v>
      </c>
      <c r="BI80" s="401">
        <v>869.64649999999995</v>
      </c>
      <c r="BJ80" s="401">
        <v>624.33090000000004</v>
      </c>
      <c r="BK80" s="401">
        <v>401.49689999999998</v>
      </c>
      <c r="BL80" s="401">
        <v>63.457099999999997</v>
      </c>
      <c r="BM80" s="401">
        <v>108.8717</v>
      </c>
      <c r="BN80" s="401">
        <v>68.435100000000006</v>
      </c>
      <c r="BO80" s="401">
        <v>47.719900000000003</v>
      </c>
      <c r="BP80" s="401">
        <v>13.4382</v>
      </c>
      <c r="BQ80" s="401">
        <v>44.738799999999998</v>
      </c>
      <c r="BR80" s="401">
        <v>4.3353000000000002</v>
      </c>
      <c r="BS80" s="401">
        <v>12698.0661</v>
      </c>
      <c r="BT80" s="396"/>
      <c r="BU80" s="396"/>
      <c r="BV80" s="396"/>
      <c r="BW80" s="396"/>
      <c r="BX80" s="396"/>
      <c r="BY80" s="396"/>
      <c r="BZ80" s="396"/>
      <c r="CA80" s="396"/>
      <c r="CB80" s="396"/>
      <c r="CC80" s="397"/>
      <c r="CE80" s="8"/>
    </row>
    <row r="81" spans="1:83" x14ac:dyDescent="0.3">
      <c r="A81" s="7">
        <v>75</v>
      </c>
      <c r="B81" s="10" t="s">
        <v>24</v>
      </c>
      <c r="C81" s="10"/>
      <c r="D81" s="10"/>
      <c r="E81" s="10"/>
      <c r="F81" s="402">
        <v>614.09860000000003</v>
      </c>
      <c r="G81" s="402">
        <v>396.1046</v>
      </c>
      <c r="H81" s="402">
        <v>56.311999999999998</v>
      </c>
      <c r="I81" s="402">
        <v>305.35129999999998</v>
      </c>
      <c r="J81" s="402">
        <v>1206.2747999999999</v>
      </c>
      <c r="K81" s="402">
        <v>408.85649999999998</v>
      </c>
      <c r="L81" s="402">
        <v>1100.1745000000001</v>
      </c>
      <c r="M81" s="402">
        <v>184.23230000000001</v>
      </c>
      <c r="N81" s="402">
        <v>190.56389999999999</v>
      </c>
      <c r="O81" s="402">
        <v>185.81200000000001</v>
      </c>
      <c r="P81" s="402">
        <v>314.26100000000002</v>
      </c>
      <c r="Q81" s="402">
        <v>30.718399999999999</v>
      </c>
      <c r="R81" s="402">
        <v>254.5754</v>
      </c>
      <c r="S81" s="402">
        <v>264.5274</v>
      </c>
      <c r="T81" s="402">
        <v>68.754499999999993</v>
      </c>
      <c r="U81" s="402">
        <v>788.58230000000003</v>
      </c>
      <c r="V81" s="402">
        <v>782.75189999999998</v>
      </c>
      <c r="W81" s="402">
        <v>496.88760000000002</v>
      </c>
      <c r="X81" s="402">
        <v>263.6626</v>
      </c>
      <c r="Y81" s="402">
        <v>263.3075</v>
      </c>
      <c r="Z81" s="402">
        <v>57.9617</v>
      </c>
      <c r="AA81" s="402">
        <v>429.1044</v>
      </c>
      <c r="AB81" s="402">
        <v>249.50569999999999</v>
      </c>
      <c r="AC81" s="402">
        <v>661.61990000000003</v>
      </c>
      <c r="AD81" s="402">
        <v>210.2037</v>
      </c>
      <c r="AE81" s="402">
        <v>264.79329999999999</v>
      </c>
      <c r="AF81" s="402">
        <v>96.926299999999998</v>
      </c>
      <c r="AG81" s="402">
        <v>279.54880000000003</v>
      </c>
      <c r="AH81" s="402">
        <v>1988.7378000000001</v>
      </c>
      <c r="AI81" s="402">
        <v>389.39879999999999</v>
      </c>
      <c r="AJ81" s="402">
        <v>1673.4974</v>
      </c>
      <c r="AK81" s="402">
        <v>962.46910000000003</v>
      </c>
      <c r="AL81" s="402">
        <v>1280.6116999999999</v>
      </c>
      <c r="AM81" s="402">
        <v>388.29969999999997</v>
      </c>
      <c r="AN81" s="402">
        <v>95.003299999999996</v>
      </c>
      <c r="AO81" s="402">
        <v>1618.7473</v>
      </c>
      <c r="AP81" s="402">
        <v>68.903899999999993</v>
      </c>
      <c r="AQ81" s="402">
        <v>517.05119999999999</v>
      </c>
      <c r="AR81" s="402">
        <v>130.38939999999999</v>
      </c>
      <c r="AS81" s="402">
        <v>110.10290000000001</v>
      </c>
      <c r="AT81" s="402">
        <v>694.92840000000001</v>
      </c>
      <c r="AU81" s="402">
        <v>402.78050000000002</v>
      </c>
      <c r="AV81" s="402">
        <v>563.8605</v>
      </c>
      <c r="AW81" s="402">
        <v>143.72319999999999</v>
      </c>
      <c r="AX81" s="402">
        <v>165.57429999999999</v>
      </c>
      <c r="AY81" s="402">
        <v>1975.5977</v>
      </c>
      <c r="AZ81" s="402">
        <v>502.52330000000001</v>
      </c>
      <c r="BA81" s="402">
        <v>261.61579999999998</v>
      </c>
      <c r="BB81" s="402">
        <v>124.70740000000001</v>
      </c>
      <c r="BC81" s="402">
        <v>240.5393</v>
      </c>
      <c r="BD81" s="402">
        <v>66.851299999999995</v>
      </c>
      <c r="BE81" s="402">
        <v>384.71199999999999</v>
      </c>
      <c r="BF81" s="402">
        <v>152.50309999999999</v>
      </c>
      <c r="BG81" s="402">
        <v>88.650400000000005</v>
      </c>
      <c r="BH81" s="402">
        <v>373.73739999999998</v>
      </c>
      <c r="BI81" s="402">
        <v>1359.877</v>
      </c>
      <c r="BJ81" s="402">
        <v>862.40650000000005</v>
      </c>
      <c r="BK81" s="402">
        <v>669.26589999999999</v>
      </c>
      <c r="BL81" s="402">
        <v>100.0994</v>
      </c>
      <c r="BM81" s="402">
        <v>211.10380000000001</v>
      </c>
      <c r="BN81" s="402">
        <v>169.47720000000001</v>
      </c>
      <c r="BO81" s="402">
        <v>111.5095</v>
      </c>
      <c r="BP81" s="402">
        <v>32.3232</v>
      </c>
      <c r="BQ81" s="402">
        <v>99.1875</v>
      </c>
      <c r="BR81" s="402">
        <v>4.3353000000000002</v>
      </c>
      <c r="BS81" s="402">
        <v>29410.5753</v>
      </c>
      <c r="BT81" s="393"/>
      <c r="BU81" s="393"/>
      <c r="BV81" s="393"/>
      <c r="BW81" s="395"/>
      <c r="BX81" s="393"/>
      <c r="BY81" s="393"/>
      <c r="BZ81" s="393"/>
      <c r="CA81" s="393"/>
      <c r="CB81" s="396"/>
      <c r="CC81" s="397"/>
      <c r="CE81" s="8"/>
    </row>
    <row r="82" spans="1:83" x14ac:dyDescent="0.3">
      <c r="A82" s="7">
        <v>76</v>
      </c>
      <c r="B82" s="2" t="s">
        <v>41</v>
      </c>
      <c r="C82" s="2"/>
      <c r="D82" s="2"/>
      <c r="E82" s="2"/>
      <c r="F82" s="399">
        <v>158.45509999999999</v>
      </c>
      <c r="G82" s="399">
        <v>23.781199999999998</v>
      </c>
      <c r="H82" s="399">
        <v>15.375500000000001</v>
      </c>
      <c r="I82" s="1030">
        <v>0</v>
      </c>
      <c r="J82" s="399">
        <v>825.32360000000006</v>
      </c>
      <c r="K82" s="399">
        <v>531.50879999999995</v>
      </c>
      <c r="L82" s="399">
        <v>223.1514</v>
      </c>
      <c r="M82" s="399">
        <v>207.61519999999999</v>
      </c>
      <c r="N82" s="399">
        <v>2.3399000000000001</v>
      </c>
      <c r="O82" s="1030">
        <v>0</v>
      </c>
      <c r="P82" s="399">
        <v>652.66420000000005</v>
      </c>
      <c r="Q82" s="399">
        <v>239.29</v>
      </c>
      <c r="R82" s="399">
        <v>350.19380000000001</v>
      </c>
      <c r="S82" s="399">
        <v>155.40180000000001</v>
      </c>
      <c r="T82" s="399">
        <v>577.83529999999996</v>
      </c>
      <c r="U82" s="399">
        <v>389.03280000000001</v>
      </c>
      <c r="V82" s="399">
        <v>1013.8816</v>
      </c>
      <c r="W82" s="399">
        <v>619.04430000000002</v>
      </c>
      <c r="X82" s="399">
        <v>575.46289999999999</v>
      </c>
      <c r="Y82" s="399">
        <v>569.18600000000004</v>
      </c>
      <c r="Z82" s="399">
        <v>129.3595</v>
      </c>
      <c r="AA82" s="399">
        <v>230.69300000000001</v>
      </c>
      <c r="AB82" s="399">
        <v>7.9405999999999999</v>
      </c>
      <c r="AC82" s="399">
        <v>54.666200000000003</v>
      </c>
      <c r="AD82" s="412"/>
      <c r="AE82" s="399"/>
      <c r="AF82" s="399"/>
      <c r="AG82" s="399">
        <v>59.716900000000003</v>
      </c>
      <c r="AH82" s="399">
        <v>68.114900000000006</v>
      </c>
      <c r="AI82" s="399">
        <v>2.0097999999999998</v>
      </c>
      <c r="AJ82" s="399"/>
      <c r="AK82" s="399"/>
      <c r="AL82" s="399">
        <v>87.758399999999995</v>
      </c>
      <c r="AM82" s="399">
        <v>68.552199999999999</v>
      </c>
      <c r="AN82" s="399">
        <v>58.956499999999998</v>
      </c>
      <c r="AO82" s="399">
        <v>244.4573</v>
      </c>
      <c r="AP82" s="399">
        <v>7.8662999999999998</v>
      </c>
      <c r="AQ82" s="399">
        <v>54.263199999999998</v>
      </c>
      <c r="AR82" s="399">
        <v>34.4848</v>
      </c>
      <c r="AS82" s="399">
        <v>24.424399999999999</v>
      </c>
      <c r="AT82" s="399">
        <v>146.01949999999999</v>
      </c>
      <c r="AU82" s="399">
        <v>72.508300000000006</v>
      </c>
      <c r="AV82" s="399">
        <v>83.597099999999998</v>
      </c>
      <c r="AW82" s="399">
        <v>2.5348999999999999</v>
      </c>
      <c r="AX82" s="399">
        <v>5.6924000000000001</v>
      </c>
      <c r="AY82" s="399">
        <v>6.51</v>
      </c>
      <c r="AZ82" s="399">
        <v>248.53469999999999</v>
      </c>
      <c r="BA82" s="399">
        <v>38.115600000000001</v>
      </c>
      <c r="BB82" s="399">
        <v>8.1181000000000001</v>
      </c>
      <c r="BC82" s="399">
        <v>38.246899999999997</v>
      </c>
      <c r="BD82" s="399">
        <v>3.9281999999999999</v>
      </c>
      <c r="BE82" s="399">
        <v>160.2081</v>
      </c>
      <c r="BF82" s="399">
        <v>0.65400000000000003</v>
      </c>
      <c r="BG82" s="399"/>
      <c r="BH82" s="399">
        <v>2.6616</v>
      </c>
      <c r="BI82" s="399">
        <v>4.5292000000000003</v>
      </c>
      <c r="BJ82" s="399">
        <v>13.9367</v>
      </c>
      <c r="BK82" s="399">
        <v>3.8210999999999999</v>
      </c>
      <c r="BL82" s="399"/>
      <c r="BM82" s="399">
        <v>6.2211999999999996</v>
      </c>
      <c r="BN82" s="399">
        <v>0.18290000000000001</v>
      </c>
      <c r="BO82" s="399"/>
      <c r="BP82" s="399"/>
      <c r="BQ82" s="399">
        <v>6.6E-3</v>
      </c>
      <c r="BR82" s="399"/>
      <c r="BS82" s="399"/>
      <c r="BT82" s="396"/>
      <c r="BU82" s="396"/>
      <c r="BV82" s="396"/>
      <c r="BW82" s="396"/>
      <c r="BX82" s="396"/>
      <c r="BY82" s="396"/>
      <c r="BZ82" s="396"/>
      <c r="CA82" s="396"/>
      <c r="CB82" s="396"/>
      <c r="CC82" s="397"/>
      <c r="CE82" s="8"/>
    </row>
    <row r="83" spans="1:83" ht="14.4" thickBot="1" x14ac:dyDescent="0.35">
      <c r="A83" s="7">
        <v>77</v>
      </c>
      <c r="B83" s="11" t="s">
        <v>42</v>
      </c>
      <c r="C83" s="11"/>
      <c r="D83" s="11"/>
      <c r="E83" s="11"/>
      <c r="F83" s="403">
        <v>772.55370000000005</v>
      </c>
      <c r="G83" s="403">
        <v>419.88580000000002</v>
      </c>
      <c r="H83" s="403">
        <v>71.6875</v>
      </c>
      <c r="I83" s="403">
        <f>I82+I81</f>
        <v>305.35129999999998</v>
      </c>
      <c r="J83" s="403">
        <v>2031.5984000000001</v>
      </c>
      <c r="K83" s="403">
        <v>940.36530000000005</v>
      </c>
      <c r="L83" s="403">
        <v>1323.3259</v>
      </c>
      <c r="M83" s="403">
        <v>391.84750000000003</v>
      </c>
      <c r="N83" s="403">
        <v>192.90379999999999</v>
      </c>
      <c r="O83" s="403">
        <f>O82+O81</f>
        <v>185.81200000000001</v>
      </c>
      <c r="P83" s="403">
        <v>966.92520000000002</v>
      </c>
      <c r="Q83" s="403">
        <v>270.00839999999999</v>
      </c>
      <c r="R83" s="403">
        <v>604.76919999999996</v>
      </c>
      <c r="S83" s="403">
        <v>419.92919999999998</v>
      </c>
      <c r="T83" s="403">
        <v>646.58979999999997</v>
      </c>
      <c r="U83" s="403">
        <v>1177.6151</v>
      </c>
      <c r="V83" s="403">
        <v>1796.6334999999999</v>
      </c>
      <c r="W83" s="403">
        <v>1115.9319</v>
      </c>
      <c r="X83" s="403">
        <v>839.12549999999999</v>
      </c>
      <c r="Y83" s="403">
        <v>832.49350000000004</v>
      </c>
      <c r="Z83" s="403">
        <v>187.3212</v>
      </c>
      <c r="AA83" s="403">
        <v>659.79740000000004</v>
      </c>
      <c r="AB83" s="403">
        <v>257.44630000000001</v>
      </c>
      <c r="AC83" s="403">
        <v>716.28610000000003</v>
      </c>
      <c r="AD83" s="403">
        <v>210.2037</v>
      </c>
      <c r="AE83" s="403">
        <v>264.79329999999999</v>
      </c>
      <c r="AF83" s="403">
        <v>96.926299999999998</v>
      </c>
      <c r="AG83" s="403">
        <v>339.26569999999998</v>
      </c>
      <c r="AH83" s="403">
        <v>2056.8526999999999</v>
      </c>
      <c r="AI83" s="403">
        <v>391.40859999999998</v>
      </c>
      <c r="AJ83" s="403">
        <v>1673.4974</v>
      </c>
      <c r="AK83" s="403">
        <v>962.46910000000003</v>
      </c>
      <c r="AL83" s="403">
        <v>1368.3701000000001</v>
      </c>
      <c r="AM83" s="403">
        <v>456.8519</v>
      </c>
      <c r="AN83" s="403">
        <v>153.9598</v>
      </c>
      <c r="AO83" s="403">
        <v>1863.2046</v>
      </c>
      <c r="AP83" s="403">
        <v>76.770200000000003</v>
      </c>
      <c r="AQ83" s="403">
        <v>571.31439999999998</v>
      </c>
      <c r="AR83" s="403">
        <v>164.8742</v>
      </c>
      <c r="AS83" s="403">
        <v>134.5273</v>
      </c>
      <c r="AT83" s="403">
        <v>840.9479</v>
      </c>
      <c r="AU83" s="403">
        <v>475.28879999999998</v>
      </c>
      <c r="AV83" s="403">
        <v>647.45759999999996</v>
      </c>
      <c r="AW83" s="403">
        <v>146.25810000000001</v>
      </c>
      <c r="AX83" s="403">
        <v>171.26669999999999</v>
      </c>
      <c r="AY83" s="403">
        <v>1982.1077</v>
      </c>
      <c r="AZ83" s="403">
        <v>751.05799999999999</v>
      </c>
      <c r="BA83" s="403">
        <v>299.73140000000001</v>
      </c>
      <c r="BB83" s="403">
        <v>132.82550000000001</v>
      </c>
      <c r="BC83" s="403">
        <v>278.78620000000001</v>
      </c>
      <c r="BD83" s="403">
        <v>70.779499999999999</v>
      </c>
      <c r="BE83" s="403">
        <v>544.92010000000005</v>
      </c>
      <c r="BF83" s="403">
        <v>153.15710000000001</v>
      </c>
      <c r="BG83" s="403">
        <v>88.650400000000005</v>
      </c>
      <c r="BH83" s="403">
        <v>376.399</v>
      </c>
      <c r="BI83" s="403">
        <v>1364.4061999999999</v>
      </c>
      <c r="BJ83" s="403">
        <v>876.34320000000002</v>
      </c>
      <c r="BK83" s="403">
        <v>673.08699999999999</v>
      </c>
      <c r="BL83" s="403">
        <v>100.0994</v>
      </c>
      <c r="BM83" s="403">
        <v>217.32499999999999</v>
      </c>
      <c r="BN83" s="403">
        <v>169.6601</v>
      </c>
      <c r="BO83" s="403">
        <v>111.5095</v>
      </c>
      <c r="BP83" s="403">
        <v>32.3232</v>
      </c>
      <c r="BQ83" s="403">
        <v>99.194100000000006</v>
      </c>
      <c r="BR83" s="403">
        <v>4.3353000000000002</v>
      </c>
      <c r="BS83" s="403">
        <v>29410.5753</v>
      </c>
      <c r="BT83" s="397"/>
      <c r="BU83" s="397"/>
      <c r="BV83" s="397"/>
      <c r="BW83" s="397"/>
      <c r="BX83" s="397"/>
      <c r="BY83" s="397"/>
      <c r="BZ83" s="397"/>
      <c r="CA83" s="397"/>
      <c r="CB83" s="397"/>
      <c r="CC83" s="397"/>
      <c r="CE83" s="8"/>
    </row>
    <row r="84" spans="1:83" x14ac:dyDescent="0.3">
      <c r="B84" s="2" t="s">
        <v>14</v>
      </c>
      <c r="C84" s="2"/>
      <c r="D84" s="2"/>
      <c r="E84" s="2"/>
    </row>
    <row r="85" spans="1:83" x14ac:dyDescent="0.3"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44"/>
      <c r="BN85" s="96"/>
      <c r="BO85" s="96"/>
      <c r="BP85" s="96"/>
      <c r="BQ85" s="96"/>
      <c r="BR85" s="97"/>
    </row>
    <row r="86" spans="1:83" x14ac:dyDescent="0.3">
      <c r="A86" s="16" t="s">
        <v>112</v>
      </c>
      <c r="BI86" s="156"/>
      <c r="BJ86" s="157"/>
      <c r="BK86" s="157"/>
      <c r="BL86" s="158"/>
      <c r="BM86" s="136"/>
      <c r="BN86" s="136"/>
      <c r="BO86" s="136"/>
      <c r="BP86" s="136"/>
    </row>
    <row r="87" spans="1:83" x14ac:dyDescent="0.3">
      <c r="A87" s="2"/>
      <c r="BI87" s="136"/>
      <c r="BJ87" s="136"/>
      <c r="BK87" s="136"/>
      <c r="BL87" s="159"/>
      <c r="BM87" s="136"/>
      <c r="BN87" s="136"/>
      <c r="BO87" s="136"/>
      <c r="BP87" s="136"/>
    </row>
    <row r="88" spans="1:83" x14ac:dyDescent="0.3">
      <c r="B88" s="16"/>
      <c r="C88" s="16"/>
      <c r="D88" s="16"/>
      <c r="E88" s="16"/>
    </row>
    <row r="89" spans="1:83" x14ac:dyDescent="0.3">
      <c r="A89" s="7">
        <v>1</v>
      </c>
      <c r="B89" s="150" t="s">
        <v>115</v>
      </c>
      <c r="C89" s="150"/>
      <c r="D89" s="150"/>
      <c r="E89" s="150"/>
      <c r="F89" s="20">
        <f t="shared" ref="F89:AK89" si="0">IF(F7=".",0,F7/F$83)</f>
        <v>0.17192332390615692</v>
      </c>
      <c r="G89" s="20">
        <f t="shared" si="0"/>
        <v>6.1893019482916548E-3</v>
      </c>
      <c r="H89" s="20">
        <f t="shared" si="0"/>
        <v>0</v>
      </c>
      <c r="I89" s="20">
        <f t="shared" si="0"/>
        <v>0</v>
      </c>
      <c r="J89" s="20">
        <f t="shared" si="0"/>
        <v>0.1439079199904863</v>
      </c>
      <c r="K89" s="20">
        <f t="shared" si="0"/>
        <v>1.5615527284981697E-2</v>
      </c>
      <c r="L89" s="20">
        <f t="shared" si="0"/>
        <v>0</v>
      </c>
      <c r="M89" s="20">
        <f t="shared" si="0"/>
        <v>0</v>
      </c>
      <c r="N89" s="20">
        <f t="shared" si="0"/>
        <v>0</v>
      </c>
      <c r="O89" s="20">
        <f t="shared" si="0"/>
        <v>0</v>
      </c>
      <c r="P89" s="20">
        <f t="shared" si="0"/>
        <v>3.4852747658246991E-5</v>
      </c>
      <c r="Q89" s="20">
        <f t="shared" si="0"/>
        <v>0</v>
      </c>
      <c r="R89" s="20">
        <f t="shared" si="0"/>
        <v>2.1661156024480084E-5</v>
      </c>
      <c r="S89" s="20">
        <f t="shared" si="0"/>
        <v>0</v>
      </c>
      <c r="T89" s="20">
        <f t="shared" si="0"/>
        <v>0</v>
      </c>
      <c r="U89" s="20">
        <f t="shared" si="0"/>
        <v>0</v>
      </c>
      <c r="V89" s="20">
        <f t="shared" si="0"/>
        <v>0</v>
      </c>
      <c r="W89" s="20">
        <f t="shared" si="0"/>
        <v>1.245595721387658E-5</v>
      </c>
      <c r="X89" s="20">
        <f t="shared" si="0"/>
        <v>0</v>
      </c>
      <c r="Y89" s="20">
        <f t="shared" si="0"/>
        <v>0</v>
      </c>
      <c r="Z89" s="20">
        <f t="shared" si="0"/>
        <v>0</v>
      </c>
      <c r="AA89" s="20">
        <f t="shared" si="0"/>
        <v>0</v>
      </c>
      <c r="AB89" s="20">
        <f t="shared" si="0"/>
        <v>0</v>
      </c>
      <c r="AC89" s="20">
        <f t="shared" si="0"/>
        <v>0</v>
      </c>
      <c r="AD89" s="20">
        <f t="shared" si="0"/>
        <v>0</v>
      </c>
      <c r="AE89" s="20">
        <f t="shared" si="0"/>
        <v>0</v>
      </c>
      <c r="AF89" s="20">
        <f t="shared" si="0"/>
        <v>0</v>
      </c>
      <c r="AG89" s="20">
        <f t="shared" si="0"/>
        <v>0</v>
      </c>
      <c r="AH89" s="20">
        <f t="shared" si="0"/>
        <v>1.4585390582417496E-4</v>
      </c>
      <c r="AI89" s="20">
        <f t="shared" si="0"/>
        <v>7.3324909059228641E-5</v>
      </c>
      <c r="AJ89" s="20">
        <f t="shared" si="0"/>
        <v>0</v>
      </c>
      <c r="AK89" s="20">
        <f t="shared" si="0"/>
        <v>5.527450179959024E-4</v>
      </c>
      <c r="AL89" s="20">
        <f t="shared" ref="AL89:BS89" si="1">IF(AL7=".",0,AL7/AL$83)</f>
        <v>3.9243768918949627E-5</v>
      </c>
      <c r="AM89" s="20">
        <f t="shared" si="1"/>
        <v>0</v>
      </c>
      <c r="AN89" s="20">
        <f t="shared" si="1"/>
        <v>0</v>
      </c>
      <c r="AO89" s="20">
        <f t="shared" si="1"/>
        <v>7.4709991591905678E-5</v>
      </c>
      <c r="AP89" s="20">
        <f t="shared" si="1"/>
        <v>0</v>
      </c>
      <c r="AQ89" s="20">
        <f t="shared" si="1"/>
        <v>2.2560782644372349E-2</v>
      </c>
      <c r="AR89" s="20">
        <f t="shared" si="1"/>
        <v>0</v>
      </c>
      <c r="AS89" s="20">
        <f t="shared" si="1"/>
        <v>1.687389845778515E-4</v>
      </c>
      <c r="AT89" s="20">
        <f t="shared" si="1"/>
        <v>5.5889312524592785E-6</v>
      </c>
      <c r="AU89" s="20">
        <f t="shared" si="1"/>
        <v>0</v>
      </c>
      <c r="AV89" s="20">
        <f t="shared" si="1"/>
        <v>5.1123038790493771E-5</v>
      </c>
      <c r="AW89" s="20">
        <f t="shared" si="1"/>
        <v>8.956768890064892E-5</v>
      </c>
      <c r="AX89" s="20">
        <f t="shared" si="1"/>
        <v>1.1385750995377386E-4</v>
      </c>
      <c r="AY89" s="20">
        <f t="shared" si="1"/>
        <v>3.1178931397118329E-4</v>
      </c>
      <c r="AZ89" s="20">
        <f t="shared" si="1"/>
        <v>2.5603881457890069E-4</v>
      </c>
      <c r="BA89" s="20">
        <f t="shared" si="1"/>
        <v>1.4346177944653112E-5</v>
      </c>
      <c r="BB89" s="20">
        <f t="shared" si="1"/>
        <v>1.5501541496173549E-3</v>
      </c>
      <c r="BC89" s="20">
        <f t="shared" si="1"/>
        <v>6.1211781644859029E-3</v>
      </c>
      <c r="BD89" s="20">
        <f t="shared" si="1"/>
        <v>2.1602300101017952E-3</v>
      </c>
      <c r="BE89" s="20">
        <f t="shared" si="1"/>
        <v>1.9470744426568223E-4</v>
      </c>
      <c r="BF89" s="20">
        <f t="shared" si="1"/>
        <v>0</v>
      </c>
      <c r="BG89" s="20">
        <f t="shared" si="1"/>
        <v>0</v>
      </c>
      <c r="BH89" s="20">
        <f t="shared" si="1"/>
        <v>3.5390636000626995E-3</v>
      </c>
      <c r="BI89" s="20">
        <f t="shared" si="1"/>
        <v>6.824946998921583E-4</v>
      </c>
      <c r="BJ89" s="20">
        <f t="shared" si="1"/>
        <v>1.0983139938781975E-3</v>
      </c>
      <c r="BK89" s="20">
        <f t="shared" si="1"/>
        <v>2.475162943274792E-4</v>
      </c>
      <c r="BL89" s="20">
        <f t="shared" si="1"/>
        <v>2.3027111051614696E-3</v>
      </c>
      <c r="BM89" s="20">
        <f t="shared" si="1"/>
        <v>8.6230300241573691E-4</v>
      </c>
      <c r="BN89" s="20">
        <f t="shared" si="1"/>
        <v>1.880229942101885E-3</v>
      </c>
      <c r="BO89" s="20">
        <f t="shared" si="1"/>
        <v>0</v>
      </c>
      <c r="BP89" s="20">
        <f t="shared" si="1"/>
        <v>0</v>
      </c>
      <c r="BQ89" s="20">
        <f t="shared" si="1"/>
        <v>1.327699933766222E-3</v>
      </c>
      <c r="BR89" s="20">
        <f t="shared" si="1"/>
        <v>0</v>
      </c>
      <c r="BS89" s="20">
        <f t="shared" si="1"/>
        <v>1.5770174342696383E-2</v>
      </c>
      <c r="BT89" s="163">
        <f t="shared" ref="BT89:BT120" si="2">IF(BT7=".",0,BT7/BT$74)</f>
        <v>1.9810251458849952E-2</v>
      </c>
      <c r="BU89" s="164"/>
      <c r="BV89" s="164">
        <f t="shared" ref="BV89:BV120" si="3">IF(BV7=".",0,BV7/BV$74)</f>
        <v>0</v>
      </c>
      <c r="BW89" s="162"/>
      <c r="BX89" s="163">
        <f t="shared" ref="BX89:BX120" si="4">IF(BX7=".",0,BX7/BX$74)</f>
        <v>6.4555023380540571E-3</v>
      </c>
      <c r="BY89" s="164"/>
      <c r="BZ89" s="164"/>
      <c r="CA89" s="164"/>
      <c r="CB89" s="165"/>
      <c r="CC89" s="166"/>
    </row>
    <row r="90" spans="1:83" x14ac:dyDescent="0.3">
      <c r="A90" s="7">
        <v>2</v>
      </c>
      <c r="B90" s="150" t="s">
        <v>116</v>
      </c>
      <c r="C90" s="150"/>
      <c r="D90" s="150"/>
      <c r="E90" s="150"/>
      <c r="F90" s="20">
        <f t="shared" ref="F90:AK90" si="5">IF(F8=".",0,F8/F$83)</f>
        <v>0</v>
      </c>
      <c r="G90" s="20">
        <f t="shared" si="5"/>
        <v>0.13408407714669082</v>
      </c>
      <c r="H90" s="20">
        <f t="shared" si="5"/>
        <v>6.9747166521360074E-6</v>
      </c>
      <c r="I90" s="20">
        <f t="shared" si="5"/>
        <v>1.368587590752029E-3</v>
      </c>
      <c r="J90" s="20">
        <f t="shared" si="5"/>
        <v>3.101006576890393E-5</v>
      </c>
      <c r="K90" s="20">
        <f t="shared" si="5"/>
        <v>0</v>
      </c>
      <c r="L90" s="20">
        <f t="shared" si="5"/>
        <v>0.15875273052541328</v>
      </c>
      <c r="M90" s="20">
        <f t="shared" si="5"/>
        <v>4.4626034362857996E-2</v>
      </c>
      <c r="N90" s="20">
        <f t="shared" si="5"/>
        <v>0</v>
      </c>
      <c r="O90" s="20">
        <f t="shared" si="5"/>
        <v>0</v>
      </c>
      <c r="P90" s="20">
        <f t="shared" si="5"/>
        <v>1.8719131531580727E-5</v>
      </c>
      <c r="Q90" s="20">
        <f t="shared" si="5"/>
        <v>0</v>
      </c>
      <c r="R90" s="20">
        <f t="shared" si="5"/>
        <v>0</v>
      </c>
      <c r="S90" s="20">
        <f t="shared" si="5"/>
        <v>4.6674534659652151E-5</v>
      </c>
      <c r="T90" s="20">
        <f t="shared" si="5"/>
        <v>3.2478087343784266E-6</v>
      </c>
      <c r="U90" s="20">
        <f t="shared" si="5"/>
        <v>6.0036594299784371E-5</v>
      </c>
      <c r="V90" s="20">
        <f t="shared" si="5"/>
        <v>0</v>
      </c>
      <c r="W90" s="20">
        <f t="shared" si="5"/>
        <v>0</v>
      </c>
      <c r="X90" s="20">
        <f t="shared" si="5"/>
        <v>1.0248764934446635E-4</v>
      </c>
      <c r="Y90" s="20">
        <f t="shared" si="5"/>
        <v>0</v>
      </c>
      <c r="Z90" s="20">
        <f t="shared" si="5"/>
        <v>1.2064838363196477E-4</v>
      </c>
      <c r="AA90" s="20">
        <f t="shared" si="5"/>
        <v>1.1358789834576492E-2</v>
      </c>
      <c r="AB90" s="20">
        <f t="shared" si="5"/>
        <v>0</v>
      </c>
      <c r="AC90" s="20">
        <f t="shared" si="5"/>
        <v>0</v>
      </c>
      <c r="AD90" s="20">
        <f t="shared" si="5"/>
        <v>0</v>
      </c>
      <c r="AE90" s="20">
        <f t="shared" si="5"/>
        <v>7.6399214028451633E-4</v>
      </c>
      <c r="AF90" s="20">
        <f t="shared" si="5"/>
        <v>6.087099167099126E-5</v>
      </c>
      <c r="AG90" s="20">
        <f t="shared" si="5"/>
        <v>1.9453779147140427E-5</v>
      </c>
      <c r="AH90" s="20">
        <f t="shared" si="5"/>
        <v>9.115869114010936E-5</v>
      </c>
      <c r="AI90" s="20">
        <f t="shared" si="5"/>
        <v>5.7995659778553673E-5</v>
      </c>
      <c r="AJ90" s="20">
        <f t="shared" si="5"/>
        <v>2.1039769766000236E-4</v>
      </c>
      <c r="AK90" s="20">
        <f t="shared" si="5"/>
        <v>1.7766804149868292E-5</v>
      </c>
      <c r="AL90" s="20">
        <f t="shared" ref="AL90:BS90" si="6">IF(AL8=".",0,AL8/AL$83)</f>
        <v>6.8694865519204189E-5</v>
      </c>
      <c r="AM90" s="20">
        <f t="shared" si="6"/>
        <v>0</v>
      </c>
      <c r="AN90" s="20">
        <f t="shared" si="6"/>
        <v>0</v>
      </c>
      <c r="AO90" s="20">
        <f t="shared" si="6"/>
        <v>1.1668069089138145E-4</v>
      </c>
      <c r="AP90" s="20">
        <f t="shared" si="6"/>
        <v>1.0954771512904746E-3</v>
      </c>
      <c r="AQ90" s="20">
        <f t="shared" si="6"/>
        <v>5.5503589617205524E-4</v>
      </c>
      <c r="AR90" s="20">
        <f t="shared" si="6"/>
        <v>1.5769598882056743E-5</v>
      </c>
      <c r="AS90" s="20">
        <f t="shared" si="6"/>
        <v>1.858358860989554E-5</v>
      </c>
      <c r="AT90" s="20">
        <f t="shared" si="6"/>
        <v>4.4949276881481006E-5</v>
      </c>
      <c r="AU90" s="20">
        <f t="shared" si="6"/>
        <v>0</v>
      </c>
      <c r="AV90" s="20">
        <f t="shared" si="6"/>
        <v>2.4712042919876147E-6</v>
      </c>
      <c r="AW90" s="20">
        <f t="shared" si="6"/>
        <v>2.1195407297100123E-5</v>
      </c>
      <c r="AX90" s="20">
        <f t="shared" si="6"/>
        <v>2.7033860055690923E-4</v>
      </c>
      <c r="AY90" s="20">
        <f t="shared" si="6"/>
        <v>2.869672520822153E-4</v>
      </c>
      <c r="AZ90" s="20">
        <f t="shared" si="6"/>
        <v>5.0195857044329465E-4</v>
      </c>
      <c r="BA90" s="20">
        <f t="shared" si="6"/>
        <v>1.334528180897964E-6</v>
      </c>
      <c r="BB90" s="20">
        <f t="shared" si="6"/>
        <v>7.5286748402979854E-7</v>
      </c>
      <c r="BC90" s="20">
        <f t="shared" si="6"/>
        <v>3.1493667907521965E-4</v>
      </c>
      <c r="BD90" s="20">
        <f t="shared" si="6"/>
        <v>3.3908123114743675E-5</v>
      </c>
      <c r="BE90" s="20">
        <f t="shared" si="6"/>
        <v>4.0372891365174455E-6</v>
      </c>
      <c r="BF90" s="20">
        <f t="shared" si="6"/>
        <v>0</v>
      </c>
      <c r="BG90" s="20">
        <f t="shared" si="6"/>
        <v>1.3536317941035799E-4</v>
      </c>
      <c r="BH90" s="20">
        <f t="shared" si="6"/>
        <v>1.0892696314283514E-5</v>
      </c>
      <c r="BI90" s="20">
        <f t="shared" si="6"/>
        <v>3.4168710168570036E-4</v>
      </c>
      <c r="BJ90" s="20">
        <f t="shared" si="6"/>
        <v>6.880865852556395E-5</v>
      </c>
      <c r="BK90" s="20">
        <f t="shared" si="6"/>
        <v>7.4284602139099414E-5</v>
      </c>
      <c r="BL90" s="20">
        <f t="shared" si="6"/>
        <v>1.5584508998055932E-4</v>
      </c>
      <c r="BM90" s="20">
        <f t="shared" si="6"/>
        <v>1.8405613712182217E-6</v>
      </c>
      <c r="BN90" s="20">
        <f t="shared" si="6"/>
        <v>7.6623790743963961E-5</v>
      </c>
      <c r="BO90" s="20">
        <f t="shared" si="6"/>
        <v>0</v>
      </c>
      <c r="BP90" s="20">
        <f t="shared" si="6"/>
        <v>0</v>
      </c>
      <c r="BQ90" s="20">
        <f t="shared" si="6"/>
        <v>1.3206430624402055E-4</v>
      </c>
      <c r="BR90" s="20">
        <f t="shared" si="6"/>
        <v>0</v>
      </c>
      <c r="BS90" s="20">
        <f t="shared" si="6"/>
        <v>1.004187429138797E-2</v>
      </c>
      <c r="BT90" s="163">
        <f t="shared" si="2"/>
        <v>1.3807693767469639E-3</v>
      </c>
      <c r="BU90" s="164"/>
      <c r="BV90" s="164">
        <f t="shared" si="3"/>
        <v>0</v>
      </c>
      <c r="BW90" s="162"/>
      <c r="BX90" s="163">
        <f t="shared" si="4"/>
        <v>0</v>
      </c>
      <c r="BY90" s="164"/>
      <c r="BZ90" s="164"/>
      <c r="CA90" s="164"/>
      <c r="CB90" s="165"/>
      <c r="CC90" s="166"/>
    </row>
    <row r="91" spans="1:83" x14ac:dyDescent="0.3">
      <c r="A91" s="7">
        <v>3</v>
      </c>
      <c r="B91" s="150" t="s">
        <v>117</v>
      </c>
      <c r="C91" s="150"/>
      <c r="D91" s="150"/>
      <c r="E91" s="150"/>
      <c r="F91" s="20">
        <f t="shared" ref="F91:AK91" si="7">IF(F9=".",0,F9/F$83)</f>
        <v>0</v>
      </c>
      <c r="G91" s="20">
        <f t="shared" si="7"/>
        <v>0</v>
      </c>
      <c r="H91" s="20">
        <f t="shared" si="7"/>
        <v>4.0606800348735837E-3</v>
      </c>
      <c r="I91" s="20">
        <f t="shared" si="7"/>
        <v>0</v>
      </c>
      <c r="J91" s="20">
        <f t="shared" si="7"/>
        <v>1.482645388970576E-2</v>
      </c>
      <c r="K91" s="20">
        <f t="shared" si="7"/>
        <v>0</v>
      </c>
      <c r="L91" s="20">
        <f t="shared" si="7"/>
        <v>0</v>
      </c>
      <c r="M91" s="20">
        <f t="shared" si="7"/>
        <v>0</v>
      </c>
      <c r="N91" s="20">
        <f t="shared" si="7"/>
        <v>0</v>
      </c>
      <c r="O91" s="20">
        <f t="shared" si="7"/>
        <v>0</v>
      </c>
      <c r="P91" s="20">
        <f t="shared" si="7"/>
        <v>0</v>
      </c>
      <c r="Q91" s="20">
        <f t="shared" si="7"/>
        <v>0</v>
      </c>
      <c r="R91" s="20">
        <f t="shared" si="7"/>
        <v>0</v>
      </c>
      <c r="S91" s="20">
        <f t="shared" si="7"/>
        <v>1.0716092141246668E-5</v>
      </c>
      <c r="T91" s="20">
        <f t="shared" si="7"/>
        <v>0</v>
      </c>
      <c r="U91" s="20">
        <f t="shared" si="7"/>
        <v>0</v>
      </c>
      <c r="V91" s="20">
        <f t="shared" si="7"/>
        <v>0</v>
      </c>
      <c r="W91" s="20">
        <f t="shared" si="7"/>
        <v>0</v>
      </c>
      <c r="X91" s="20">
        <f t="shared" si="7"/>
        <v>0</v>
      </c>
      <c r="Y91" s="20">
        <f t="shared" si="7"/>
        <v>0</v>
      </c>
      <c r="Z91" s="20">
        <f t="shared" si="7"/>
        <v>0</v>
      </c>
      <c r="AA91" s="20">
        <f t="shared" si="7"/>
        <v>0</v>
      </c>
      <c r="AB91" s="20">
        <f t="shared" si="7"/>
        <v>0</v>
      </c>
      <c r="AC91" s="20">
        <f t="shared" si="7"/>
        <v>0</v>
      </c>
      <c r="AD91" s="20">
        <f t="shared" si="7"/>
        <v>0</v>
      </c>
      <c r="AE91" s="20">
        <f t="shared" si="7"/>
        <v>0</v>
      </c>
      <c r="AF91" s="20">
        <f t="shared" si="7"/>
        <v>0</v>
      </c>
      <c r="AG91" s="20">
        <f t="shared" si="7"/>
        <v>0</v>
      </c>
      <c r="AH91" s="20">
        <f t="shared" si="7"/>
        <v>0</v>
      </c>
      <c r="AI91" s="20">
        <f t="shared" si="7"/>
        <v>0</v>
      </c>
      <c r="AJ91" s="20">
        <f t="shared" si="7"/>
        <v>0</v>
      </c>
      <c r="AK91" s="20">
        <f t="shared" si="7"/>
        <v>0</v>
      </c>
      <c r="AL91" s="20">
        <f t="shared" ref="AL91:BS91" si="8">IF(AL9=".",0,AL9/AL$83)</f>
        <v>1.1327344846251755E-5</v>
      </c>
      <c r="AM91" s="20">
        <f t="shared" si="8"/>
        <v>0</v>
      </c>
      <c r="AN91" s="20">
        <f t="shared" si="8"/>
        <v>0</v>
      </c>
      <c r="AO91" s="20">
        <f t="shared" si="8"/>
        <v>4.3473486486669251E-6</v>
      </c>
      <c r="AP91" s="20">
        <f t="shared" si="8"/>
        <v>0</v>
      </c>
      <c r="AQ91" s="20">
        <f t="shared" si="8"/>
        <v>1.218821020439884E-2</v>
      </c>
      <c r="AR91" s="20">
        <f t="shared" si="8"/>
        <v>0</v>
      </c>
      <c r="AS91" s="20">
        <f t="shared" si="8"/>
        <v>0</v>
      </c>
      <c r="AT91" s="20">
        <f t="shared" si="8"/>
        <v>0</v>
      </c>
      <c r="AU91" s="20">
        <f t="shared" si="8"/>
        <v>0</v>
      </c>
      <c r="AV91" s="20">
        <f t="shared" si="8"/>
        <v>0</v>
      </c>
      <c r="AW91" s="20">
        <f t="shared" si="8"/>
        <v>0</v>
      </c>
      <c r="AX91" s="20">
        <f t="shared" si="8"/>
        <v>0</v>
      </c>
      <c r="AY91" s="20">
        <f t="shared" si="8"/>
        <v>4.8130583418852564E-5</v>
      </c>
      <c r="AZ91" s="20">
        <f t="shared" si="8"/>
        <v>0</v>
      </c>
      <c r="BA91" s="20">
        <f t="shared" si="8"/>
        <v>0</v>
      </c>
      <c r="BB91" s="20">
        <f t="shared" si="8"/>
        <v>0</v>
      </c>
      <c r="BC91" s="20">
        <f t="shared" si="8"/>
        <v>0</v>
      </c>
      <c r="BD91" s="20">
        <f t="shared" si="8"/>
        <v>1.2178667552045436E-3</v>
      </c>
      <c r="BE91" s="20">
        <f t="shared" si="8"/>
        <v>2.5691839959656467E-6</v>
      </c>
      <c r="BF91" s="20">
        <f t="shared" si="8"/>
        <v>0</v>
      </c>
      <c r="BG91" s="20">
        <f t="shared" si="8"/>
        <v>0</v>
      </c>
      <c r="BH91" s="20">
        <f t="shared" si="8"/>
        <v>0</v>
      </c>
      <c r="BI91" s="20">
        <f t="shared" si="8"/>
        <v>5.6288222671518201E-5</v>
      </c>
      <c r="BJ91" s="20">
        <f t="shared" si="8"/>
        <v>4.7127655010046295E-5</v>
      </c>
      <c r="BK91" s="20">
        <f t="shared" si="8"/>
        <v>6.1210512162617904E-5</v>
      </c>
      <c r="BL91" s="20">
        <f t="shared" si="8"/>
        <v>5.7542802454360359E-4</v>
      </c>
      <c r="BM91" s="20">
        <f t="shared" si="8"/>
        <v>8.650638444725642E-5</v>
      </c>
      <c r="BN91" s="20">
        <f t="shared" si="8"/>
        <v>1.2436630651520305E-4</v>
      </c>
      <c r="BO91" s="20">
        <f t="shared" si="8"/>
        <v>0</v>
      </c>
      <c r="BP91" s="20">
        <f t="shared" si="8"/>
        <v>0</v>
      </c>
      <c r="BQ91" s="20">
        <f t="shared" si="8"/>
        <v>1.9154365027758705E-5</v>
      </c>
      <c r="BR91" s="20">
        <f t="shared" si="8"/>
        <v>0</v>
      </c>
      <c r="BS91" s="20">
        <f t="shared" si="8"/>
        <v>1.2868024380332335E-3</v>
      </c>
      <c r="BT91" s="163">
        <f t="shared" si="2"/>
        <v>6.3817709707858689E-4</v>
      </c>
      <c r="BU91" s="164"/>
      <c r="BV91" s="164">
        <f t="shared" si="3"/>
        <v>0</v>
      </c>
      <c r="BW91" s="162"/>
      <c r="BX91" s="163">
        <f t="shared" si="4"/>
        <v>0</v>
      </c>
      <c r="BY91" s="164"/>
      <c r="BZ91" s="164"/>
      <c r="CA91" s="164"/>
      <c r="CB91" s="165"/>
      <c r="CC91" s="166"/>
    </row>
    <row r="92" spans="1:83" x14ac:dyDescent="0.3">
      <c r="A92" s="7">
        <v>4</v>
      </c>
      <c r="B92" s="150" t="s">
        <v>118</v>
      </c>
      <c r="C92" s="150"/>
      <c r="D92" s="150"/>
      <c r="E92" s="150"/>
      <c r="F92" s="20">
        <f t="shared" ref="F92:AK92" si="9">IF(F10=".",0,F10/F$83)</f>
        <v>7.2499814575996456E-3</v>
      </c>
      <c r="G92" s="20">
        <f t="shared" si="9"/>
        <v>9.7288357929703733E-4</v>
      </c>
      <c r="H92" s="20">
        <f t="shared" si="9"/>
        <v>1.5344376634699215E-5</v>
      </c>
      <c r="I92" s="20">
        <f t="shared" si="9"/>
        <v>1.7638372589211183E-2</v>
      </c>
      <c r="J92" s="20">
        <f t="shared" si="9"/>
        <v>8.5696070640732929E-5</v>
      </c>
      <c r="K92" s="20">
        <f t="shared" si="9"/>
        <v>0</v>
      </c>
      <c r="L92" s="20">
        <f t="shared" si="9"/>
        <v>0</v>
      </c>
      <c r="M92" s="20">
        <f t="shared" si="9"/>
        <v>0</v>
      </c>
      <c r="N92" s="20">
        <f t="shared" si="9"/>
        <v>0</v>
      </c>
      <c r="O92" s="20">
        <f t="shared" si="9"/>
        <v>0.32352270036380859</v>
      </c>
      <c r="P92" s="20">
        <f t="shared" si="9"/>
        <v>3.5104059755604673E-3</v>
      </c>
      <c r="Q92" s="20">
        <f t="shared" si="9"/>
        <v>0</v>
      </c>
      <c r="R92" s="20">
        <f t="shared" si="9"/>
        <v>0</v>
      </c>
      <c r="S92" s="20">
        <f t="shared" si="9"/>
        <v>3.5286900744220695E-2</v>
      </c>
      <c r="T92" s="20">
        <f t="shared" si="9"/>
        <v>1.0563111264668883E-4</v>
      </c>
      <c r="U92" s="20">
        <f t="shared" si="9"/>
        <v>0</v>
      </c>
      <c r="V92" s="20">
        <f t="shared" si="9"/>
        <v>0</v>
      </c>
      <c r="W92" s="20">
        <f t="shared" si="9"/>
        <v>0</v>
      </c>
      <c r="X92" s="20">
        <f t="shared" si="9"/>
        <v>0</v>
      </c>
      <c r="Y92" s="20">
        <f t="shared" si="9"/>
        <v>0</v>
      </c>
      <c r="Z92" s="20">
        <f t="shared" si="9"/>
        <v>1.6015272163535146E-6</v>
      </c>
      <c r="AA92" s="20">
        <f t="shared" si="9"/>
        <v>0</v>
      </c>
      <c r="AB92" s="20">
        <f t="shared" si="9"/>
        <v>3.3599239919159836E-4</v>
      </c>
      <c r="AC92" s="20">
        <f t="shared" si="9"/>
        <v>0.21314290476947689</v>
      </c>
      <c r="AD92" s="20">
        <f t="shared" si="9"/>
        <v>0.78042346542901009</v>
      </c>
      <c r="AE92" s="20">
        <f t="shared" si="9"/>
        <v>0</v>
      </c>
      <c r="AF92" s="20">
        <f t="shared" si="9"/>
        <v>0</v>
      </c>
      <c r="AG92" s="20">
        <f t="shared" si="9"/>
        <v>2.2215626277575368E-3</v>
      </c>
      <c r="AH92" s="20">
        <f t="shared" si="9"/>
        <v>2.0399516212317975E-2</v>
      </c>
      <c r="AI92" s="20">
        <f t="shared" si="9"/>
        <v>0</v>
      </c>
      <c r="AJ92" s="20">
        <f t="shared" si="9"/>
        <v>5.9814852416263091E-5</v>
      </c>
      <c r="AK92" s="20">
        <f t="shared" si="9"/>
        <v>0</v>
      </c>
      <c r="AL92" s="20">
        <f t="shared" ref="AL92:BS92" si="10">IF(AL10=".",0,AL10/AL$83)</f>
        <v>5.8441791442242119E-4</v>
      </c>
      <c r="AM92" s="20">
        <f t="shared" si="10"/>
        <v>0</v>
      </c>
      <c r="AN92" s="20">
        <f t="shared" si="10"/>
        <v>0</v>
      </c>
      <c r="AO92" s="20">
        <f t="shared" si="10"/>
        <v>0</v>
      </c>
      <c r="AP92" s="20">
        <f t="shared" si="10"/>
        <v>0</v>
      </c>
      <c r="AQ92" s="20">
        <f t="shared" si="10"/>
        <v>0</v>
      </c>
      <c r="AR92" s="20">
        <f t="shared" si="10"/>
        <v>1.2130460678505187E-5</v>
      </c>
      <c r="AS92" s="20">
        <f t="shared" si="10"/>
        <v>2.4530336965062109E-5</v>
      </c>
      <c r="AT92" s="20">
        <f t="shared" si="10"/>
        <v>0</v>
      </c>
      <c r="AU92" s="20">
        <f t="shared" si="10"/>
        <v>5.4913980720774408E-5</v>
      </c>
      <c r="AV92" s="20">
        <f t="shared" si="10"/>
        <v>0</v>
      </c>
      <c r="AW92" s="20">
        <f t="shared" si="10"/>
        <v>0</v>
      </c>
      <c r="AX92" s="20">
        <f t="shared" si="10"/>
        <v>0</v>
      </c>
      <c r="AY92" s="20">
        <f t="shared" si="10"/>
        <v>1.5892678283828876E-3</v>
      </c>
      <c r="AZ92" s="20">
        <f t="shared" si="10"/>
        <v>5.03689462065513E-4</v>
      </c>
      <c r="BA92" s="20">
        <f t="shared" si="10"/>
        <v>0</v>
      </c>
      <c r="BB92" s="20">
        <f t="shared" si="10"/>
        <v>0</v>
      </c>
      <c r="BC92" s="20">
        <f t="shared" si="10"/>
        <v>4.6630715580613386E-6</v>
      </c>
      <c r="BD92" s="20">
        <f t="shared" si="10"/>
        <v>2.9528323879089285E-4</v>
      </c>
      <c r="BE92" s="20">
        <f t="shared" si="10"/>
        <v>0</v>
      </c>
      <c r="BF92" s="20">
        <f t="shared" si="10"/>
        <v>0</v>
      </c>
      <c r="BG92" s="20">
        <f t="shared" si="10"/>
        <v>0</v>
      </c>
      <c r="BH92" s="20">
        <f t="shared" si="10"/>
        <v>2.8440564401074394E-3</v>
      </c>
      <c r="BI92" s="20">
        <f t="shared" si="10"/>
        <v>3.3860883950835173E-4</v>
      </c>
      <c r="BJ92" s="20">
        <f t="shared" si="10"/>
        <v>1.6991060123476738E-4</v>
      </c>
      <c r="BK92" s="20">
        <f t="shared" si="10"/>
        <v>1.5555195687927414E-4</v>
      </c>
      <c r="BL92" s="20">
        <f t="shared" si="10"/>
        <v>8.8911621847883207E-5</v>
      </c>
      <c r="BM92" s="20">
        <f t="shared" si="10"/>
        <v>1.794547336937766E-5</v>
      </c>
      <c r="BN92" s="20">
        <f t="shared" si="10"/>
        <v>9.4129379860084968E-4</v>
      </c>
      <c r="BO92" s="20">
        <f t="shared" si="10"/>
        <v>0</v>
      </c>
      <c r="BP92" s="20">
        <f t="shared" si="10"/>
        <v>6.1875061875061879E-6</v>
      </c>
      <c r="BQ92" s="20">
        <f t="shared" si="10"/>
        <v>2.5818067808468445E-3</v>
      </c>
      <c r="BR92" s="20">
        <f t="shared" si="10"/>
        <v>0</v>
      </c>
      <c r="BS92" s="20">
        <f t="shared" si="10"/>
        <v>1.5510774452616708E-2</v>
      </c>
      <c r="BT92" s="163">
        <f t="shared" si="2"/>
        <v>2.0316442503904916E-4</v>
      </c>
      <c r="BU92" s="164"/>
      <c r="BV92" s="164">
        <f t="shared" si="3"/>
        <v>0</v>
      </c>
      <c r="BW92" s="162"/>
      <c r="BX92" s="163">
        <f t="shared" si="4"/>
        <v>0</v>
      </c>
      <c r="BY92" s="164"/>
      <c r="BZ92" s="164"/>
      <c r="CA92" s="164"/>
      <c r="CB92" s="165"/>
      <c r="CC92" s="166"/>
    </row>
    <row r="93" spans="1:83" x14ac:dyDescent="0.3">
      <c r="A93" s="7">
        <v>5</v>
      </c>
      <c r="B93" s="150" t="s">
        <v>119</v>
      </c>
      <c r="C93" s="150"/>
      <c r="D93" s="150"/>
      <c r="E93" s="150"/>
      <c r="F93" s="20">
        <f t="shared" ref="F93:AK93" si="11">IF(F11=".",0,F11/F$83)</f>
        <v>7.231859739976651E-2</v>
      </c>
      <c r="G93" s="20">
        <f t="shared" si="11"/>
        <v>7.7640158347817425E-5</v>
      </c>
      <c r="H93" s="20">
        <f t="shared" si="11"/>
        <v>1.3906190061028771E-2</v>
      </c>
      <c r="I93" s="20">
        <f t="shared" si="11"/>
        <v>1.1396709298437569E-4</v>
      </c>
      <c r="J93" s="20">
        <f t="shared" si="11"/>
        <v>0.11484208690063941</v>
      </c>
      <c r="K93" s="20">
        <f t="shared" si="11"/>
        <v>2.1426779571726007E-3</v>
      </c>
      <c r="L93" s="20">
        <f t="shared" si="11"/>
        <v>0</v>
      </c>
      <c r="M93" s="20">
        <f t="shared" si="11"/>
        <v>4.2542060367872699E-4</v>
      </c>
      <c r="N93" s="20">
        <f t="shared" si="11"/>
        <v>0</v>
      </c>
      <c r="O93" s="20">
        <f t="shared" si="11"/>
        <v>0</v>
      </c>
      <c r="P93" s="20">
        <f t="shared" si="11"/>
        <v>1.147193185160548E-2</v>
      </c>
      <c r="Q93" s="20">
        <f t="shared" si="11"/>
        <v>9.0811989552917619E-4</v>
      </c>
      <c r="R93" s="20">
        <f t="shared" si="11"/>
        <v>0</v>
      </c>
      <c r="S93" s="20">
        <f t="shared" si="11"/>
        <v>4.2626233184070077E-5</v>
      </c>
      <c r="T93" s="20">
        <f t="shared" si="11"/>
        <v>1.3919180290193257E-6</v>
      </c>
      <c r="U93" s="20">
        <f t="shared" si="11"/>
        <v>0</v>
      </c>
      <c r="V93" s="20">
        <f t="shared" si="11"/>
        <v>0</v>
      </c>
      <c r="W93" s="20">
        <f t="shared" si="11"/>
        <v>0</v>
      </c>
      <c r="X93" s="20">
        <f t="shared" si="11"/>
        <v>0</v>
      </c>
      <c r="Y93" s="20">
        <f t="shared" si="11"/>
        <v>2.0420579860383293E-6</v>
      </c>
      <c r="Z93" s="20">
        <f t="shared" si="11"/>
        <v>0</v>
      </c>
      <c r="AA93" s="20">
        <f t="shared" si="11"/>
        <v>5.6270303581068973E-3</v>
      </c>
      <c r="AB93" s="20">
        <f t="shared" si="11"/>
        <v>0</v>
      </c>
      <c r="AC93" s="20">
        <f t="shared" si="11"/>
        <v>0</v>
      </c>
      <c r="AD93" s="20">
        <f t="shared" si="11"/>
        <v>0</v>
      </c>
      <c r="AE93" s="20">
        <f t="shared" si="11"/>
        <v>0</v>
      </c>
      <c r="AF93" s="20">
        <f t="shared" si="11"/>
        <v>0</v>
      </c>
      <c r="AG93" s="20">
        <f t="shared" si="11"/>
        <v>1.7390499540625534E-4</v>
      </c>
      <c r="AH93" s="20">
        <f t="shared" si="11"/>
        <v>5.5473102181794543E-5</v>
      </c>
      <c r="AI93" s="20">
        <f t="shared" si="11"/>
        <v>2.7541551207612715E-4</v>
      </c>
      <c r="AJ93" s="20">
        <f t="shared" si="11"/>
        <v>7.5428859345703198E-4</v>
      </c>
      <c r="AK93" s="20">
        <f t="shared" si="11"/>
        <v>3.3988623634774351E-3</v>
      </c>
      <c r="AL93" s="20">
        <f t="shared" ref="AL93:BS93" si="12">IF(AL11=".",0,AL11/AL$83)</f>
        <v>2.1295408310953299E-4</v>
      </c>
      <c r="AM93" s="20">
        <f t="shared" si="12"/>
        <v>0</v>
      </c>
      <c r="AN93" s="20">
        <f t="shared" si="12"/>
        <v>0</v>
      </c>
      <c r="AO93" s="20">
        <f t="shared" si="12"/>
        <v>8.2760637237585182E-5</v>
      </c>
      <c r="AP93" s="20">
        <f t="shared" si="12"/>
        <v>0</v>
      </c>
      <c r="AQ93" s="20">
        <f t="shared" si="12"/>
        <v>0.19535705734005654</v>
      </c>
      <c r="AR93" s="20">
        <f t="shared" si="12"/>
        <v>3.8210951137291341E-4</v>
      </c>
      <c r="AS93" s="20">
        <f t="shared" si="12"/>
        <v>0</v>
      </c>
      <c r="AT93" s="20">
        <f t="shared" si="12"/>
        <v>0</v>
      </c>
      <c r="AU93" s="20">
        <f t="shared" si="12"/>
        <v>0</v>
      </c>
      <c r="AV93" s="20">
        <f t="shared" si="12"/>
        <v>2.2333508788838067E-4</v>
      </c>
      <c r="AW93" s="20">
        <f t="shared" si="12"/>
        <v>4.8886181346537378E-4</v>
      </c>
      <c r="AX93" s="20">
        <f t="shared" si="12"/>
        <v>0</v>
      </c>
      <c r="AY93" s="20">
        <f t="shared" si="12"/>
        <v>1.1745073186487294E-4</v>
      </c>
      <c r="AZ93" s="20">
        <f t="shared" si="12"/>
        <v>4.2555967714876883E-3</v>
      </c>
      <c r="BA93" s="20">
        <f t="shared" si="12"/>
        <v>0</v>
      </c>
      <c r="BB93" s="20">
        <f t="shared" si="12"/>
        <v>3.4782477762176689E-4</v>
      </c>
      <c r="BC93" s="20">
        <f t="shared" si="12"/>
        <v>1.8939244481972205E-4</v>
      </c>
      <c r="BD93" s="20">
        <f t="shared" si="12"/>
        <v>1.3845816938520335E-2</v>
      </c>
      <c r="BE93" s="20">
        <f t="shared" si="12"/>
        <v>9.935401538684295E-4</v>
      </c>
      <c r="BF93" s="20">
        <f t="shared" si="12"/>
        <v>3.0165104980441645E-4</v>
      </c>
      <c r="BG93" s="20">
        <f t="shared" si="12"/>
        <v>0</v>
      </c>
      <c r="BH93" s="20">
        <f t="shared" si="12"/>
        <v>5.4277508707515163E-3</v>
      </c>
      <c r="BI93" s="20">
        <f t="shared" si="12"/>
        <v>2.4944184510448577E-3</v>
      </c>
      <c r="BJ93" s="20">
        <f t="shared" si="12"/>
        <v>1.2835610523365732E-2</v>
      </c>
      <c r="BK93" s="20">
        <f t="shared" si="12"/>
        <v>3.6020603577249302E-3</v>
      </c>
      <c r="BL93" s="20">
        <f t="shared" si="12"/>
        <v>4.2565689704433786E-2</v>
      </c>
      <c r="BM93" s="20">
        <f t="shared" si="12"/>
        <v>4.5898999194754408E-3</v>
      </c>
      <c r="BN93" s="20">
        <f t="shared" si="12"/>
        <v>5.401977247449459E-3</v>
      </c>
      <c r="BO93" s="20">
        <f t="shared" si="12"/>
        <v>2.2590003542299086E-3</v>
      </c>
      <c r="BP93" s="20">
        <f t="shared" si="12"/>
        <v>0</v>
      </c>
      <c r="BQ93" s="20">
        <f t="shared" si="12"/>
        <v>4.85915997019984E-4</v>
      </c>
      <c r="BR93" s="20">
        <f t="shared" si="12"/>
        <v>0</v>
      </c>
      <c r="BS93" s="20">
        <f t="shared" si="12"/>
        <v>1.5482155495271797E-2</v>
      </c>
      <c r="BT93" s="163">
        <f t="shared" si="2"/>
        <v>0.12400957184703616</v>
      </c>
      <c r="BU93" s="164"/>
      <c r="BV93" s="164">
        <f t="shared" si="3"/>
        <v>3.1279221422095662E-4</v>
      </c>
      <c r="BW93" s="162"/>
      <c r="BX93" s="163">
        <f t="shared" si="4"/>
        <v>0</v>
      </c>
      <c r="BY93" s="164"/>
      <c r="BZ93" s="164"/>
      <c r="CA93" s="164"/>
      <c r="CB93" s="165"/>
      <c r="CC93" s="166"/>
    </row>
    <row r="94" spans="1:83" x14ac:dyDescent="0.3">
      <c r="A94" s="7">
        <v>6</v>
      </c>
      <c r="B94" s="150" t="s">
        <v>120</v>
      </c>
      <c r="C94" s="150"/>
      <c r="D94" s="150"/>
      <c r="E94" s="150"/>
      <c r="F94" s="20">
        <f t="shared" ref="F94:AK94" si="13">IF(F12=".",0,F12/F$83)</f>
        <v>5.5310071002184053E-4</v>
      </c>
      <c r="G94" s="20">
        <f t="shared" si="13"/>
        <v>1.6706923644476664E-3</v>
      </c>
      <c r="H94" s="20">
        <f t="shared" si="13"/>
        <v>2.0597733217088056E-2</v>
      </c>
      <c r="I94" s="20">
        <f t="shared" si="13"/>
        <v>2.2213758382558057E-3</v>
      </c>
      <c r="J94" s="20">
        <f t="shared" si="13"/>
        <v>5.9923260423910547E-4</v>
      </c>
      <c r="K94" s="20">
        <f t="shared" si="13"/>
        <v>0.15356245067741225</v>
      </c>
      <c r="L94" s="20">
        <f t="shared" si="13"/>
        <v>5.5088470648084502E-5</v>
      </c>
      <c r="M94" s="20">
        <f t="shared" si="13"/>
        <v>1.4158569341389186E-3</v>
      </c>
      <c r="N94" s="20">
        <f t="shared" si="13"/>
        <v>3.506929360645047E-3</v>
      </c>
      <c r="O94" s="20">
        <f t="shared" si="13"/>
        <v>1.0327642993993929E-3</v>
      </c>
      <c r="P94" s="20">
        <f t="shared" si="13"/>
        <v>0</v>
      </c>
      <c r="Q94" s="20">
        <f t="shared" si="13"/>
        <v>1.1851483139043083E-5</v>
      </c>
      <c r="R94" s="20">
        <f t="shared" si="13"/>
        <v>4.1285171268642647E-3</v>
      </c>
      <c r="S94" s="20">
        <f t="shared" si="13"/>
        <v>1.1966302891058779E-3</v>
      </c>
      <c r="T94" s="20">
        <f t="shared" si="13"/>
        <v>4.299480134081917E-5</v>
      </c>
      <c r="U94" s="20">
        <f t="shared" si="13"/>
        <v>3.2625261004210968E-4</v>
      </c>
      <c r="V94" s="20">
        <f t="shared" si="13"/>
        <v>0</v>
      </c>
      <c r="W94" s="20">
        <f t="shared" si="13"/>
        <v>2.0334574179660964E-3</v>
      </c>
      <c r="X94" s="20">
        <f t="shared" si="13"/>
        <v>0</v>
      </c>
      <c r="Y94" s="20">
        <f t="shared" si="13"/>
        <v>8.8007894355931898E-3</v>
      </c>
      <c r="Z94" s="20">
        <f t="shared" si="13"/>
        <v>1.0564741203878685E-3</v>
      </c>
      <c r="AA94" s="20">
        <f t="shared" si="13"/>
        <v>3.8000301304612599E-2</v>
      </c>
      <c r="AB94" s="20">
        <f t="shared" si="13"/>
        <v>3.3774033652843333E-3</v>
      </c>
      <c r="AC94" s="20">
        <f t="shared" si="13"/>
        <v>0</v>
      </c>
      <c r="AD94" s="20">
        <f t="shared" si="13"/>
        <v>0</v>
      </c>
      <c r="AE94" s="20">
        <f t="shared" si="13"/>
        <v>0</v>
      </c>
      <c r="AF94" s="20">
        <f t="shared" si="13"/>
        <v>2.8578414733668775E-4</v>
      </c>
      <c r="AG94" s="20">
        <f t="shared" si="13"/>
        <v>2.9062767028909789E-4</v>
      </c>
      <c r="AH94" s="20">
        <f t="shared" si="13"/>
        <v>8.5018241704911584E-4</v>
      </c>
      <c r="AI94" s="20">
        <f t="shared" si="13"/>
        <v>1.4465701571196956E-3</v>
      </c>
      <c r="AJ94" s="20">
        <f t="shared" si="13"/>
        <v>1.9995250664865093E-3</v>
      </c>
      <c r="AK94" s="20">
        <f t="shared" si="13"/>
        <v>2.0602219853084114E-3</v>
      </c>
      <c r="AL94" s="20">
        <f t="shared" ref="AL94:BS94" si="14">IF(AL12=".",0,AL12/AL$83)</f>
        <v>1.8357606615344778E-4</v>
      </c>
      <c r="AM94" s="20">
        <f t="shared" si="14"/>
        <v>0</v>
      </c>
      <c r="AN94" s="20">
        <f t="shared" si="14"/>
        <v>5.8521769968524254E-4</v>
      </c>
      <c r="AO94" s="20">
        <f t="shared" si="14"/>
        <v>4.5249995625815863E-4</v>
      </c>
      <c r="AP94" s="20">
        <f t="shared" si="14"/>
        <v>7.7373772635736264E-4</v>
      </c>
      <c r="AQ94" s="20">
        <f t="shared" si="14"/>
        <v>4.8689478157735912E-3</v>
      </c>
      <c r="AR94" s="20">
        <f t="shared" si="14"/>
        <v>2.3387528188158003E-3</v>
      </c>
      <c r="AS94" s="20">
        <f t="shared" si="14"/>
        <v>2.8685627378234753E-3</v>
      </c>
      <c r="AT94" s="20">
        <f t="shared" si="14"/>
        <v>6.6591521305897782E-5</v>
      </c>
      <c r="AU94" s="20">
        <f t="shared" si="14"/>
        <v>2.7099313091324685E-4</v>
      </c>
      <c r="AV94" s="20">
        <f t="shared" si="14"/>
        <v>1.4858115805575531E-4</v>
      </c>
      <c r="AW94" s="20">
        <f t="shared" si="14"/>
        <v>1.5383763360798478E-4</v>
      </c>
      <c r="AX94" s="20">
        <f t="shared" si="14"/>
        <v>1.0509923995732971E-5</v>
      </c>
      <c r="AY94" s="20">
        <f t="shared" si="14"/>
        <v>4.3393202094921479E-4</v>
      </c>
      <c r="AZ94" s="20">
        <f t="shared" si="14"/>
        <v>1.2981687166636932E-3</v>
      </c>
      <c r="BA94" s="20">
        <f t="shared" si="14"/>
        <v>1.7579072462878432E-3</v>
      </c>
      <c r="BB94" s="20">
        <f t="shared" si="14"/>
        <v>5.7970796270294481E-5</v>
      </c>
      <c r="BC94" s="20">
        <f t="shared" si="14"/>
        <v>9.7737979856965668E-3</v>
      </c>
      <c r="BD94" s="20">
        <f t="shared" si="14"/>
        <v>1.0584985765652484E-2</v>
      </c>
      <c r="BE94" s="20">
        <f t="shared" si="14"/>
        <v>1.9015264806712031E-2</v>
      </c>
      <c r="BF94" s="20">
        <f t="shared" si="14"/>
        <v>1.7844422491676843E-3</v>
      </c>
      <c r="BG94" s="20">
        <f t="shared" si="14"/>
        <v>1.4968911589795422E-3</v>
      </c>
      <c r="BH94" s="20">
        <f t="shared" si="14"/>
        <v>3.7898612908110812E-3</v>
      </c>
      <c r="BI94" s="20">
        <f t="shared" si="14"/>
        <v>1.554082647821448E-3</v>
      </c>
      <c r="BJ94" s="20">
        <f t="shared" si="14"/>
        <v>7.5860690195348119E-4</v>
      </c>
      <c r="BK94" s="20">
        <f t="shared" si="14"/>
        <v>2.8164264055018148E-3</v>
      </c>
      <c r="BL94" s="20">
        <f t="shared" si="14"/>
        <v>4.1328919054459869E-3</v>
      </c>
      <c r="BM94" s="20">
        <f t="shared" si="14"/>
        <v>7.2301852064879787E-3</v>
      </c>
      <c r="BN94" s="20">
        <f t="shared" si="14"/>
        <v>4.5237507227686409E-3</v>
      </c>
      <c r="BO94" s="20">
        <f t="shared" si="14"/>
        <v>7.9813827521421936E-4</v>
      </c>
      <c r="BP94" s="20">
        <f t="shared" si="14"/>
        <v>2.3255742005742007E-2</v>
      </c>
      <c r="BQ94" s="20">
        <f t="shared" si="14"/>
        <v>1.7151221695645202E-2</v>
      </c>
      <c r="BR94" s="20">
        <f t="shared" si="14"/>
        <v>0</v>
      </c>
      <c r="BS94" s="20">
        <f t="shared" si="14"/>
        <v>7.8352156545540268E-3</v>
      </c>
      <c r="BT94" s="163">
        <f t="shared" si="2"/>
        <v>2.9712190096945878E-2</v>
      </c>
      <c r="BU94" s="164"/>
      <c r="BV94" s="164">
        <f t="shared" si="3"/>
        <v>6.1121089744700567E-6</v>
      </c>
      <c r="BW94" s="162"/>
      <c r="BX94" s="163">
        <f t="shared" si="4"/>
        <v>0</v>
      </c>
      <c r="BY94" s="164"/>
      <c r="BZ94" s="164"/>
      <c r="CA94" s="164"/>
      <c r="CB94" s="165"/>
      <c r="CC94" s="166"/>
    </row>
    <row r="95" spans="1:83" x14ac:dyDescent="0.3">
      <c r="A95" s="7">
        <v>7</v>
      </c>
      <c r="B95" s="150" t="s">
        <v>121</v>
      </c>
      <c r="C95" s="150"/>
      <c r="D95" s="150"/>
      <c r="E95" s="150"/>
      <c r="F95" s="20">
        <f t="shared" ref="F95:AK95" si="15">IF(F13=".",0,F13/F$83)</f>
        <v>2.4334877950879014E-5</v>
      </c>
      <c r="G95" s="20">
        <f t="shared" si="15"/>
        <v>0</v>
      </c>
      <c r="H95" s="20">
        <f t="shared" si="15"/>
        <v>1.952920662598082E-5</v>
      </c>
      <c r="I95" s="20">
        <f t="shared" si="15"/>
        <v>3.0253678304300652E-3</v>
      </c>
      <c r="J95" s="20">
        <f t="shared" si="15"/>
        <v>1.0324383007980318E-3</v>
      </c>
      <c r="K95" s="20">
        <f t="shared" si="15"/>
        <v>6.7335534392857751E-4</v>
      </c>
      <c r="L95" s="20">
        <f t="shared" si="15"/>
        <v>0.20863008877858433</v>
      </c>
      <c r="M95" s="20">
        <f t="shared" si="15"/>
        <v>7.8933768876922783E-4</v>
      </c>
      <c r="N95" s="20">
        <f t="shared" si="15"/>
        <v>1.5375539517624847E-3</v>
      </c>
      <c r="O95" s="20">
        <f t="shared" si="15"/>
        <v>0</v>
      </c>
      <c r="P95" s="20">
        <f t="shared" si="15"/>
        <v>5.3789062483840526E-4</v>
      </c>
      <c r="Q95" s="20">
        <f t="shared" si="15"/>
        <v>0</v>
      </c>
      <c r="R95" s="20">
        <f t="shared" si="15"/>
        <v>3.1145766021153194E-3</v>
      </c>
      <c r="S95" s="20">
        <f t="shared" si="15"/>
        <v>1.2468768544792789E-2</v>
      </c>
      <c r="T95" s="20">
        <f t="shared" si="15"/>
        <v>6.8977271215846589E-5</v>
      </c>
      <c r="U95" s="20">
        <f t="shared" si="15"/>
        <v>5.106082624110373E-4</v>
      </c>
      <c r="V95" s="20">
        <f t="shared" si="15"/>
        <v>2.9132263202261339E-4</v>
      </c>
      <c r="W95" s="20">
        <f t="shared" si="15"/>
        <v>1.1376142217997354E-3</v>
      </c>
      <c r="X95" s="20">
        <f t="shared" si="15"/>
        <v>4.9456249392969222E-4</v>
      </c>
      <c r="Y95" s="20">
        <f t="shared" si="15"/>
        <v>2.5218214916993345E-3</v>
      </c>
      <c r="Z95" s="20">
        <f t="shared" si="15"/>
        <v>2.8395077545947819E-3</v>
      </c>
      <c r="AA95" s="20">
        <f t="shared" si="15"/>
        <v>0.10138703183734886</v>
      </c>
      <c r="AB95" s="20">
        <f t="shared" si="15"/>
        <v>0</v>
      </c>
      <c r="AC95" s="20">
        <f t="shared" si="15"/>
        <v>1.5552723974400731E-2</v>
      </c>
      <c r="AD95" s="20">
        <f t="shared" si="15"/>
        <v>0</v>
      </c>
      <c r="AE95" s="20">
        <f t="shared" si="15"/>
        <v>9.4339244988449478E-2</v>
      </c>
      <c r="AF95" s="20">
        <f t="shared" si="15"/>
        <v>8.0060829723202064E-4</v>
      </c>
      <c r="AG95" s="20">
        <f t="shared" si="15"/>
        <v>3.8200148143475749E-4</v>
      </c>
      <c r="AH95" s="20">
        <f t="shared" si="15"/>
        <v>5.5225345013767885E-2</v>
      </c>
      <c r="AI95" s="20">
        <f t="shared" si="15"/>
        <v>4.746957527249018E-4</v>
      </c>
      <c r="AJ95" s="20">
        <f t="shared" si="15"/>
        <v>4.5204133570808059E-3</v>
      </c>
      <c r="AK95" s="20">
        <f t="shared" si="15"/>
        <v>9.7384944617962281E-4</v>
      </c>
      <c r="AL95" s="20">
        <f t="shared" ref="AL95:BS95" si="16">IF(AL13=".",0,AL13/AL$83)</f>
        <v>1.125426520208239E-3</v>
      </c>
      <c r="AM95" s="20">
        <f t="shared" si="16"/>
        <v>0</v>
      </c>
      <c r="AN95" s="20">
        <f t="shared" si="16"/>
        <v>0</v>
      </c>
      <c r="AO95" s="20">
        <f t="shared" si="16"/>
        <v>2.928180834246545E-3</v>
      </c>
      <c r="AP95" s="20">
        <f t="shared" si="16"/>
        <v>0</v>
      </c>
      <c r="AQ95" s="20">
        <f t="shared" si="16"/>
        <v>3.7159924552925672E-4</v>
      </c>
      <c r="AR95" s="20">
        <f t="shared" si="16"/>
        <v>8.8127796829340192E-4</v>
      </c>
      <c r="AS95" s="20">
        <f t="shared" si="16"/>
        <v>2.9956744839151612E-4</v>
      </c>
      <c r="AT95" s="20">
        <f t="shared" si="16"/>
        <v>1.7504057028978846E-4</v>
      </c>
      <c r="AU95" s="20">
        <f t="shared" si="16"/>
        <v>3.4463256866141179E-4</v>
      </c>
      <c r="AV95" s="20">
        <f t="shared" si="16"/>
        <v>0</v>
      </c>
      <c r="AW95" s="20">
        <f t="shared" si="16"/>
        <v>0</v>
      </c>
      <c r="AX95" s="20">
        <f t="shared" si="16"/>
        <v>0</v>
      </c>
      <c r="AY95" s="20">
        <f t="shared" si="16"/>
        <v>4.3330642426746028E-3</v>
      </c>
      <c r="AZ95" s="20">
        <f t="shared" si="16"/>
        <v>2.1497673947950759E-3</v>
      </c>
      <c r="BA95" s="20">
        <f t="shared" si="16"/>
        <v>3.5865444861632781E-4</v>
      </c>
      <c r="BB95" s="20">
        <f t="shared" si="16"/>
        <v>0</v>
      </c>
      <c r="BC95" s="20">
        <f t="shared" si="16"/>
        <v>1.2156268854053751E-3</v>
      </c>
      <c r="BD95" s="20">
        <f t="shared" si="16"/>
        <v>2.8567593724171548E-3</v>
      </c>
      <c r="BE95" s="20">
        <f t="shared" si="16"/>
        <v>4.0813322907339987E-4</v>
      </c>
      <c r="BF95" s="20">
        <f t="shared" si="16"/>
        <v>5.7849097430024462E-4</v>
      </c>
      <c r="BG95" s="20">
        <f t="shared" si="16"/>
        <v>0</v>
      </c>
      <c r="BH95" s="20">
        <f t="shared" si="16"/>
        <v>0</v>
      </c>
      <c r="BI95" s="20">
        <f t="shared" si="16"/>
        <v>3.4886971343284727E-5</v>
      </c>
      <c r="BJ95" s="20">
        <f t="shared" si="16"/>
        <v>1.6762839033839709E-4</v>
      </c>
      <c r="BK95" s="20">
        <f t="shared" si="16"/>
        <v>6.6856141925189467E-5</v>
      </c>
      <c r="BL95" s="20">
        <f t="shared" si="16"/>
        <v>2.7172990047892392E-4</v>
      </c>
      <c r="BM95" s="20">
        <f t="shared" si="16"/>
        <v>1.0118486138272174E-3</v>
      </c>
      <c r="BN95" s="20">
        <f t="shared" si="16"/>
        <v>9.9610927967153142E-5</v>
      </c>
      <c r="BO95" s="20">
        <f t="shared" si="16"/>
        <v>0</v>
      </c>
      <c r="BP95" s="20">
        <f t="shared" si="16"/>
        <v>1.423126423126423E-4</v>
      </c>
      <c r="BQ95" s="20">
        <f t="shared" si="16"/>
        <v>3.8933767230107433E-3</v>
      </c>
      <c r="BR95" s="20">
        <f t="shared" si="16"/>
        <v>0</v>
      </c>
      <c r="BS95" s="20">
        <f t="shared" si="16"/>
        <v>1.8318373391356273E-2</v>
      </c>
      <c r="BT95" s="163">
        <f t="shared" si="2"/>
        <v>1.0469468544047266E-3</v>
      </c>
      <c r="BU95" s="164"/>
      <c r="BV95" s="164">
        <f t="shared" si="3"/>
        <v>0</v>
      </c>
      <c r="BW95" s="162"/>
      <c r="BX95" s="163">
        <f t="shared" si="4"/>
        <v>3.910756535851861E-5</v>
      </c>
      <c r="BY95" s="164"/>
      <c r="BZ95" s="164"/>
      <c r="CA95" s="164"/>
      <c r="CB95" s="165"/>
      <c r="CC95" s="166"/>
    </row>
    <row r="96" spans="1:83" x14ac:dyDescent="0.3">
      <c r="A96" s="7">
        <v>8</v>
      </c>
      <c r="B96" s="150" t="s">
        <v>122</v>
      </c>
      <c r="C96" s="150"/>
      <c r="D96" s="150"/>
      <c r="E96" s="150"/>
      <c r="F96" s="20">
        <f t="shared" ref="F96:AK96" si="17">IF(F14=".",0,F14/F$83)</f>
        <v>4.9058078422250769E-4</v>
      </c>
      <c r="G96" s="20">
        <f t="shared" si="17"/>
        <v>5.9659078730454798E-4</v>
      </c>
      <c r="H96" s="20">
        <f t="shared" si="17"/>
        <v>6.7096774193548382E-4</v>
      </c>
      <c r="I96" s="20">
        <f t="shared" si="17"/>
        <v>1.1884671851732742E-3</v>
      </c>
      <c r="J96" s="20">
        <f t="shared" si="17"/>
        <v>1.2023488500483166E-2</v>
      </c>
      <c r="K96" s="20">
        <f t="shared" si="17"/>
        <v>3.1851451770923489E-3</v>
      </c>
      <c r="L96" s="20">
        <f t="shared" si="17"/>
        <v>5.2822211066827903E-3</v>
      </c>
      <c r="M96" s="20">
        <f t="shared" si="17"/>
        <v>6.7332827184044805E-2</v>
      </c>
      <c r="N96" s="20">
        <f t="shared" si="17"/>
        <v>0.27849321786299702</v>
      </c>
      <c r="O96" s="20">
        <f t="shared" si="17"/>
        <v>2.1634770628377068E-4</v>
      </c>
      <c r="P96" s="20">
        <f t="shared" si="17"/>
        <v>1.2152956609259951E-3</v>
      </c>
      <c r="Q96" s="20">
        <f t="shared" si="17"/>
        <v>1.4681024738489616E-3</v>
      </c>
      <c r="R96" s="20">
        <f t="shared" si="17"/>
        <v>4.6953449348941714E-3</v>
      </c>
      <c r="S96" s="20">
        <f t="shared" si="17"/>
        <v>3.5806035874618868E-3</v>
      </c>
      <c r="T96" s="20">
        <f t="shared" si="17"/>
        <v>1.2898440402245754E-4</v>
      </c>
      <c r="U96" s="20">
        <f t="shared" si="17"/>
        <v>0</v>
      </c>
      <c r="V96" s="20">
        <f t="shared" si="17"/>
        <v>1.0210207034434123E-3</v>
      </c>
      <c r="W96" s="20">
        <f t="shared" si="17"/>
        <v>1.6307446717850793E-3</v>
      </c>
      <c r="X96" s="20">
        <f t="shared" si="17"/>
        <v>5.2947979771798142E-4</v>
      </c>
      <c r="Y96" s="20">
        <f t="shared" si="17"/>
        <v>6.4348850771807819E-4</v>
      </c>
      <c r="Z96" s="20">
        <f t="shared" si="17"/>
        <v>2.3809371283122253E-4</v>
      </c>
      <c r="AA96" s="20">
        <f t="shared" si="17"/>
        <v>8.6759966013809694E-3</v>
      </c>
      <c r="AB96" s="20">
        <f t="shared" si="17"/>
        <v>9.9282840732222593E-4</v>
      </c>
      <c r="AC96" s="20">
        <f t="shared" si="17"/>
        <v>2.7530898617186622E-4</v>
      </c>
      <c r="AD96" s="20">
        <f t="shared" si="17"/>
        <v>4.2482601400451088E-4</v>
      </c>
      <c r="AE96" s="20">
        <f t="shared" si="17"/>
        <v>2.3871449919616546E-3</v>
      </c>
      <c r="AF96" s="20">
        <f t="shared" si="17"/>
        <v>1.5578847020880814E-4</v>
      </c>
      <c r="AG96" s="20">
        <f t="shared" si="17"/>
        <v>2.3724767932626258E-3</v>
      </c>
      <c r="AH96" s="20">
        <f t="shared" si="17"/>
        <v>8.9651534113259547E-5</v>
      </c>
      <c r="AI96" s="20">
        <f t="shared" si="17"/>
        <v>2.1537595239348346E-4</v>
      </c>
      <c r="AJ96" s="20">
        <f t="shared" si="17"/>
        <v>9.9924863940631155E-3</v>
      </c>
      <c r="AK96" s="20">
        <f t="shared" si="17"/>
        <v>4.5227426002559454E-3</v>
      </c>
      <c r="AL96" s="20">
        <f t="shared" ref="AL96:BS96" si="18">IF(AL14=".",0,AL14/AL$83)</f>
        <v>1.5967902251006507E-4</v>
      </c>
      <c r="AM96" s="20">
        <f t="shared" si="18"/>
        <v>0</v>
      </c>
      <c r="AN96" s="20">
        <f t="shared" si="18"/>
        <v>0</v>
      </c>
      <c r="AO96" s="20">
        <f t="shared" si="18"/>
        <v>3.9517935926092066E-4</v>
      </c>
      <c r="AP96" s="20">
        <f t="shared" si="18"/>
        <v>3.6615770181659029E-3</v>
      </c>
      <c r="AQ96" s="20">
        <f t="shared" si="18"/>
        <v>4.8474185142191413E-3</v>
      </c>
      <c r="AR96" s="20">
        <f t="shared" si="18"/>
        <v>2.2936881573951531E-2</v>
      </c>
      <c r="AS96" s="20">
        <f t="shared" si="18"/>
        <v>6.1251508058215694E-4</v>
      </c>
      <c r="AT96" s="20">
        <f t="shared" si="18"/>
        <v>6.1359330346148677E-5</v>
      </c>
      <c r="AU96" s="20">
        <f t="shared" si="18"/>
        <v>9.8213970116695364E-4</v>
      </c>
      <c r="AV96" s="20">
        <f t="shared" si="18"/>
        <v>2.6020236691947089E-3</v>
      </c>
      <c r="AW96" s="20">
        <f t="shared" si="18"/>
        <v>3.4828840248847751E-3</v>
      </c>
      <c r="AX96" s="20">
        <f t="shared" si="18"/>
        <v>3.8723231077611706E-3</v>
      </c>
      <c r="AY96" s="20">
        <f t="shared" si="18"/>
        <v>4.7923732903111163E-4</v>
      </c>
      <c r="AZ96" s="20">
        <f t="shared" si="18"/>
        <v>4.5668909724681718E-4</v>
      </c>
      <c r="BA96" s="20">
        <f t="shared" si="18"/>
        <v>2.2139822521097222E-3</v>
      </c>
      <c r="BB96" s="20">
        <f t="shared" si="18"/>
        <v>7.1823557976442777E-4</v>
      </c>
      <c r="BC96" s="20">
        <f t="shared" si="18"/>
        <v>3.0647141070827754E-3</v>
      </c>
      <c r="BD96" s="20">
        <f t="shared" si="18"/>
        <v>1.4375631362188206E-2</v>
      </c>
      <c r="BE96" s="20">
        <f t="shared" si="18"/>
        <v>1.4455330240158142E-3</v>
      </c>
      <c r="BF96" s="20">
        <f t="shared" si="18"/>
        <v>4.03507248439674E-4</v>
      </c>
      <c r="BG96" s="20">
        <f t="shared" si="18"/>
        <v>4.9576764459043614E-3</v>
      </c>
      <c r="BH96" s="20">
        <f t="shared" si="18"/>
        <v>1.6492604921904679E-2</v>
      </c>
      <c r="BI96" s="20">
        <f t="shared" si="18"/>
        <v>7.3123385103351197E-4</v>
      </c>
      <c r="BJ96" s="20">
        <f t="shared" si="18"/>
        <v>4.3460142099579257E-3</v>
      </c>
      <c r="BK96" s="20">
        <f t="shared" si="18"/>
        <v>3.031108905683812E-3</v>
      </c>
      <c r="BL96" s="20">
        <f t="shared" si="18"/>
        <v>3.8741490957987755E-3</v>
      </c>
      <c r="BM96" s="20">
        <f t="shared" si="18"/>
        <v>1.3399286782468654E-3</v>
      </c>
      <c r="BN96" s="20">
        <f t="shared" si="18"/>
        <v>1.1576086540088094E-3</v>
      </c>
      <c r="BO96" s="20">
        <f t="shared" si="18"/>
        <v>9.7928876015048057E-4</v>
      </c>
      <c r="BP96" s="20">
        <f t="shared" si="18"/>
        <v>8.8110088110088108E-3</v>
      </c>
      <c r="BQ96" s="20">
        <f t="shared" si="18"/>
        <v>4.9508992974380524E-3</v>
      </c>
      <c r="BR96" s="20">
        <f t="shared" si="18"/>
        <v>0</v>
      </c>
      <c r="BS96" s="20">
        <f t="shared" si="18"/>
        <v>6.3450577928681317E-3</v>
      </c>
      <c r="BT96" s="163">
        <f t="shared" si="2"/>
        <v>2.01053609392945E-3</v>
      </c>
      <c r="BU96" s="164"/>
      <c r="BV96" s="164">
        <f t="shared" si="3"/>
        <v>0</v>
      </c>
      <c r="BW96" s="162"/>
      <c r="BX96" s="163">
        <f t="shared" si="4"/>
        <v>0</v>
      </c>
      <c r="BY96" s="164"/>
      <c r="BZ96" s="164"/>
      <c r="CA96" s="164"/>
      <c r="CB96" s="165"/>
      <c r="CC96" s="166"/>
    </row>
    <row r="97" spans="1:81" x14ac:dyDescent="0.3">
      <c r="A97" s="7">
        <v>9</v>
      </c>
      <c r="B97" s="150" t="s">
        <v>123</v>
      </c>
      <c r="C97" s="150"/>
      <c r="D97" s="150"/>
      <c r="E97" s="150"/>
      <c r="F97" s="20">
        <f t="shared" ref="F97:AK97" si="19">IF(F15=".",0,F15/F$83)</f>
        <v>7.0545257889516284E-5</v>
      </c>
      <c r="G97" s="20">
        <f t="shared" si="19"/>
        <v>1.4649221288264569E-3</v>
      </c>
      <c r="H97" s="20">
        <f t="shared" si="19"/>
        <v>7.8674803836094158E-4</v>
      </c>
      <c r="I97" s="20">
        <f t="shared" si="19"/>
        <v>0</v>
      </c>
      <c r="J97" s="20">
        <f t="shared" si="19"/>
        <v>2.5570998677691419E-3</v>
      </c>
      <c r="K97" s="20">
        <f t="shared" si="19"/>
        <v>2.0579236600925194E-3</v>
      </c>
      <c r="L97" s="20">
        <f t="shared" si="19"/>
        <v>1.8060554848960486E-3</v>
      </c>
      <c r="M97" s="20">
        <f t="shared" si="19"/>
        <v>7.2604776092740145E-4</v>
      </c>
      <c r="N97" s="20">
        <f t="shared" si="19"/>
        <v>6.287952855257388E-2</v>
      </c>
      <c r="O97" s="20">
        <f t="shared" si="19"/>
        <v>0</v>
      </c>
      <c r="P97" s="20">
        <f t="shared" si="19"/>
        <v>3.0746949195242817E-4</v>
      </c>
      <c r="Q97" s="20">
        <f t="shared" si="19"/>
        <v>0</v>
      </c>
      <c r="R97" s="20">
        <f t="shared" si="19"/>
        <v>0</v>
      </c>
      <c r="S97" s="20">
        <f t="shared" si="19"/>
        <v>4.8603431245076555E-4</v>
      </c>
      <c r="T97" s="20">
        <f t="shared" si="19"/>
        <v>0</v>
      </c>
      <c r="U97" s="20">
        <f t="shared" si="19"/>
        <v>2.2239864281631581E-4</v>
      </c>
      <c r="V97" s="20">
        <f t="shared" si="19"/>
        <v>5.6995486280312599E-5</v>
      </c>
      <c r="W97" s="20">
        <f t="shared" si="19"/>
        <v>0</v>
      </c>
      <c r="X97" s="20">
        <f t="shared" si="19"/>
        <v>3.1628165274443458E-4</v>
      </c>
      <c r="Y97" s="20">
        <f t="shared" si="19"/>
        <v>2.5345543238475737E-5</v>
      </c>
      <c r="Z97" s="20">
        <f t="shared" si="19"/>
        <v>0</v>
      </c>
      <c r="AA97" s="20">
        <f t="shared" si="19"/>
        <v>0</v>
      </c>
      <c r="AB97" s="20">
        <f t="shared" si="19"/>
        <v>0</v>
      </c>
      <c r="AC97" s="20">
        <f t="shared" si="19"/>
        <v>0</v>
      </c>
      <c r="AD97" s="20">
        <f t="shared" si="19"/>
        <v>0</v>
      </c>
      <c r="AE97" s="20">
        <f t="shared" si="19"/>
        <v>0</v>
      </c>
      <c r="AF97" s="20">
        <f t="shared" si="19"/>
        <v>0</v>
      </c>
      <c r="AG97" s="20">
        <f t="shared" si="19"/>
        <v>0</v>
      </c>
      <c r="AH97" s="20">
        <f t="shared" si="19"/>
        <v>0</v>
      </c>
      <c r="AI97" s="20">
        <f t="shared" si="19"/>
        <v>2.6810856991900541E-3</v>
      </c>
      <c r="AJ97" s="20">
        <f t="shared" si="19"/>
        <v>5.209987180141421E-3</v>
      </c>
      <c r="AK97" s="20">
        <f t="shared" si="19"/>
        <v>9.1057468754061812E-4</v>
      </c>
      <c r="AL97" s="20">
        <f t="shared" ref="AL97:BS97" si="20">IF(AL15=".",0,AL15/AL$83)</f>
        <v>0</v>
      </c>
      <c r="AM97" s="20">
        <f t="shared" si="20"/>
        <v>0</v>
      </c>
      <c r="AN97" s="20">
        <f t="shared" si="20"/>
        <v>0</v>
      </c>
      <c r="AO97" s="20">
        <f t="shared" si="20"/>
        <v>1.7695319129203523E-4</v>
      </c>
      <c r="AP97" s="20">
        <f t="shared" si="20"/>
        <v>6.0062367950063957E-3</v>
      </c>
      <c r="AQ97" s="20">
        <f t="shared" si="20"/>
        <v>7.6035191831327908E-4</v>
      </c>
      <c r="AR97" s="20">
        <f t="shared" si="20"/>
        <v>0.18079056638333954</v>
      </c>
      <c r="AS97" s="20">
        <f t="shared" si="20"/>
        <v>9.0910915479608979E-3</v>
      </c>
      <c r="AT97" s="20">
        <f t="shared" si="20"/>
        <v>5.9893127743109887E-3</v>
      </c>
      <c r="AU97" s="20">
        <f t="shared" si="20"/>
        <v>8.1316875129395019E-3</v>
      </c>
      <c r="AV97" s="20">
        <f t="shared" si="20"/>
        <v>3.1906336414925084E-3</v>
      </c>
      <c r="AW97" s="20">
        <f t="shared" si="20"/>
        <v>2.9782965866505849E-3</v>
      </c>
      <c r="AX97" s="20">
        <f t="shared" si="20"/>
        <v>2.9894894921196008E-3</v>
      </c>
      <c r="AY97" s="20">
        <f t="shared" si="20"/>
        <v>0</v>
      </c>
      <c r="AZ97" s="20">
        <f t="shared" si="20"/>
        <v>1.5684541007485441E-4</v>
      </c>
      <c r="BA97" s="20">
        <f t="shared" si="20"/>
        <v>3.6923058444994416E-3</v>
      </c>
      <c r="BB97" s="20">
        <f t="shared" si="20"/>
        <v>4.3568441300804433E-3</v>
      </c>
      <c r="BC97" s="20">
        <f t="shared" si="20"/>
        <v>5.8852267436479998E-2</v>
      </c>
      <c r="BD97" s="20">
        <f t="shared" si="20"/>
        <v>2.3727209149541888E-2</v>
      </c>
      <c r="BE97" s="20">
        <f t="shared" si="20"/>
        <v>1.0001466270009125E-4</v>
      </c>
      <c r="BF97" s="20">
        <f t="shared" si="20"/>
        <v>1.7628957456102264E-5</v>
      </c>
      <c r="BG97" s="20">
        <f t="shared" si="20"/>
        <v>1.0689179067437935E-2</v>
      </c>
      <c r="BH97" s="20">
        <f t="shared" si="20"/>
        <v>2.6453311512517302E-3</v>
      </c>
      <c r="BI97" s="20">
        <f t="shared" si="20"/>
        <v>6.3800648223380995E-4</v>
      </c>
      <c r="BJ97" s="20">
        <f t="shared" si="20"/>
        <v>1.7538790738605605E-3</v>
      </c>
      <c r="BK97" s="20">
        <f t="shared" si="20"/>
        <v>1.4307214371990544E-4</v>
      </c>
      <c r="BL97" s="20">
        <f t="shared" si="20"/>
        <v>7.9920558964389403E-5</v>
      </c>
      <c r="BM97" s="20">
        <f t="shared" si="20"/>
        <v>1.3440699413321065E-3</v>
      </c>
      <c r="BN97" s="20">
        <f t="shared" si="20"/>
        <v>4.0875845293030007E-3</v>
      </c>
      <c r="BO97" s="20">
        <f t="shared" si="20"/>
        <v>4.0120348490487352E-2</v>
      </c>
      <c r="BP97" s="20">
        <f t="shared" si="20"/>
        <v>5.0335362835362838E-3</v>
      </c>
      <c r="BQ97" s="20">
        <f t="shared" si="20"/>
        <v>2.7380660744943499E-3</v>
      </c>
      <c r="BR97" s="20">
        <f t="shared" si="20"/>
        <v>0</v>
      </c>
      <c r="BS97" s="20">
        <f t="shared" si="20"/>
        <v>3.7035657714590848E-3</v>
      </c>
      <c r="BT97" s="163">
        <f t="shared" si="2"/>
        <v>5.2192414669518681E-4</v>
      </c>
      <c r="BU97" s="164"/>
      <c r="BV97" s="164">
        <f t="shared" si="3"/>
        <v>0</v>
      </c>
      <c r="BW97" s="162"/>
      <c r="BX97" s="163">
        <f t="shared" si="4"/>
        <v>0</v>
      </c>
      <c r="BY97" s="164"/>
      <c r="BZ97" s="164"/>
      <c r="CA97" s="164"/>
      <c r="CB97" s="165"/>
      <c r="CC97" s="166"/>
    </row>
    <row r="98" spans="1:81" x14ac:dyDescent="0.3">
      <c r="A98" s="7">
        <v>10</v>
      </c>
      <c r="B98" s="150" t="s">
        <v>124</v>
      </c>
      <c r="C98" s="150"/>
      <c r="D98" s="150"/>
      <c r="E98" s="150"/>
      <c r="F98" s="20">
        <f t="shared" ref="F98:AK98" si="21">IF(F16=".",0,F16/F$83)</f>
        <v>3.4214450076415402E-2</v>
      </c>
      <c r="G98" s="20">
        <f t="shared" si="21"/>
        <v>3.8052965830232884E-2</v>
      </c>
      <c r="H98" s="20">
        <f t="shared" si="21"/>
        <v>9.6525893635571056E-2</v>
      </c>
      <c r="I98" s="20">
        <f t="shared" si="21"/>
        <v>4.4172073280840787E-2</v>
      </c>
      <c r="J98" s="20">
        <f t="shared" si="21"/>
        <v>4.1186289573766155E-3</v>
      </c>
      <c r="K98" s="20">
        <f t="shared" si="21"/>
        <v>1.1444488647124687E-3</v>
      </c>
      <c r="L98" s="20">
        <f t="shared" si="21"/>
        <v>3.9012309817256655E-3</v>
      </c>
      <c r="M98" s="20">
        <f t="shared" si="21"/>
        <v>1.6274188300295395E-3</v>
      </c>
      <c r="N98" s="20">
        <f t="shared" si="21"/>
        <v>1.6225704211114556E-3</v>
      </c>
      <c r="O98" s="20">
        <f t="shared" si="21"/>
        <v>8.0646029319957797E-3</v>
      </c>
      <c r="P98" s="20">
        <f t="shared" si="21"/>
        <v>4.3822417700976248E-3</v>
      </c>
      <c r="Q98" s="20">
        <f t="shared" si="21"/>
        <v>7.8516075796160423E-5</v>
      </c>
      <c r="R98" s="20">
        <f t="shared" si="21"/>
        <v>1.4967693460579674E-3</v>
      </c>
      <c r="S98" s="20">
        <f t="shared" si="21"/>
        <v>5.2756512288261925E-3</v>
      </c>
      <c r="T98" s="20">
        <f t="shared" si="21"/>
        <v>1.3235593880385988E-3</v>
      </c>
      <c r="U98" s="20">
        <f t="shared" si="21"/>
        <v>2.1719320684661738E-3</v>
      </c>
      <c r="V98" s="20">
        <f t="shared" si="21"/>
        <v>0</v>
      </c>
      <c r="W98" s="20">
        <f t="shared" si="21"/>
        <v>1.9320175361955331E-4</v>
      </c>
      <c r="X98" s="20">
        <f t="shared" si="21"/>
        <v>9.9210427999149109E-4</v>
      </c>
      <c r="Y98" s="20">
        <f t="shared" si="21"/>
        <v>3.3225484643423643E-4</v>
      </c>
      <c r="Z98" s="20">
        <f t="shared" si="21"/>
        <v>6.5342310427223395E-4</v>
      </c>
      <c r="AA98" s="20">
        <f t="shared" si="21"/>
        <v>9.4810922261894335E-3</v>
      </c>
      <c r="AB98" s="20">
        <f t="shared" si="21"/>
        <v>5.4523991993670135E-3</v>
      </c>
      <c r="AC98" s="20">
        <f t="shared" si="21"/>
        <v>3.7350997038753087E-3</v>
      </c>
      <c r="AD98" s="20">
        <f t="shared" si="21"/>
        <v>0</v>
      </c>
      <c r="AE98" s="20">
        <f t="shared" si="21"/>
        <v>8.3243798087036192E-2</v>
      </c>
      <c r="AF98" s="20">
        <f t="shared" si="21"/>
        <v>5.6187020447494643E-3</v>
      </c>
      <c r="AG98" s="20">
        <f t="shared" si="21"/>
        <v>8.7928134202779704E-3</v>
      </c>
      <c r="AH98" s="20">
        <f t="shared" si="21"/>
        <v>2.4758554659747876E-2</v>
      </c>
      <c r="AI98" s="20">
        <f t="shared" si="21"/>
        <v>9.4389852445756189E-3</v>
      </c>
      <c r="AJ98" s="20">
        <f t="shared" si="21"/>
        <v>8.6326993994732225E-3</v>
      </c>
      <c r="AK98" s="20">
        <f t="shared" si="21"/>
        <v>3.6428182473598374E-3</v>
      </c>
      <c r="AL98" s="20">
        <f t="shared" ref="AL98:BS98" si="22">IF(AL16=".",0,AL16/AL$83)</f>
        <v>9.4703691640149093E-2</v>
      </c>
      <c r="AM98" s="20">
        <f t="shared" si="22"/>
        <v>0.18179633268461837</v>
      </c>
      <c r="AN98" s="20">
        <f t="shared" si="22"/>
        <v>0.11606601203690832</v>
      </c>
      <c r="AO98" s="20">
        <f t="shared" si="22"/>
        <v>5.2639951618839928E-3</v>
      </c>
      <c r="AP98" s="20">
        <f t="shared" si="22"/>
        <v>6.7630408674199099E-3</v>
      </c>
      <c r="AQ98" s="20">
        <f t="shared" si="22"/>
        <v>1.4865720170890145E-3</v>
      </c>
      <c r="AR98" s="20">
        <f t="shared" si="22"/>
        <v>1.6855275112782958E-3</v>
      </c>
      <c r="AS98" s="20">
        <f t="shared" si="22"/>
        <v>1.4844570581584555E-3</v>
      </c>
      <c r="AT98" s="20">
        <f t="shared" si="22"/>
        <v>6.8815202463791154E-4</v>
      </c>
      <c r="AU98" s="20">
        <f t="shared" si="22"/>
        <v>1.9329300416925457E-3</v>
      </c>
      <c r="AV98" s="20">
        <f t="shared" si="22"/>
        <v>5.2157855587763589E-4</v>
      </c>
      <c r="AW98" s="20">
        <f t="shared" si="22"/>
        <v>9.3259792107240548E-4</v>
      </c>
      <c r="AX98" s="20">
        <f t="shared" si="22"/>
        <v>1.6161927566771591E-3</v>
      </c>
      <c r="AY98" s="20">
        <f t="shared" si="22"/>
        <v>1.1394436336632969E-3</v>
      </c>
      <c r="AZ98" s="20">
        <f t="shared" si="22"/>
        <v>1.8865387227084993E-3</v>
      </c>
      <c r="BA98" s="20">
        <f t="shared" si="22"/>
        <v>6.1221480298694099E-3</v>
      </c>
      <c r="BB98" s="20">
        <f t="shared" si="22"/>
        <v>2.1750341613620875E-3</v>
      </c>
      <c r="BC98" s="20">
        <f t="shared" si="22"/>
        <v>2.415112369263615E-3</v>
      </c>
      <c r="BD98" s="20">
        <f t="shared" si="22"/>
        <v>4.8206048361460595E-3</v>
      </c>
      <c r="BE98" s="20">
        <f t="shared" si="22"/>
        <v>9.7634497240971646E-3</v>
      </c>
      <c r="BF98" s="20">
        <f t="shared" si="22"/>
        <v>3.2920445738395406E-3</v>
      </c>
      <c r="BG98" s="20">
        <f t="shared" si="22"/>
        <v>1.3333273171920262E-3</v>
      </c>
      <c r="BH98" s="20">
        <f t="shared" si="22"/>
        <v>1.1353111990201887E-2</v>
      </c>
      <c r="BI98" s="20">
        <f t="shared" si="22"/>
        <v>5.0850692411101624E-3</v>
      </c>
      <c r="BJ98" s="20">
        <f t="shared" si="22"/>
        <v>4.2628276227852282E-3</v>
      </c>
      <c r="BK98" s="20">
        <f t="shared" si="22"/>
        <v>2.7841868881734459E-3</v>
      </c>
      <c r="BL98" s="20">
        <f t="shared" si="22"/>
        <v>7.0679744334131876E-3</v>
      </c>
      <c r="BM98" s="20">
        <f t="shared" si="22"/>
        <v>2.7590014954561141E-3</v>
      </c>
      <c r="BN98" s="20">
        <f t="shared" si="22"/>
        <v>8.1910832305297464E-3</v>
      </c>
      <c r="BO98" s="20">
        <f t="shared" si="22"/>
        <v>6.7527878790596312E-3</v>
      </c>
      <c r="BP98" s="20">
        <f t="shared" si="22"/>
        <v>7.6013513513513518E-3</v>
      </c>
      <c r="BQ98" s="20">
        <f t="shared" si="22"/>
        <v>2.3922793795195479E-3</v>
      </c>
      <c r="BR98" s="20">
        <f t="shared" si="22"/>
        <v>0</v>
      </c>
      <c r="BS98" s="20">
        <f t="shared" si="22"/>
        <v>1.6270201963713371E-2</v>
      </c>
      <c r="BT98" s="163">
        <f t="shared" si="2"/>
        <v>1.79241004570681E-2</v>
      </c>
      <c r="BU98" s="164"/>
      <c r="BV98" s="164">
        <f t="shared" si="3"/>
        <v>0</v>
      </c>
      <c r="BW98" s="162"/>
      <c r="BX98" s="163">
        <f t="shared" si="4"/>
        <v>0</v>
      </c>
      <c r="BY98" s="164"/>
      <c r="BZ98" s="164"/>
      <c r="CA98" s="164"/>
      <c r="CB98" s="165"/>
      <c r="CC98" s="166"/>
    </row>
    <row r="99" spans="1:81" x14ac:dyDescent="0.3">
      <c r="A99" s="7">
        <v>11</v>
      </c>
      <c r="B99" s="150" t="s">
        <v>125</v>
      </c>
      <c r="C99" s="150"/>
      <c r="D99" s="150"/>
      <c r="E99" s="150"/>
      <c r="F99" s="20">
        <f t="shared" ref="F99:AK99" si="23">IF(F17=".",0,F17/F$83)</f>
        <v>4.675907966009353E-2</v>
      </c>
      <c r="G99" s="20">
        <f t="shared" si="23"/>
        <v>1.2734176769016716E-2</v>
      </c>
      <c r="H99" s="20">
        <f t="shared" si="23"/>
        <v>3.664516129032258E-3</v>
      </c>
      <c r="I99" s="20">
        <f t="shared" si="23"/>
        <v>5.7030377797638331E-2</v>
      </c>
      <c r="J99" s="20">
        <f t="shared" si="23"/>
        <v>1.1977268735789514E-2</v>
      </c>
      <c r="K99" s="20">
        <f t="shared" si="23"/>
        <v>3.2413786429592834E-2</v>
      </c>
      <c r="L99" s="20">
        <f t="shared" si="23"/>
        <v>2.067684158528145E-2</v>
      </c>
      <c r="M99" s="20">
        <f t="shared" si="23"/>
        <v>2.3457084707698781E-2</v>
      </c>
      <c r="N99" s="20">
        <f t="shared" si="23"/>
        <v>4.1957182803034468E-2</v>
      </c>
      <c r="O99" s="20">
        <f t="shared" si="23"/>
        <v>1.8625815340236367E-2</v>
      </c>
      <c r="P99" s="20">
        <f t="shared" si="23"/>
        <v>0.15446313737608658</v>
      </c>
      <c r="Q99" s="20">
        <f t="shared" si="23"/>
        <v>7.0579285681482504E-3</v>
      </c>
      <c r="R99" s="20">
        <f t="shared" si="23"/>
        <v>9.3950717066940581E-2</v>
      </c>
      <c r="S99" s="20">
        <f t="shared" si="23"/>
        <v>2.1177379424912584E-2</v>
      </c>
      <c r="T99" s="20">
        <f t="shared" si="23"/>
        <v>1.2609230767327293E-3</v>
      </c>
      <c r="U99" s="20">
        <f t="shared" si="23"/>
        <v>8.483756704546333E-3</v>
      </c>
      <c r="V99" s="20">
        <f t="shared" si="23"/>
        <v>1.5539618959570776E-3</v>
      </c>
      <c r="W99" s="20">
        <f t="shared" si="23"/>
        <v>1.4061789971233907E-3</v>
      </c>
      <c r="X99" s="20">
        <f t="shared" si="23"/>
        <v>2.8869340760112761E-3</v>
      </c>
      <c r="Y99" s="20">
        <f t="shared" si="23"/>
        <v>7.1133288127775167E-3</v>
      </c>
      <c r="Z99" s="20">
        <f t="shared" si="23"/>
        <v>3.0626538800733712E-3</v>
      </c>
      <c r="AA99" s="20">
        <f t="shared" si="23"/>
        <v>1.5120247518404892E-2</v>
      </c>
      <c r="AB99" s="20">
        <f t="shared" si="23"/>
        <v>1.519695563696196E-2</v>
      </c>
      <c r="AC99" s="20">
        <f t="shared" si="23"/>
        <v>1.7744306360265819E-4</v>
      </c>
      <c r="AD99" s="20">
        <f t="shared" si="23"/>
        <v>4.6145714847074532E-5</v>
      </c>
      <c r="AE99" s="20">
        <f t="shared" si="23"/>
        <v>0</v>
      </c>
      <c r="AF99" s="20">
        <f t="shared" si="23"/>
        <v>2.6559354891293695E-2</v>
      </c>
      <c r="AG99" s="20">
        <f t="shared" si="23"/>
        <v>9.8250427319944225E-3</v>
      </c>
      <c r="AH99" s="20">
        <f t="shared" si="23"/>
        <v>7.7315696938336908E-3</v>
      </c>
      <c r="AI99" s="20">
        <f t="shared" si="23"/>
        <v>1.007719298962772E-2</v>
      </c>
      <c r="AJ99" s="20">
        <f t="shared" si="23"/>
        <v>0</v>
      </c>
      <c r="AK99" s="20">
        <f t="shared" si="23"/>
        <v>2.2966971095487636E-3</v>
      </c>
      <c r="AL99" s="20">
        <f t="shared" ref="AL99:BS99" si="24">IF(AL17=".",0,AL17/AL$83)</f>
        <v>0</v>
      </c>
      <c r="AM99" s="20">
        <f t="shared" si="24"/>
        <v>0</v>
      </c>
      <c r="AN99" s="20">
        <f t="shared" si="24"/>
        <v>0</v>
      </c>
      <c r="AO99" s="20">
        <f t="shared" si="24"/>
        <v>1.6456056409478593E-3</v>
      </c>
      <c r="AP99" s="20">
        <f t="shared" si="24"/>
        <v>0</v>
      </c>
      <c r="AQ99" s="20">
        <f t="shared" si="24"/>
        <v>3.446088528487992E-3</v>
      </c>
      <c r="AR99" s="20">
        <f t="shared" si="24"/>
        <v>1.8777953130326029E-3</v>
      </c>
      <c r="AS99" s="20">
        <f t="shared" si="24"/>
        <v>2.649276392226708E-3</v>
      </c>
      <c r="AT99" s="20">
        <f t="shared" si="24"/>
        <v>2.9728357725847227E-4</v>
      </c>
      <c r="AU99" s="20">
        <f t="shared" si="24"/>
        <v>2.9034978312133592E-4</v>
      </c>
      <c r="AV99" s="20">
        <f t="shared" si="24"/>
        <v>4.5485603999397028E-4</v>
      </c>
      <c r="AW99" s="20">
        <f t="shared" si="24"/>
        <v>4.6219662363998975E-4</v>
      </c>
      <c r="AX99" s="20">
        <f t="shared" si="24"/>
        <v>8.0751249367215006E-4</v>
      </c>
      <c r="AY99" s="20">
        <f t="shared" si="24"/>
        <v>6.0739383636923454E-3</v>
      </c>
      <c r="AZ99" s="20">
        <f t="shared" si="24"/>
        <v>1.0119058714506736E-4</v>
      </c>
      <c r="BA99" s="20">
        <f t="shared" si="24"/>
        <v>8.6200511524651725E-3</v>
      </c>
      <c r="BB99" s="20">
        <f t="shared" si="24"/>
        <v>1.6663216024031528E-2</v>
      </c>
      <c r="BC99" s="20">
        <f t="shared" si="24"/>
        <v>1.2748120244115383E-3</v>
      </c>
      <c r="BD99" s="20">
        <f t="shared" si="24"/>
        <v>1.8437541943641875E-2</v>
      </c>
      <c r="BE99" s="20">
        <f t="shared" si="24"/>
        <v>5.2209489060873323E-3</v>
      </c>
      <c r="BF99" s="20">
        <f t="shared" si="24"/>
        <v>0</v>
      </c>
      <c r="BG99" s="20">
        <f t="shared" si="24"/>
        <v>5.2453232021513715E-4</v>
      </c>
      <c r="BH99" s="20">
        <f t="shared" si="24"/>
        <v>1.2386324086939658E-2</v>
      </c>
      <c r="BI99" s="20">
        <f t="shared" si="24"/>
        <v>1.5312888493177474E-3</v>
      </c>
      <c r="BJ99" s="20">
        <f t="shared" si="24"/>
        <v>4.1406152292846003E-3</v>
      </c>
      <c r="BK99" s="20">
        <f t="shared" si="24"/>
        <v>3.1276788884646413E-3</v>
      </c>
      <c r="BL99" s="20">
        <f t="shared" si="24"/>
        <v>5.6713626655104819E-3</v>
      </c>
      <c r="BM99" s="20">
        <f t="shared" si="24"/>
        <v>3.3792706775566551E-3</v>
      </c>
      <c r="BN99" s="20">
        <f t="shared" si="24"/>
        <v>8.4692865323078327E-3</v>
      </c>
      <c r="BO99" s="20">
        <f t="shared" si="24"/>
        <v>8.5553248826333178E-4</v>
      </c>
      <c r="BP99" s="20">
        <f t="shared" si="24"/>
        <v>8.7243837243837247E-4</v>
      </c>
      <c r="BQ99" s="20">
        <f t="shared" si="24"/>
        <v>6.011345432843284E-2</v>
      </c>
      <c r="BR99" s="20">
        <f t="shared" si="24"/>
        <v>0</v>
      </c>
      <c r="BS99" s="20">
        <f t="shared" si="24"/>
        <v>1.6813044116141446E-2</v>
      </c>
      <c r="BT99" s="163">
        <f t="shared" si="2"/>
        <v>6.6609702889607976E-3</v>
      </c>
      <c r="BU99" s="164"/>
      <c r="BV99" s="164">
        <f t="shared" si="3"/>
        <v>5.2470104734681411E-4</v>
      </c>
      <c r="BW99" s="162"/>
      <c r="BX99" s="163">
        <f t="shared" si="4"/>
        <v>0</v>
      </c>
      <c r="BY99" s="164"/>
      <c r="BZ99" s="164"/>
      <c r="CA99" s="164"/>
      <c r="CB99" s="165"/>
      <c r="CC99" s="166"/>
    </row>
    <row r="100" spans="1:81" x14ac:dyDescent="0.3">
      <c r="A100" s="7">
        <v>12</v>
      </c>
      <c r="B100" s="150" t="s">
        <v>126</v>
      </c>
      <c r="C100" s="150"/>
      <c r="D100" s="150"/>
      <c r="E100" s="150"/>
      <c r="F100" s="20">
        <f t="shared" ref="F100:AK100" si="25">IF(F18=".",0,F18/F$83)</f>
        <v>3.2874090176514587E-3</v>
      </c>
      <c r="G100" s="20">
        <f t="shared" si="25"/>
        <v>0</v>
      </c>
      <c r="H100" s="20">
        <f t="shared" si="25"/>
        <v>5.1612903225806451E-5</v>
      </c>
      <c r="I100" s="20">
        <f t="shared" si="25"/>
        <v>0</v>
      </c>
      <c r="J100" s="20">
        <f t="shared" si="25"/>
        <v>5.6984687524857267E-4</v>
      </c>
      <c r="K100" s="20">
        <f t="shared" si="25"/>
        <v>0</v>
      </c>
      <c r="L100" s="20">
        <f t="shared" si="25"/>
        <v>0</v>
      </c>
      <c r="M100" s="20">
        <f t="shared" si="25"/>
        <v>0</v>
      </c>
      <c r="N100" s="20">
        <f t="shared" si="25"/>
        <v>7.2575034810097059E-6</v>
      </c>
      <c r="O100" s="20">
        <f t="shared" si="25"/>
        <v>0</v>
      </c>
      <c r="P100" s="20">
        <f t="shared" si="25"/>
        <v>3.3756489126563258E-4</v>
      </c>
      <c r="Q100" s="20">
        <f t="shared" si="25"/>
        <v>3.9194706535055947E-2</v>
      </c>
      <c r="R100" s="20">
        <f t="shared" si="25"/>
        <v>6.9447981147188054E-6</v>
      </c>
      <c r="S100" s="20">
        <f t="shared" si="25"/>
        <v>0</v>
      </c>
      <c r="T100" s="20">
        <f t="shared" si="25"/>
        <v>0</v>
      </c>
      <c r="U100" s="20">
        <f t="shared" si="25"/>
        <v>1.7832651772213178E-6</v>
      </c>
      <c r="V100" s="20">
        <f t="shared" si="25"/>
        <v>0</v>
      </c>
      <c r="W100" s="20">
        <f t="shared" si="25"/>
        <v>0</v>
      </c>
      <c r="X100" s="20">
        <f t="shared" si="25"/>
        <v>0</v>
      </c>
      <c r="Y100" s="20">
        <f t="shared" si="25"/>
        <v>9.609684640180373E-7</v>
      </c>
      <c r="Z100" s="20">
        <f t="shared" si="25"/>
        <v>0</v>
      </c>
      <c r="AA100" s="20">
        <f t="shared" si="25"/>
        <v>4.3619450455548929E-4</v>
      </c>
      <c r="AB100" s="20">
        <f t="shared" si="25"/>
        <v>1.5925651291162468E-5</v>
      </c>
      <c r="AC100" s="20">
        <f t="shared" si="25"/>
        <v>0</v>
      </c>
      <c r="AD100" s="20">
        <f t="shared" si="25"/>
        <v>0</v>
      </c>
      <c r="AE100" s="20">
        <f t="shared" si="25"/>
        <v>0</v>
      </c>
      <c r="AF100" s="20">
        <f t="shared" si="25"/>
        <v>0</v>
      </c>
      <c r="AG100" s="20">
        <f t="shared" si="25"/>
        <v>0</v>
      </c>
      <c r="AH100" s="20">
        <f t="shared" si="25"/>
        <v>2.4795163990109746E-6</v>
      </c>
      <c r="AI100" s="20">
        <f t="shared" si="25"/>
        <v>0</v>
      </c>
      <c r="AJ100" s="20">
        <f t="shared" si="25"/>
        <v>0</v>
      </c>
      <c r="AK100" s="20">
        <f t="shared" si="25"/>
        <v>0</v>
      </c>
      <c r="AL100" s="20">
        <f t="shared" ref="AL100:BS100" si="26">IF(AL18=".",0,AL18/AL$83)</f>
        <v>0</v>
      </c>
      <c r="AM100" s="20">
        <f t="shared" si="26"/>
        <v>0</v>
      </c>
      <c r="AN100" s="20">
        <f t="shared" si="26"/>
        <v>0</v>
      </c>
      <c r="AO100" s="20">
        <f t="shared" si="26"/>
        <v>0</v>
      </c>
      <c r="AP100" s="20">
        <f t="shared" si="26"/>
        <v>2.6051775298227699E-6</v>
      </c>
      <c r="AQ100" s="20">
        <f t="shared" si="26"/>
        <v>0</v>
      </c>
      <c r="AR100" s="20">
        <f t="shared" si="26"/>
        <v>0</v>
      </c>
      <c r="AS100" s="20">
        <f t="shared" si="26"/>
        <v>0</v>
      </c>
      <c r="AT100" s="20">
        <f t="shared" si="26"/>
        <v>0</v>
      </c>
      <c r="AU100" s="20">
        <f t="shared" si="26"/>
        <v>0</v>
      </c>
      <c r="AV100" s="20">
        <f t="shared" si="26"/>
        <v>0</v>
      </c>
      <c r="AW100" s="20">
        <f t="shared" si="26"/>
        <v>0</v>
      </c>
      <c r="AX100" s="20">
        <f t="shared" si="26"/>
        <v>0</v>
      </c>
      <c r="AY100" s="20">
        <f t="shared" si="26"/>
        <v>0</v>
      </c>
      <c r="AZ100" s="20">
        <f t="shared" si="26"/>
        <v>2.9691448596513185E-5</v>
      </c>
      <c r="BA100" s="20">
        <f t="shared" si="26"/>
        <v>8.5409803577469697E-5</v>
      </c>
      <c r="BB100" s="20">
        <f t="shared" si="26"/>
        <v>1.2053408419317074E-3</v>
      </c>
      <c r="BC100" s="20">
        <f t="shared" si="26"/>
        <v>1.6978960938525651E-2</v>
      </c>
      <c r="BD100" s="20">
        <f t="shared" si="26"/>
        <v>0</v>
      </c>
      <c r="BE100" s="20">
        <f t="shared" si="26"/>
        <v>1.8351314256897478E-6</v>
      </c>
      <c r="BF100" s="20">
        <f t="shared" si="26"/>
        <v>0</v>
      </c>
      <c r="BG100" s="20">
        <f t="shared" si="26"/>
        <v>0</v>
      </c>
      <c r="BH100" s="20">
        <f t="shared" si="26"/>
        <v>0</v>
      </c>
      <c r="BI100" s="20">
        <f t="shared" si="26"/>
        <v>2.8004856618212378E-4</v>
      </c>
      <c r="BJ100" s="20">
        <f t="shared" si="26"/>
        <v>4.2038324711140564E-4</v>
      </c>
      <c r="BK100" s="20">
        <f t="shared" si="26"/>
        <v>0.11702974504038853</v>
      </c>
      <c r="BL100" s="20">
        <f t="shared" si="26"/>
        <v>2.0616507191851298E-2</v>
      </c>
      <c r="BM100" s="20">
        <f t="shared" si="26"/>
        <v>1.1365466467272519E-4</v>
      </c>
      <c r="BN100" s="20">
        <f t="shared" si="26"/>
        <v>1.9745361460944561E-4</v>
      </c>
      <c r="BO100" s="20">
        <f t="shared" si="26"/>
        <v>0</v>
      </c>
      <c r="BP100" s="20">
        <f t="shared" si="26"/>
        <v>0</v>
      </c>
      <c r="BQ100" s="20">
        <f t="shared" si="26"/>
        <v>3.8308730055517409E-5</v>
      </c>
      <c r="BR100" s="20">
        <f t="shared" si="26"/>
        <v>0</v>
      </c>
      <c r="BS100" s="20">
        <f t="shared" si="26"/>
        <v>3.4513435716437687E-3</v>
      </c>
      <c r="BT100" s="163">
        <f t="shared" si="2"/>
        <v>8.2347863404958616E-3</v>
      </c>
      <c r="BU100" s="164"/>
      <c r="BV100" s="164">
        <f t="shared" si="3"/>
        <v>1.9515258712139685E-2</v>
      </c>
      <c r="BW100" s="162"/>
      <c r="BX100" s="163">
        <f t="shared" si="4"/>
        <v>0</v>
      </c>
      <c r="BY100" s="164"/>
      <c r="BZ100" s="164"/>
      <c r="CA100" s="164"/>
      <c r="CB100" s="165"/>
      <c r="CC100" s="166"/>
    </row>
    <row r="101" spans="1:81" x14ac:dyDescent="0.3">
      <c r="A101" s="7">
        <v>13</v>
      </c>
      <c r="B101" s="150" t="s">
        <v>8</v>
      </c>
      <c r="C101" s="150"/>
      <c r="D101" s="150"/>
      <c r="E101" s="150"/>
      <c r="F101" s="20">
        <f t="shared" ref="F101:AK101" si="27">IF(F19=".",0,F19/F$83)</f>
        <v>1.3095529799417179E-3</v>
      </c>
      <c r="G101" s="20">
        <f t="shared" si="27"/>
        <v>5.6081915606576837E-3</v>
      </c>
      <c r="H101" s="20">
        <f t="shared" si="27"/>
        <v>9.6000000000000009E-3</v>
      </c>
      <c r="I101" s="20">
        <f t="shared" si="27"/>
        <v>1.1767429842283298E-2</v>
      </c>
      <c r="J101" s="20">
        <f t="shared" si="27"/>
        <v>1.7492581210932241E-2</v>
      </c>
      <c r="K101" s="20">
        <f t="shared" si="27"/>
        <v>1.0166261983507898E-2</v>
      </c>
      <c r="L101" s="20">
        <f t="shared" si="27"/>
        <v>5.6848430156169385E-3</v>
      </c>
      <c r="M101" s="20">
        <f t="shared" si="27"/>
        <v>9.9150817601235171E-3</v>
      </c>
      <c r="N101" s="20">
        <f t="shared" si="27"/>
        <v>9.2273972829980538E-3</v>
      </c>
      <c r="O101" s="20">
        <f t="shared" si="27"/>
        <v>3.4658687275310526E-4</v>
      </c>
      <c r="P101" s="20">
        <f t="shared" si="27"/>
        <v>5.0625425834387189E-3</v>
      </c>
      <c r="Q101" s="20">
        <f t="shared" si="27"/>
        <v>1.9666054833849616E-3</v>
      </c>
      <c r="R101" s="20">
        <f t="shared" si="27"/>
        <v>8.5507000025794977E-2</v>
      </c>
      <c r="S101" s="20">
        <f t="shared" si="27"/>
        <v>2.5482867111884577E-2</v>
      </c>
      <c r="T101" s="20">
        <f t="shared" si="27"/>
        <v>2.0894236191167879E-4</v>
      </c>
      <c r="U101" s="20">
        <f t="shared" si="27"/>
        <v>1.3794829906647768E-3</v>
      </c>
      <c r="V101" s="20">
        <f t="shared" si="27"/>
        <v>2.2028978085959104E-3</v>
      </c>
      <c r="W101" s="20">
        <f t="shared" si="27"/>
        <v>2.3384581084204152E-2</v>
      </c>
      <c r="X101" s="20">
        <f t="shared" si="27"/>
        <v>3.7455660684843923E-3</v>
      </c>
      <c r="Y101" s="20">
        <f t="shared" si="27"/>
        <v>1.1439368595670716E-2</v>
      </c>
      <c r="Z101" s="20">
        <f t="shared" si="27"/>
        <v>7.8784462196483905E-3</v>
      </c>
      <c r="AA101" s="20">
        <f t="shared" si="27"/>
        <v>2.1781534755972057E-2</v>
      </c>
      <c r="AB101" s="20">
        <f t="shared" si="27"/>
        <v>4.7823565535803003E-3</v>
      </c>
      <c r="AC101" s="20">
        <f t="shared" si="27"/>
        <v>0</v>
      </c>
      <c r="AD101" s="20">
        <f t="shared" si="27"/>
        <v>0</v>
      </c>
      <c r="AE101" s="20">
        <f t="shared" si="27"/>
        <v>0</v>
      </c>
      <c r="AF101" s="20">
        <f t="shared" si="27"/>
        <v>3.2653676040455483E-3</v>
      </c>
      <c r="AG101" s="20">
        <f t="shared" si="27"/>
        <v>1.9153719341507263E-2</v>
      </c>
      <c r="AH101" s="20">
        <f t="shared" si="27"/>
        <v>2.8507388983178037E-2</v>
      </c>
      <c r="AI101" s="20">
        <f t="shared" si="27"/>
        <v>4.4472707038118224E-2</v>
      </c>
      <c r="AJ101" s="20">
        <f t="shared" si="27"/>
        <v>1.2222666136200749E-2</v>
      </c>
      <c r="AK101" s="20">
        <f t="shared" si="27"/>
        <v>1.0253108385505571E-2</v>
      </c>
      <c r="AL101" s="20">
        <f t="shared" ref="AL101:BS101" si="28">IF(AL19=".",0,AL19/AL$83)</f>
        <v>6.2778337527252311E-3</v>
      </c>
      <c r="AM101" s="20">
        <f t="shared" si="28"/>
        <v>0</v>
      </c>
      <c r="AN101" s="20">
        <f t="shared" si="28"/>
        <v>2.8838696854633484E-4</v>
      </c>
      <c r="AO101" s="20">
        <f t="shared" si="28"/>
        <v>8.0001949329665668E-4</v>
      </c>
      <c r="AP101" s="20">
        <f t="shared" si="28"/>
        <v>6.5520214875042649E-4</v>
      </c>
      <c r="AQ101" s="20">
        <f t="shared" si="28"/>
        <v>2.1037453283165976E-3</v>
      </c>
      <c r="AR101" s="20">
        <f t="shared" si="28"/>
        <v>7.0720585755685238E-4</v>
      </c>
      <c r="AS101" s="20">
        <f t="shared" si="28"/>
        <v>1.4123527343520609E-4</v>
      </c>
      <c r="AT101" s="20">
        <f t="shared" si="28"/>
        <v>0</v>
      </c>
      <c r="AU101" s="20">
        <f t="shared" si="28"/>
        <v>1.3164627485436225E-3</v>
      </c>
      <c r="AV101" s="20">
        <f t="shared" si="28"/>
        <v>3.2125655795838985E-4</v>
      </c>
      <c r="AW101" s="20">
        <f t="shared" si="28"/>
        <v>1.6477719866455259E-4</v>
      </c>
      <c r="AX101" s="20">
        <f t="shared" si="28"/>
        <v>2.8750480974993973E-3</v>
      </c>
      <c r="AY101" s="20">
        <f t="shared" si="28"/>
        <v>5.6527200817594317E-3</v>
      </c>
      <c r="AZ101" s="20">
        <f t="shared" si="28"/>
        <v>1.5982786948544585E-3</v>
      </c>
      <c r="BA101" s="20">
        <f t="shared" si="28"/>
        <v>1.3892438363147805E-3</v>
      </c>
      <c r="BB101" s="20">
        <f t="shared" si="28"/>
        <v>3.0709464673575478E-3</v>
      </c>
      <c r="BC101" s="20">
        <f t="shared" si="28"/>
        <v>6.7682690176199536E-3</v>
      </c>
      <c r="BD101" s="20">
        <f t="shared" si="28"/>
        <v>4.2413410662691881E-3</v>
      </c>
      <c r="BE101" s="20">
        <f t="shared" si="28"/>
        <v>1.2717460780029951E-4</v>
      </c>
      <c r="BF101" s="20">
        <f t="shared" si="28"/>
        <v>0</v>
      </c>
      <c r="BG101" s="20">
        <f t="shared" si="28"/>
        <v>2.0530082210570961E-3</v>
      </c>
      <c r="BH101" s="20">
        <f t="shared" si="28"/>
        <v>1.1450614905990717E-3</v>
      </c>
      <c r="BI101" s="20">
        <f t="shared" si="28"/>
        <v>9.1702896102348417E-4</v>
      </c>
      <c r="BJ101" s="20">
        <f t="shared" si="28"/>
        <v>8.1486340054900855E-4</v>
      </c>
      <c r="BK101" s="20">
        <f t="shared" si="28"/>
        <v>2.3215423860511344E-3</v>
      </c>
      <c r="BL101" s="20">
        <f t="shared" si="28"/>
        <v>4.2208045203068149E-3</v>
      </c>
      <c r="BM101" s="20">
        <f t="shared" si="28"/>
        <v>1.9413321062924194E-3</v>
      </c>
      <c r="BN101" s="20">
        <f t="shared" si="28"/>
        <v>2.28574661926994E-3</v>
      </c>
      <c r="BO101" s="20">
        <f t="shared" si="28"/>
        <v>2.2679682000188326E-3</v>
      </c>
      <c r="BP101" s="20">
        <f t="shared" si="28"/>
        <v>2.2491584991584991E-3</v>
      </c>
      <c r="BQ101" s="20">
        <f t="shared" si="28"/>
        <v>1.0304040260459038E-2</v>
      </c>
      <c r="BR101" s="20">
        <f t="shared" si="28"/>
        <v>0</v>
      </c>
      <c r="BS101" s="20">
        <f t="shared" si="28"/>
        <v>1.1684392314488319E-2</v>
      </c>
      <c r="BT101" s="163">
        <f t="shared" si="2"/>
        <v>3.5429199581868795E-3</v>
      </c>
      <c r="BU101" s="164"/>
      <c r="BV101" s="164">
        <f t="shared" si="3"/>
        <v>0</v>
      </c>
      <c r="BW101" s="162"/>
      <c r="BX101" s="163">
        <f t="shared" si="4"/>
        <v>7.57709078821298E-5</v>
      </c>
      <c r="BY101" s="164"/>
      <c r="BZ101" s="164"/>
      <c r="CA101" s="164"/>
      <c r="CB101" s="165"/>
      <c r="CC101" s="166"/>
    </row>
    <row r="102" spans="1:81" x14ac:dyDescent="0.3">
      <c r="A102" s="7">
        <v>14</v>
      </c>
      <c r="B102" s="150" t="s">
        <v>9</v>
      </c>
      <c r="C102" s="150"/>
      <c r="D102" s="150"/>
      <c r="E102" s="150"/>
      <c r="F102" s="20">
        <f t="shared" ref="F102:AK102" si="29">IF(F20=".",0,F20/F$83)</f>
        <v>1.7135378420943424E-3</v>
      </c>
      <c r="G102" s="20">
        <f t="shared" si="29"/>
        <v>6.8923502533307858E-4</v>
      </c>
      <c r="H102" s="20">
        <f t="shared" si="29"/>
        <v>2.1482127288578902E-4</v>
      </c>
      <c r="I102" s="20">
        <f t="shared" si="29"/>
        <v>0</v>
      </c>
      <c r="J102" s="20">
        <f t="shared" si="29"/>
        <v>2.6162651043631457E-3</v>
      </c>
      <c r="K102" s="20">
        <f t="shared" si="29"/>
        <v>2.2012722077260823E-5</v>
      </c>
      <c r="L102" s="20">
        <f t="shared" si="29"/>
        <v>8.1487107597606901E-3</v>
      </c>
      <c r="M102" s="20">
        <f t="shared" si="29"/>
        <v>0</v>
      </c>
      <c r="N102" s="20">
        <f t="shared" si="29"/>
        <v>1.087588735939883E-3</v>
      </c>
      <c r="O102" s="20">
        <f t="shared" si="29"/>
        <v>1.3868856693862613E-3</v>
      </c>
      <c r="P102" s="20">
        <f t="shared" si="29"/>
        <v>3.3591016140648727E-4</v>
      </c>
      <c r="Q102" s="20">
        <f t="shared" si="29"/>
        <v>1.5473592673413124E-3</v>
      </c>
      <c r="R102" s="20">
        <f t="shared" si="29"/>
        <v>1.5927729123771515E-2</v>
      </c>
      <c r="S102" s="20">
        <f t="shared" si="29"/>
        <v>0.10265373305785834</v>
      </c>
      <c r="T102" s="20">
        <f t="shared" si="29"/>
        <v>3.6375457825038382E-4</v>
      </c>
      <c r="U102" s="20">
        <f t="shared" si="29"/>
        <v>3.5443669158114564E-3</v>
      </c>
      <c r="V102" s="20">
        <f t="shared" si="29"/>
        <v>0</v>
      </c>
      <c r="W102" s="20">
        <f t="shared" si="29"/>
        <v>3.4288830707321833E-3</v>
      </c>
      <c r="X102" s="20">
        <f t="shared" si="29"/>
        <v>0</v>
      </c>
      <c r="Y102" s="20">
        <f t="shared" si="29"/>
        <v>3.9135440697134568E-4</v>
      </c>
      <c r="Z102" s="20">
        <f t="shared" si="29"/>
        <v>5.4601401229545819E-3</v>
      </c>
      <c r="AA102" s="20">
        <f t="shared" si="29"/>
        <v>2.5873093770906038E-3</v>
      </c>
      <c r="AB102" s="20">
        <f t="shared" si="29"/>
        <v>3.9262556890504929E-3</v>
      </c>
      <c r="AC102" s="20">
        <f t="shared" si="29"/>
        <v>0</v>
      </c>
      <c r="AD102" s="20">
        <f t="shared" si="29"/>
        <v>0</v>
      </c>
      <c r="AE102" s="20">
        <f t="shared" si="29"/>
        <v>0</v>
      </c>
      <c r="AF102" s="20">
        <f t="shared" si="29"/>
        <v>4.61381482631649E-3</v>
      </c>
      <c r="AG102" s="20">
        <f t="shared" si="29"/>
        <v>2.0544369796298301E-4</v>
      </c>
      <c r="AH102" s="20">
        <f t="shared" si="29"/>
        <v>7.928360645368529E-2</v>
      </c>
      <c r="AI102" s="20">
        <f t="shared" si="29"/>
        <v>1.1254479334383559E-2</v>
      </c>
      <c r="AJ102" s="20">
        <f t="shared" si="29"/>
        <v>5.648231063878557E-3</v>
      </c>
      <c r="AK102" s="20">
        <f t="shared" si="29"/>
        <v>8.9145719067760198E-5</v>
      </c>
      <c r="AL102" s="20">
        <f t="shared" ref="AL102:BS102" si="30">IF(AL20=".",0,AL20/AL$83)</f>
        <v>5.6380945476665995E-4</v>
      </c>
      <c r="AM102" s="20">
        <f t="shared" si="30"/>
        <v>0</v>
      </c>
      <c r="AN102" s="20">
        <f t="shared" si="30"/>
        <v>3.7022651367434876E-5</v>
      </c>
      <c r="AO102" s="20">
        <f t="shared" si="30"/>
        <v>6.9096008028318528E-4</v>
      </c>
      <c r="AP102" s="20">
        <f t="shared" si="30"/>
        <v>3.1262130357873232E-5</v>
      </c>
      <c r="AQ102" s="20">
        <f t="shared" si="30"/>
        <v>1.7328462226752907E-3</v>
      </c>
      <c r="AR102" s="20">
        <f t="shared" si="30"/>
        <v>1.562403335391468E-3</v>
      </c>
      <c r="AS102" s="20">
        <f t="shared" si="30"/>
        <v>2.1036622306401748E-4</v>
      </c>
      <c r="AT102" s="20">
        <f t="shared" si="30"/>
        <v>1.3520457093715317E-4</v>
      </c>
      <c r="AU102" s="20">
        <f t="shared" si="30"/>
        <v>6.5833657346859426E-4</v>
      </c>
      <c r="AV102" s="20">
        <f t="shared" si="30"/>
        <v>1.0672513536021509E-4</v>
      </c>
      <c r="AW102" s="20">
        <f t="shared" si="30"/>
        <v>0</v>
      </c>
      <c r="AX102" s="20">
        <f t="shared" si="30"/>
        <v>3.67847339850654E-5</v>
      </c>
      <c r="AY102" s="20">
        <f t="shared" si="30"/>
        <v>4.5464229819600615E-3</v>
      </c>
      <c r="AZ102" s="20">
        <f t="shared" si="30"/>
        <v>9.5039264610722479E-4</v>
      </c>
      <c r="BA102" s="20">
        <f t="shared" si="30"/>
        <v>0</v>
      </c>
      <c r="BB102" s="20">
        <f t="shared" si="30"/>
        <v>2.7630236663893609E-4</v>
      </c>
      <c r="BC102" s="20">
        <f t="shared" si="30"/>
        <v>2.9068870697330066E-3</v>
      </c>
      <c r="BD102" s="20">
        <f t="shared" si="30"/>
        <v>8.1944630860630559E-4</v>
      </c>
      <c r="BE102" s="20">
        <f t="shared" si="30"/>
        <v>0</v>
      </c>
      <c r="BF102" s="20">
        <f t="shared" si="30"/>
        <v>0</v>
      </c>
      <c r="BG102" s="20">
        <f t="shared" si="30"/>
        <v>0</v>
      </c>
      <c r="BH102" s="20">
        <f t="shared" si="30"/>
        <v>2.7484132529576326E-3</v>
      </c>
      <c r="BI102" s="20">
        <f t="shared" si="30"/>
        <v>1.8044479715791383E-4</v>
      </c>
      <c r="BJ102" s="20">
        <f t="shared" si="30"/>
        <v>2.7489230246780026E-4</v>
      </c>
      <c r="BK102" s="20">
        <f t="shared" si="30"/>
        <v>2.7544730473178062E-4</v>
      </c>
      <c r="BL102" s="20">
        <f t="shared" si="30"/>
        <v>1.6793307452392322E-3</v>
      </c>
      <c r="BM102" s="20">
        <f t="shared" si="30"/>
        <v>6.0692511215920859E-4</v>
      </c>
      <c r="BN102" s="20">
        <f t="shared" si="30"/>
        <v>8.6525942163183931E-4</v>
      </c>
      <c r="BO102" s="20">
        <f t="shared" si="30"/>
        <v>1.9110479376196648E-3</v>
      </c>
      <c r="BP102" s="20">
        <f t="shared" si="30"/>
        <v>3.9909414909414909E-4</v>
      </c>
      <c r="BQ102" s="20">
        <f t="shared" si="30"/>
        <v>7.7625584586180017E-5</v>
      </c>
      <c r="BR102" s="20">
        <f t="shared" si="30"/>
        <v>0</v>
      </c>
      <c r="BS102" s="20">
        <f t="shared" si="30"/>
        <v>9.4658977990138109E-3</v>
      </c>
      <c r="BT102" s="163">
        <f t="shared" si="2"/>
        <v>2.2126508023799629E-3</v>
      </c>
      <c r="BU102" s="164"/>
      <c r="BV102" s="164">
        <f t="shared" si="3"/>
        <v>0</v>
      </c>
      <c r="BW102" s="162"/>
      <c r="BX102" s="163">
        <f t="shared" si="4"/>
        <v>1.5353850484066284E-4</v>
      </c>
      <c r="BY102" s="164"/>
      <c r="BZ102" s="164"/>
      <c r="CA102" s="164"/>
      <c r="CB102" s="165"/>
      <c r="CC102" s="166"/>
    </row>
    <row r="103" spans="1:81" x14ac:dyDescent="0.3">
      <c r="A103" s="7">
        <v>15</v>
      </c>
      <c r="B103" s="150" t="s">
        <v>10</v>
      </c>
      <c r="C103" s="150"/>
      <c r="D103" s="150"/>
      <c r="E103" s="150"/>
      <c r="F103" s="20">
        <f t="shared" ref="F103:AK103" si="31">IF(F21=".",0,F21/F$83)</f>
        <v>4.8177880709133867E-4</v>
      </c>
      <c r="G103" s="20">
        <f t="shared" si="31"/>
        <v>1.0143234184151976E-3</v>
      </c>
      <c r="H103" s="20">
        <f t="shared" si="31"/>
        <v>0</v>
      </c>
      <c r="I103" s="20">
        <f t="shared" si="31"/>
        <v>0</v>
      </c>
      <c r="J103" s="20">
        <f t="shared" si="31"/>
        <v>5.7934678428571315E-5</v>
      </c>
      <c r="K103" s="20">
        <f t="shared" si="31"/>
        <v>3.2827668141306357E-4</v>
      </c>
      <c r="L103" s="20">
        <f t="shared" si="31"/>
        <v>9.1292704238615742E-4</v>
      </c>
      <c r="M103" s="20">
        <f t="shared" si="31"/>
        <v>1.2086334607213265E-3</v>
      </c>
      <c r="N103" s="20">
        <f t="shared" si="31"/>
        <v>1.0405186419344773E-2</v>
      </c>
      <c r="O103" s="20">
        <f t="shared" si="31"/>
        <v>1.6349858997266053E-3</v>
      </c>
      <c r="P103" s="20">
        <f t="shared" si="31"/>
        <v>0</v>
      </c>
      <c r="Q103" s="20">
        <f t="shared" si="31"/>
        <v>2.6221406445132821E-4</v>
      </c>
      <c r="R103" s="20">
        <f t="shared" si="31"/>
        <v>0</v>
      </c>
      <c r="S103" s="20">
        <f t="shared" si="31"/>
        <v>7.0723826778418845E-3</v>
      </c>
      <c r="T103" s="20">
        <f t="shared" si="31"/>
        <v>4.2319411781627236E-2</v>
      </c>
      <c r="U103" s="20">
        <f t="shared" si="31"/>
        <v>0.25005470802811547</v>
      </c>
      <c r="V103" s="20">
        <f t="shared" si="31"/>
        <v>0</v>
      </c>
      <c r="W103" s="20">
        <f t="shared" si="31"/>
        <v>3.5177415396047018E-2</v>
      </c>
      <c r="X103" s="20">
        <f t="shared" si="31"/>
        <v>5.1313897623180324E-2</v>
      </c>
      <c r="Y103" s="20">
        <f t="shared" si="31"/>
        <v>1.5961085582049589E-2</v>
      </c>
      <c r="Z103" s="20">
        <f t="shared" si="31"/>
        <v>2.3099360883872193E-3</v>
      </c>
      <c r="AA103" s="20">
        <f t="shared" si="31"/>
        <v>1.7486276848014255E-2</v>
      </c>
      <c r="AB103" s="20">
        <f t="shared" si="31"/>
        <v>4.9040129922240092E-2</v>
      </c>
      <c r="AC103" s="20">
        <f t="shared" si="31"/>
        <v>0</v>
      </c>
      <c r="AD103" s="20">
        <f t="shared" si="31"/>
        <v>0</v>
      </c>
      <c r="AE103" s="20">
        <f t="shared" si="31"/>
        <v>0</v>
      </c>
      <c r="AF103" s="20">
        <f t="shared" si="31"/>
        <v>8.0844930632862286E-3</v>
      </c>
      <c r="AG103" s="20">
        <f t="shared" si="31"/>
        <v>2.0582687846133575E-2</v>
      </c>
      <c r="AH103" s="20">
        <f t="shared" si="31"/>
        <v>1.0981583659345174E-2</v>
      </c>
      <c r="AI103" s="20">
        <f t="shared" si="31"/>
        <v>4.0264828110572943E-4</v>
      </c>
      <c r="AJ103" s="20">
        <f t="shared" si="31"/>
        <v>0</v>
      </c>
      <c r="AK103" s="20">
        <f t="shared" si="31"/>
        <v>0</v>
      </c>
      <c r="AL103" s="20">
        <f t="shared" ref="AL103:BS103" si="32">IF(AL21=".",0,AL21/AL$83)</f>
        <v>6.1649987821277296E-4</v>
      </c>
      <c r="AM103" s="20">
        <f t="shared" si="32"/>
        <v>0</v>
      </c>
      <c r="AN103" s="20">
        <f t="shared" si="32"/>
        <v>9.651870163510215E-4</v>
      </c>
      <c r="AO103" s="20">
        <f t="shared" si="32"/>
        <v>8.175162298332669E-4</v>
      </c>
      <c r="AP103" s="20">
        <f t="shared" si="32"/>
        <v>0</v>
      </c>
      <c r="AQ103" s="20">
        <f t="shared" si="32"/>
        <v>0</v>
      </c>
      <c r="AR103" s="20">
        <f t="shared" si="32"/>
        <v>4.8521842714020748E-6</v>
      </c>
      <c r="AS103" s="20">
        <f t="shared" si="32"/>
        <v>1.520880891833851E-3</v>
      </c>
      <c r="AT103" s="20">
        <f t="shared" si="32"/>
        <v>0</v>
      </c>
      <c r="AU103" s="20">
        <f t="shared" si="32"/>
        <v>0</v>
      </c>
      <c r="AV103" s="20">
        <f t="shared" si="32"/>
        <v>3.7207069621238522E-4</v>
      </c>
      <c r="AW103" s="20">
        <f t="shared" si="32"/>
        <v>0</v>
      </c>
      <c r="AX103" s="20">
        <f t="shared" si="32"/>
        <v>5.4073558958046145E-3</v>
      </c>
      <c r="AY103" s="20">
        <f t="shared" si="32"/>
        <v>2.6452144855700827E-3</v>
      </c>
      <c r="AZ103" s="20">
        <f t="shared" si="32"/>
        <v>0</v>
      </c>
      <c r="BA103" s="20">
        <f t="shared" si="32"/>
        <v>4.4009403085562603E-3</v>
      </c>
      <c r="BB103" s="20">
        <f t="shared" si="32"/>
        <v>0</v>
      </c>
      <c r="BC103" s="20">
        <f t="shared" si="32"/>
        <v>2.2045567535265375E-3</v>
      </c>
      <c r="BD103" s="20">
        <f t="shared" si="32"/>
        <v>4.2809005432363891E-4</v>
      </c>
      <c r="BE103" s="20">
        <f t="shared" si="32"/>
        <v>7.4286120111920987E-4</v>
      </c>
      <c r="BF103" s="20">
        <f t="shared" si="32"/>
        <v>0</v>
      </c>
      <c r="BG103" s="20">
        <f t="shared" si="32"/>
        <v>0</v>
      </c>
      <c r="BH103" s="20">
        <f t="shared" si="32"/>
        <v>1.9075502325989176E-4</v>
      </c>
      <c r="BI103" s="20">
        <f t="shared" si="32"/>
        <v>1.6168205626740777E-4</v>
      </c>
      <c r="BJ103" s="20">
        <f t="shared" si="32"/>
        <v>7.9877381372959814E-7</v>
      </c>
      <c r="BK103" s="20">
        <f t="shared" si="32"/>
        <v>0</v>
      </c>
      <c r="BL103" s="20">
        <f t="shared" si="32"/>
        <v>0</v>
      </c>
      <c r="BM103" s="20">
        <f t="shared" si="32"/>
        <v>4.3713332566432762E-4</v>
      </c>
      <c r="BN103" s="20">
        <f t="shared" si="32"/>
        <v>1.0179175893448135E-3</v>
      </c>
      <c r="BO103" s="20">
        <f t="shared" si="32"/>
        <v>0</v>
      </c>
      <c r="BP103" s="20">
        <f t="shared" si="32"/>
        <v>1.2455449955449956E-2</v>
      </c>
      <c r="BQ103" s="20">
        <f t="shared" si="32"/>
        <v>0</v>
      </c>
      <c r="BR103" s="20">
        <f t="shared" si="32"/>
        <v>0</v>
      </c>
      <c r="BS103" s="20">
        <f t="shared" si="32"/>
        <v>1.6771565838768206E-2</v>
      </c>
      <c r="BT103" s="163">
        <f t="shared" si="2"/>
        <v>0</v>
      </c>
      <c r="BU103" s="164"/>
      <c r="BV103" s="164">
        <f t="shared" si="3"/>
        <v>0</v>
      </c>
      <c r="BW103" s="162"/>
      <c r="BX103" s="163">
        <f t="shared" si="4"/>
        <v>0</v>
      </c>
      <c r="BY103" s="164"/>
      <c r="BZ103" s="164"/>
      <c r="CA103" s="164"/>
      <c r="CB103" s="165"/>
      <c r="CC103" s="166"/>
    </row>
    <row r="104" spans="1:81" x14ac:dyDescent="0.3">
      <c r="A104" s="7">
        <v>16</v>
      </c>
      <c r="B104" s="150" t="s">
        <v>127</v>
      </c>
      <c r="C104" s="150"/>
      <c r="D104" s="150"/>
      <c r="E104" s="150"/>
      <c r="F104" s="20">
        <f t="shared" ref="F104:AK104" si="33">IF(F22=".",0,F22/F$83)</f>
        <v>5.1887655188241283E-3</v>
      </c>
      <c r="G104" s="20">
        <f t="shared" si="33"/>
        <v>1.4695662487276301E-2</v>
      </c>
      <c r="H104" s="20">
        <f t="shared" si="33"/>
        <v>6.2172624237140364E-3</v>
      </c>
      <c r="I104" s="20">
        <f t="shared" si="33"/>
        <v>1.7924600288258149E-2</v>
      </c>
      <c r="J104" s="20">
        <f t="shared" si="33"/>
        <v>1.124616951854264E-2</v>
      </c>
      <c r="K104" s="20">
        <f t="shared" si="33"/>
        <v>4.873956961193698E-3</v>
      </c>
      <c r="L104" s="20">
        <f t="shared" si="33"/>
        <v>1.1884525195191903E-2</v>
      </c>
      <c r="M104" s="20">
        <f t="shared" si="33"/>
        <v>4.4866944410772045E-3</v>
      </c>
      <c r="N104" s="20">
        <f t="shared" si="33"/>
        <v>1.2526451008222752E-2</v>
      </c>
      <c r="O104" s="20">
        <f t="shared" si="33"/>
        <v>1.5970981422082534E-2</v>
      </c>
      <c r="P104" s="20">
        <f t="shared" si="33"/>
        <v>7.2069690602747762E-3</v>
      </c>
      <c r="Q104" s="20">
        <f t="shared" si="33"/>
        <v>2.9865737510388567E-3</v>
      </c>
      <c r="R104" s="20">
        <f t="shared" si="33"/>
        <v>9.1825112786828433E-3</v>
      </c>
      <c r="S104" s="20">
        <f t="shared" si="33"/>
        <v>2.7261024001188773E-2</v>
      </c>
      <c r="T104" s="20">
        <f t="shared" si="33"/>
        <v>2.8565251106652163E-4</v>
      </c>
      <c r="U104" s="20">
        <f t="shared" si="33"/>
        <v>0.12402736683658354</v>
      </c>
      <c r="V104" s="20">
        <f t="shared" si="33"/>
        <v>5.8117584916456246E-3</v>
      </c>
      <c r="W104" s="20">
        <f t="shared" si="33"/>
        <v>3.5063519557062578E-2</v>
      </c>
      <c r="X104" s="20">
        <f t="shared" si="33"/>
        <v>4.4665785987912418E-2</v>
      </c>
      <c r="Y104" s="20">
        <f t="shared" si="33"/>
        <v>1.5447928422263958E-2</v>
      </c>
      <c r="Z104" s="20">
        <f t="shared" si="33"/>
        <v>2.4711031105929281E-2</v>
      </c>
      <c r="AA104" s="20">
        <f t="shared" si="33"/>
        <v>2.7330359289078735E-2</v>
      </c>
      <c r="AB104" s="20">
        <f t="shared" si="33"/>
        <v>5.2722451245172296E-2</v>
      </c>
      <c r="AC104" s="20">
        <f t="shared" si="33"/>
        <v>1.2146961947188419E-2</v>
      </c>
      <c r="AD104" s="20">
        <f t="shared" si="33"/>
        <v>0</v>
      </c>
      <c r="AE104" s="20">
        <f t="shared" si="33"/>
        <v>0</v>
      </c>
      <c r="AF104" s="20">
        <f t="shared" si="33"/>
        <v>0</v>
      </c>
      <c r="AG104" s="20">
        <f t="shared" si="33"/>
        <v>1.1819349848805819E-2</v>
      </c>
      <c r="AH104" s="20">
        <f t="shared" si="33"/>
        <v>6.110384083410543E-2</v>
      </c>
      <c r="AI104" s="20">
        <f t="shared" si="33"/>
        <v>1.3159905019971458E-2</v>
      </c>
      <c r="AJ104" s="20">
        <f t="shared" si="33"/>
        <v>6.4162035746216286E-3</v>
      </c>
      <c r="AK104" s="20">
        <f t="shared" si="33"/>
        <v>2.4624167155080614E-4</v>
      </c>
      <c r="AL104" s="20">
        <f t="shared" ref="AL104:BS104" si="34">IF(AL22=".",0,AL22/AL$83)</f>
        <v>1.1471311745265408E-3</v>
      </c>
      <c r="AM104" s="20">
        <f t="shared" si="34"/>
        <v>0</v>
      </c>
      <c r="AN104" s="20">
        <f t="shared" si="34"/>
        <v>4.7479926578236653E-4</v>
      </c>
      <c r="AO104" s="20">
        <f t="shared" si="34"/>
        <v>7.2421998099403573E-3</v>
      </c>
      <c r="AP104" s="20">
        <f t="shared" si="34"/>
        <v>4.4418276883478219E-4</v>
      </c>
      <c r="AQ104" s="20">
        <f t="shared" si="34"/>
        <v>3.554960281064157E-4</v>
      </c>
      <c r="AR104" s="20">
        <f t="shared" si="34"/>
        <v>3.7665080406758608E-4</v>
      </c>
      <c r="AS104" s="20">
        <f t="shared" si="34"/>
        <v>3.4193803042207793E-5</v>
      </c>
      <c r="AT104" s="20">
        <f t="shared" si="34"/>
        <v>0</v>
      </c>
      <c r="AU104" s="20">
        <f t="shared" si="34"/>
        <v>5.1736964977924999E-4</v>
      </c>
      <c r="AV104" s="20">
        <f t="shared" si="34"/>
        <v>4.3230630082958328E-4</v>
      </c>
      <c r="AW104" s="20">
        <f t="shared" si="34"/>
        <v>0</v>
      </c>
      <c r="AX104" s="20">
        <f t="shared" si="34"/>
        <v>1.0147915502546614E-3</v>
      </c>
      <c r="AY104" s="20">
        <f t="shared" si="34"/>
        <v>6.4368348904552458E-3</v>
      </c>
      <c r="AZ104" s="20">
        <f t="shared" si="34"/>
        <v>0</v>
      </c>
      <c r="BA104" s="20">
        <f t="shared" si="34"/>
        <v>1.0086030359181587E-2</v>
      </c>
      <c r="BB104" s="20">
        <f t="shared" si="34"/>
        <v>3.3201456045714114E-4</v>
      </c>
      <c r="BC104" s="20">
        <f t="shared" si="34"/>
        <v>5.6494905414973913E-3</v>
      </c>
      <c r="BD104" s="20">
        <f t="shared" si="34"/>
        <v>4.6991007283182281E-3</v>
      </c>
      <c r="BE104" s="20">
        <f t="shared" si="34"/>
        <v>1.436669339229733E-2</v>
      </c>
      <c r="BF104" s="20">
        <f t="shared" si="34"/>
        <v>0</v>
      </c>
      <c r="BG104" s="20">
        <f t="shared" si="34"/>
        <v>0</v>
      </c>
      <c r="BH104" s="20">
        <f t="shared" si="34"/>
        <v>6.2184012178565827E-3</v>
      </c>
      <c r="BI104" s="20">
        <f t="shared" si="34"/>
        <v>2.6320240995680026E-2</v>
      </c>
      <c r="BJ104" s="20">
        <f t="shared" si="34"/>
        <v>1.1788760385200684E-3</v>
      </c>
      <c r="BK104" s="20">
        <f t="shared" si="34"/>
        <v>4.6026739485385994E-4</v>
      </c>
      <c r="BL104" s="20">
        <f t="shared" si="34"/>
        <v>3.496524454692036E-5</v>
      </c>
      <c r="BM104" s="20">
        <f t="shared" si="34"/>
        <v>1.8088116875647074E-3</v>
      </c>
      <c r="BN104" s="20">
        <f t="shared" si="34"/>
        <v>3.6443453705379165E-3</v>
      </c>
      <c r="BO104" s="20">
        <f t="shared" si="34"/>
        <v>5.4345145480878311E-4</v>
      </c>
      <c r="BP104" s="20">
        <f t="shared" si="34"/>
        <v>1.1459261459261459E-2</v>
      </c>
      <c r="BQ104" s="20">
        <f t="shared" si="34"/>
        <v>9.9905135486888833E-4</v>
      </c>
      <c r="BR104" s="20">
        <f t="shared" si="34"/>
        <v>0</v>
      </c>
      <c r="BS104" s="20">
        <f t="shared" si="34"/>
        <v>2.0772130220791701E-2</v>
      </c>
      <c r="BT104" s="163">
        <f t="shared" si="2"/>
        <v>1.7985059902330069E-3</v>
      </c>
      <c r="BU104" s="164"/>
      <c r="BV104" s="164">
        <f t="shared" si="3"/>
        <v>0</v>
      </c>
      <c r="BW104" s="162"/>
      <c r="BX104" s="163">
        <f t="shared" si="4"/>
        <v>8.075367989796781E-3</v>
      </c>
      <c r="BY104" s="164"/>
      <c r="BZ104" s="164"/>
      <c r="CA104" s="164"/>
      <c r="CB104" s="165"/>
      <c r="CC104" s="166"/>
    </row>
    <row r="105" spans="1:81" x14ac:dyDescent="0.3">
      <c r="A105" s="7">
        <v>17</v>
      </c>
      <c r="B105" s="150" t="s">
        <v>128</v>
      </c>
      <c r="C105" s="150"/>
      <c r="D105" s="150"/>
      <c r="E105" s="150"/>
      <c r="F105" s="20">
        <f t="shared" ref="F105:AK105" si="35">IF(F23=".",0,F23/F$83)</f>
        <v>6.1562063582117337E-4</v>
      </c>
      <c r="G105" s="20">
        <f t="shared" si="35"/>
        <v>6.6589534582974701E-4</v>
      </c>
      <c r="H105" s="20">
        <f t="shared" si="35"/>
        <v>3.2725370531822146E-3</v>
      </c>
      <c r="I105" s="20">
        <f t="shared" si="35"/>
        <v>1.4540629104903109E-4</v>
      </c>
      <c r="J105" s="20">
        <f t="shared" si="35"/>
        <v>2.9779507603471236E-5</v>
      </c>
      <c r="K105" s="20">
        <f t="shared" si="35"/>
        <v>6.7133485253018153E-4</v>
      </c>
      <c r="L105" s="20">
        <f t="shared" si="35"/>
        <v>9.6348148252822677E-5</v>
      </c>
      <c r="M105" s="20">
        <f t="shared" si="35"/>
        <v>4.8717932358889615E-4</v>
      </c>
      <c r="N105" s="20">
        <f t="shared" si="35"/>
        <v>1.0966606152911451E-2</v>
      </c>
      <c r="O105" s="20">
        <f t="shared" si="35"/>
        <v>1.0392224398854755E-3</v>
      </c>
      <c r="P105" s="20">
        <f t="shared" si="35"/>
        <v>3.9403254770896446E-5</v>
      </c>
      <c r="Q105" s="20">
        <f t="shared" si="35"/>
        <v>0</v>
      </c>
      <c r="R105" s="20">
        <f t="shared" si="35"/>
        <v>4.9274996147290575E-4</v>
      </c>
      <c r="S105" s="20">
        <f t="shared" si="35"/>
        <v>6.6796974347104235E-4</v>
      </c>
      <c r="T105" s="20">
        <f t="shared" si="35"/>
        <v>0</v>
      </c>
      <c r="U105" s="20">
        <f t="shared" si="35"/>
        <v>0</v>
      </c>
      <c r="V105" s="20">
        <f t="shared" si="35"/>
        <v>0.27817003300895815</v>
      </c>
      <c r="W105" s="20">
        <f t="shared" si="35"/>
        <v>1.2728554493334225E-2</v>
      </c>
      <c r="X105" s="20">
        <f t="shared" si="35"/>
        <v>2.0036335446843171E-3</v>
      </c>
      <c r="Y105" s="20">
        <f t="shared" si="35"/>
        <v>7.2950719735349282E-3</v>
      </c>
      <c r="Z105" s="20">
        <f t="shared" si="35"/>
        <v>1.8657792070518446E-3</v>
      </c>
      <c r="AA105" s="20">
        <f t="shared" si="35"/>
        <v>1.3901236955465419E-3</v>
      </c>
      <c r="AB105" s="20">
        <f t="shared" si="35"/>
        <v>2.8530221642338615E-3</v>
      </c>
      <c r="AC105" s="20">
        <f t="shared" si="35"/>
        <v>5.0985213869150889E-4</v>
      </c>
      <c r="AD105" s="20">
        <f t="shared" si="35"/>
        <v>4.7572901904200542E-6</v>
      </c>
      <c r="AE105" s="20">
        <f t="shared" si="35"/>
        <v>0</v>
      </c>
      <c r="AF105" s="20">
        <f t="shared" si="35"/>
        <v>3.0745009352466774E-4</v>
      </c>
      <c r="AG105" s="20">
        <f t="shared" si="35"/>
        <v>0</v>
      </c>
      <c r="AH105" s="20">
        <f t="shared" si="35"/>
        <v>3.9700946985654351E-3</v>
      </c>
      <c r="AI105" s="20">
        <f t="shared" si="35"/>
        <v>9.7961567528153451E-3</v>
      </c>
      <c r="AJ105" s="20">
        <f t="shared" si="35"/>
        <v>2.5029617613986136E-3</v>
      </c>
      <c r="AK105" s="20">
        <f t="shared" si="35"/>
        <v>1.6874307964795962E-3</v>
      </c>
      <c r="AL105" s="20">
        <f t="shared" ref="AL105:BS105" si="36">IF(AL23=".",0,AL23/AL$83)</f>
        <v>0</v>
      </c>
      <c r="AM105" s="20">
        <f t="shared" si="36"/>
        <v>0</v>
      </c>
      <c r="AN105" s="20">
        <f t="shared" si="36"/>
        <v>1.4029636307659533E-4</v>
      </c>
      <c r="AO105" s="20">
        <f t="shared" si="36"/>
        <v>6.6530535615895328E-4</v>
      </c>
      <c r="AP105" s="20">
        <f t="shared" si="36"/>
        <v>2.2534785632966955E-3</v>
      </c>
      <c r="AQ105" s="20">
        <f t="shared" si="36"/>
        <v>8.9355353199569267E-4</v>
      </c>
      <c r="AR105" s="20">
        <f t="shared" si="36"/>
        <v>1.5120619235756715E-3</v>
      </c>
      <c r="AS105" s="20">
        <f t="shared" si="36"/>
        <v>5.2227317429250422E-3</v>
      </c>
      <c r="AT105" s="20">
        <f t="shared" si="36"/>
        <v>2.0629815473705328E-2</v>
      </c>
      <c r="AU105" s="20">
        <f t="shared" si="36"/>
        <v>6.1444746857068798E-3</v>
      </c>
      <c r="AV105" s="20">
        <f t="shared" si="36"/>
        <v>2.8499163497347165E-3</v>
      </c>
      <c r="AW105" s="20">
        <f t="shared" si="36"/>
        <v>2.0716801325875283E-4</v>
      </c>
      <c r="AX105" s="20">
        <f t="shared" si="36"/>
        <v>8.6882038364725889E-4</v>
      </c>
      <c r="AY105" s="20">
        <f t="shared" si="36"/>
        <v>7.8562834905489742E-4</v>
      </c>
      <c r="AZ105" s="20">
        <f t="shared" si="36"/>
        <v>1.4781814453743919E-3</v>
      </c>
      <c r="BA105" s="20">
        <f t="shared" si="36"/>
        <v>3.6165713702334826E-3</v>
      </c>
      <c r="BB105" s="20">
        <f t="shared" si="36"/>
        <v>4.6700370034368395E-3</v>
      </c>
      <c r="BC105" s="20">
        <f t="shared" si="36"/>
        <v>2.3684816536830014E-3</v>
      </c>
      <c r="BD105" s="20">
        <f t="shared" si="36"/>
        <v>2.154719940095649E-2</v>
      </c>
      <c r="BE105" s="20">
        <f t="shared" si="36"/>
        <v>7.9754811760476439E-4</v>
      </c>
      <c r="BF105" s="20">
        <f t="shared" si="36"/>
        <v>2.1089456512300115E-4</v>
      </c>
      <c r="BG105" s="20">
        <f t="shared" si="36"/>
        <v>5.7348867010188331E-3</v>
      </c>
      <c r="BH105" s="20">
        <f t="shared" si="36"/>
        <v>1.2862680294049664E-2</v>
      </c>
      <c r="BI105" s="20">
        <f t="shared" si="36"/>
        <v>2.5143538632410203E-3</v>
      </c>
      <c r="BJ105" s="20">
        <f t="shared" si="36"/>
        <v>2.3146182910987385E-3</v>
      </c>
      <c r="BK105" s="20">
        <f t="shared" si="36"/>
        <v>5.7612166034999935E-3</v>
      </c>
      <c r="BL105" s="20">
        <f t="shared" si="36"/>
        <v>1.6973128710062197E-3</v>
      </c>
      <c r="BM105" s="20">
        <f t="shared" si="36"/>
        <v>3.8734614057287474E-3</v>
      </c>
      <c r="BN105" s="20">
        <f t="shared" si="36"/>
        <v>3.8194012616991267E-4</v>
      </c>
      <c r="BO105" s="20">
        <f t="shared" si="36"/>
        <v>2.9575955411870734E-3</v>
      </c>
      <c r="BP105" s="20">
        <f t="shared" si="36"/>
        <v>0.12900641025641027</v>
      </c>
      <c r="BQ105" s="20">
        <f t="shared" si="36"/>
        <v>2.758228563997254E-3</v>
      </c>
      <c r="BR105" s="20">
        <f t="shared" si="36"/>
        <v>0</v>
      </c>
      <c r="BS105" s="20">
        <f t="shared" si="36"/>
        <v>2.0389210135580042E-2</v>
      </c>
      <c r="BT105" s="163">
        <f t="shared" si="2"/>
        <v>7.1871438907613831E-3</v>
      </c>
      <c r="BU105" s="164"/>
      <c r="BV105" s="164">
        <f t="shared" si="3"/>
        <v>0</v>
      </c>
      <c r="BW105" s="162"/>
      <c r="BX105" s="163">
        <f t="shared" si="4"/>
        <v>6.5781678986926787E-2</v>
      </c>
      <c r="BY105" s="164"/>
      <c r="BZ105" s="164"/>
      <c r="CA105" s="164"/>
      <c r="CB105" s="165"/>
      <c r="CC105" s="166"/>
    </row>
    <row r="106" spans="1:81" x14ac:dyDescent="0.3">
      <c r="A106" s="7">
        <v>18</v>
      </c>
      <c r="B106" s="150" t="s">
        <v>129</v>
      </c>
      <c r="C106" s="150"/>
      <c r="D106" s="150"/>
      <c r="E106" s="150"/>
      <c r="F106" s="20">
        <f t="shared" ref="F106:AK106" si="37">IF(F24=".",0,F24/F$83)</f>
        <v>1.1610843362733232E-3</v>
      </c>
      <c r="G106" s="20">
        <f t="shared" si="37"/>
        <v>2.2551369920106846E-3</v>
      </c>
      <c r="H106" s="20">
        <f t="shared" si="37"/>
        <v>2.1217088055797734E-3</v>
      </c>
      <c r="I106" s="20">
        <f t="shared" si="37"/>
        <v>3.7749962092841921E-3</v>
      </c>
      <c r="J106" s="20">
        <f t="shared" si="37"/>
        <v>0</v>
      </c>
      <c r="K106" s="20">
        <f t="shared" si="37"/>
        <v>6.0912498579009664E-4</v>
      </c>
      <c r="L106" s="20">
        <f t="shared" si="37"/>
        <v>1.7788513018599574E-4</v>
      </c>
      <c r="M106" s="20">
        <f t="shared" si="37"/>
        <v>2.1692112365142051E-5</v>
      </c>
      <c r="N106" s="20">
        <f t="shared" si="37"/>
        <v>2.4105279419067951E-4</v>
      </c>
      <c r="O106" s="20">
        <f t="shared" si="37"/>
        <v>8.384819064430714E-4</v>
      </c>
      <c r="P106" s="20">
        <f t="shared" si="37"/>
        <v>0</v>
      </c>
      <c r="Q106" s="20">
        <f t="shared" si="37"/>
        <v>0</v>
      </c>
      <c r="R106" s="20">
        <f t="shared" si="37"/>
        <v>1.8273086658513694E-3</v>
      </c>
      <c r="S106" s="20">
        <f t="shared" si="37"/>
        <v>0</v>
      </c>
      <c r="T106" s="20">
        <f t="shared" si="37"/>
        <v>4.1912198429359699E-4</v>
      </c>
      <c r="U106" s="20">
        <f t="shared" si="37"/>
        <v>1.0236791291144279E-3</v>
      </c>
      <c r="V106" s="20">
        <f t="shared" si="37"/>
        <v>5.7392061319128246E-2</v>
      </c>
      <c r="W106" s="20">
        <f t="shared" si="37"/>
        <v>0.17956131552471974</v>
      </c>
      <c r="X106" s="20">
        <f t="shared" si="37"/>
        <v>5.4235033972868186E-4</v>
      </c>
      <c r="Y106" s="20">
        <f t="shared" si="37"/>
        <v>2.9745097108866313E-2</v>
      </c>
      <c r="Z106" s="20">
        <f t="shared" si="37"/>
        <v>1.6784005227384834E-3</v>
      </c>
      <c r="AA106" s="20">
        <f t="shared" si="37"/>
        <v>3.5742790135274852E-3</v>
      </c>
      <c r="AB106" s="20">
        <f t="shared" si="37"/>
        <v>1.2176131488391948E-2</v>
      </c>
      <c r="AC106" s="20">
        <f t="shared" si="37"/>
        <v>2.1165006552549322E-2</v>
      </c>
      <c r="AD106" s="20">
        <f t="shared" si="37"/>
        <v>0</v>
      </c>
      <c r="AE106" s="20">
        <f t="shared" si="37"/>
        <v>0</v>
      </c>
      <c r="AF106" s="20">
        <f t="shared" si="37"/>
        <v>0</v>
      </c>
      <c r="AG106" s="20">
        <f t="shared" si="37"/>
        <v>0</v>
      </c>
      <c r="AH106" s="20">
        <f t="shared" si="37"/>
        <v>1.5602770193509724E-2</v>
      </c>
      <c r="AI106" s="20">
        <f t="shared" si="37"/>
        <v>2.1239441340839216E-2</v>
      </c>
      <c r="AJ106" s="20">
        <f t="shared" si="37"/>
        <v>8.5520300180926476E-3</v>
      </c>
      <c r="AK106" s="20">
        <f t="shared" si="37"/>
        <v>0</v>
      </c>
      <c r="AL106" s="20">
        <f t="shared" ref="AL106:BS106" si="38">IF(AL24=".",0,AL24/AL$83)</f>
        <v>8.583204207692057E-4</v>
      </c>
      <c r="AM106" s="20">
        <f t="shared" si="38"/>
        <v>0</v>
      </c>
      <c r="AN106" s="20">
        <f t="shared" si="38"/>
        <v>8.9633787521158122E-5</v>
      </c>
      <c r="AO106" s="20">
        <f t="shared" si="38"/>
        <v>2.1005744618706932E-3</v>
      </c>
      <c r="AP106" s="20">
        <f t="shared" si="38"/>
        <v>3.2825236875766899E-3</v>
      </c>
      <c r="AQ106" s="20">
        <f t="shared" si="38"/>
        <v>9.4378856895607744E-4</v>
      </c>
      <c r="AR106" s="20">
        <f t="shared" si="38"/>
        <v>0</v>
      </c>
      <c r="AS106" s="20">
        <f t="shared" si="38"/>
        <v>3.7687517700868152E-4</v>
      </c>
      <c r="AT106" s="20">
        <f t="shared" si="38"/>
        <v>8.6010084572421194E-4</v>
      </c>
      <c r="AU106" s="20">
        <f t="shared" si="38"/>
        <v>7.984619035836738E-4</v>
      </c>
      <c r="AV106" s="20">
        <f t="shared" si="38"/>
        <v>6.4977227852449347E-4</v>
      </c>
      <c r="AW106" s="20">
        <f t="shared" si="38"/>
        <v>1.8255399188147527E-4</v>
      </c>
      <c r="AX106" s="20">
        <f t="shared" si="38"/>
        <v>4.1455811316502277E-5</v>
      </c>
      <c r="AY106" s="20">
        <f t="shared" si="38"/>
        <v>3.9544773475225382E-3</v>
      </c>
      <c r="AZ106" s="20">
        <f t="shared" si="38"/>
        <v>1.5251818101930876E-3</v>
      </c>
      <c r="BA106" s="20">
        <f t="shared" si="38"/>
        <v>3.5698628839020536E-3</v>
      </c>
      <c r="BB106" s="20">
        <f t="shared" si="38"/>
        <v>1.5591885594257128E-3</v>
      </c>
      <c r="BC106" s="20">
        <f t="shared" si="38"/>
        <v>4.1278944223207608E-3</v>
      </c>
      <c r="BD106" s="20">
        <f t="shared" si="38"/>
        <v>9.7839063570666646E-3</v>
      </c>
      <c r="BE106" s="20">
        <f t="shared" si="38"/>
        <v>6.2794527124251792E-3</v>
      </c>
      <c r="BF106" s="20">
        <f t="shared" si="38"/>
        <v>3.9175461013560579E-4</v>
      </c>
      <c r="BG106" s="20">
        <f t="shared" si="38"/>
        <v>1.3321992906969399E-3</v>
      </c>
      <c r="BH106" s="20">
        <f t="shared" si="38"/>
        <v>6.8379565301714398E-3</v>
      </c>
      <c r="BI106" s="20">
        <f t="shared" si="38"/>
        <v>3.180870916593607E-4</v>
      </c>
      <c r="BJ106" s="20">
        <f t="shared" si="38"/>
        <v>1.1085839429118638E-3</v>
      </c>
      <c r="BK106" s="20">
        <f t="shared" si="38"/>
        <v>5.4569468731382423E-4</v>
      </c>
      <c r="BL106" s="20">
        <f t="shared" si="38"/>
        <v>1.9330785199511685E-3</v>
      </c>
      <c r="BM106" s="20">
        <f t="shared" si="38"/>
        <v>1.1581732428390659E-3</v>
      </c>
      <c r="BN106" s="20">
        <f t="shared" si="38"/>
        <v>4.0198019451833397E-4</v>
      </c>
      <c r="BO106" s="20">
        <f t="shared" si="38"/>
        <v>2.2141611252852896E-3</v>
      </c>
      <c r="BP106" s="20">
        <f t="shared" si="38"/>
        <v>3.0015592515592514E-2</v>
      </c>
      <c r="BQ106" s="20">
        <f t="shared" si="38"/>
        <v>1.7466764656365649E-2</v>
      </c>
      <c r="BR106" s="20">
        <f t="shared" si="38"/>
        <v>0</v>
      </c>
      <c r="BS106" s="20">
        <f t="shared" si="38"/>
        <v>1.5033979971143238E-2</v>
      </c>
      <c r="BT106" s="163">
        <f t="shared" si="2"/>
        <v>5.4553265218699413E-3</v>
      </c>
      <c r="BU106" s="164"/>
      <c r="BV106" s="164">
        <f t="shared" si="3"/>
        <v>0</v>
      </c>
      <c r="BW106" s="162"/>
      <c r="BX106" s="163">
        <f t="shared" si="4"/>
        <v>1.9815176819899472E-2</v>
      </c>
      <c r="BY106" s="164"/>
      <c r="BZ106" s="164"/>
      <c r="CA106" s="164"/>
      <c r="CB106" s="165"/>
      <c r="CC106" s="166"/>
    </row>
    <row r="107" spans="1:81" x14ac:dyDescent="0.3">
      <c r="A107" s="7">
        <v>19</v>
      </c>
      <c r="B107" s="150" t="s">
        <v>130</v>
      </c>
      <c r="C107" s="150"/>
      <c r="D107" s="150"/>
      <c r="E107" s="150"/>
      <c r="F107" s="20">
        <f t="shared" ref="F107:AK107" si="39">IF(F25=".",0,F25/F$83)</f>
        <v>1.6124445459260631E-2</v>
      </c>
      <c r="G107" s="20">
        <f t="shared" si="39"/>
        <v>2.1013332672836279E-2</v>
      </c>
      <c r="H107" s="20">
        <f t="shared" si="39"/>
        <v>9.401918047079338E-4</v>
      </c>
      <c r="I107" s="20">
        <f t="shared" si="39"/>
        <v>3.9779100334598215E-2</v>
      </c>
      <c r="J107" s="20">
        <f t="shared" si="39"/>
        <v>3.958902507503451E-3</v>
      </c>
      <c r="K107" s="20">
        <f t="shared" si="39"/>
        <v>2.1142847359425106E-3</v>
      </c>
      <c r="L107" s="20">
        <f t="shared" si="39"/>
        <v>9.0746353562640904E-3</v>
      </c>
      <c r="M107" s="20">
        <f t="shared" si="39"/>
        <v>4.194233726130701E-3</v>
      </c>
      <c r="N107" s="20">
        <f t="shared" si="39"/>
        <v>8.507867652166521E-3</v>
      </c>
      <c r="O107" s="20">
        <f t="shared" si="39"/>
        <v>9.9912815103437875E-3</v>
      </c>
      <c r="P107" s="20">
        <f t="shared" si="39"/>
        <v>2.6641150732238648E-3</v>
      </c>
      <c r="Q107" s="20">
        <f t="shared" si="39"/>
        <v>2.0740095493325394E-4</v>
      </c>
      <c r="R107" s="20">
        <f t="shared" si="39"/>
        <v>4.1548081482985577E-3</v>
      </c>
      <c r="S107" s="20">
        <f t="shared" si="39"/>
        <v>1.1935821562301455E-2</v>
      </c>
      <c r="T107" s="20">
        <f t="shared" si="39"/>
        <v>6.133718781211829E-4</v>
      </c>
      <c r="U107" s="20">
        <f t="shared" si="39"/>
        <v>3.0027638062725247E-3</v>
      </c>
      <c r="V107" s="20">
        <f t="shared" si="39"/>
        <v>2.0482196285441633E-3</v>
      </c>
      <c r="W107" s="20">
        <f t="shared" si="39"/>
        <v>1.0366044738034642E-2</v>
      </c>
      <c r="X107" s="20">
        <f t="shared" si="39"/>
        <v>4.078496005663039E-2</v>
      </c>
      <c r="Y107" s="20">
        <f t="shared" si="39"/>
        <v>3.9804514990207131E-3</v>
      </c>
      <c r="Z107" s="20">
        <f t="shared" si="39"/>
        <v>1.6301411692856975E-2</v>
      </c>
      <c r="AA107" s="20">
        <f t="shared" si="39"/>
        <v>3.4434812868313815E-3</v>
      </c>
      <c r="AB107" s="20">
        <f t="shared" si="39"/>
        <v>6.7720918886773673E-2</v>
      </c>
      <c r="AC107" s="20">
        <f t="shared" si="39"/>
        <v>9.9552399523039747E-3</v>
      </c>
      <c r="AD107" s="20">
        <f t="shared" si="39"/>
        <v>2.361043121505473E-3</v>
      </c>
      <c r="AE107" s="20">
        <f t="shared" si="39"/>
        <v>8.2173529315129959E-3</v>
      </c>
      <c r="AF107" s="20">
        <f t="shared" si="39"/>
        <v>1.0895907509107437E-2</v>
      </c>
      <c r="AG107" s="20">
        <f t="shared" si="39"/>
        <v>6.2977188675424605E-3</v>
      </c>
      <c r="AH107" s="20">
        <f t="shared" si="39"/>
        <v>5.2405308362626062E-3</v>
      </c>
      <c r="AI107" s="20">
        <f t="shared" si="39"/>
        <v>2.847995675107803E-2</v>
      </c>
      <c r="AJ107" s="20">
        <f t="shared" si="39"/>
        <v>1.1100764184037574E-2</v>
      </c>
      <c r="AK107" s="20">
        <f t="shared" si="39"/>
        <v>1.7675372643132128E-3</v>
      </c>
      <c r="AL107" s="20">
        <f t="shared" ref="AL107:BS107" si="40">IF(AL25=".",0,AL25/AL$83)</f>
        <v>1.6007365258857965E-3</v>
      </c>
      <c r="AM107" s="20">
        <f t="shared" si="40"/>
        <v>0</v>
      </c>
      <c r="AN107" s="20">
        <f t="shared" si="40"/>
        <v>6.105489874629611E-5</v>
      </c>
      <c r="AO107" s="20">
        <f t="shared" si="40"/>
        <v>3.9460507987152888E-3</v>
      </c>
      <c r="AP107" s="20">
        <f t="shared" si="40"/>
        <v>5.3653631226699937E-3</v>
      </c>
      <c r="AQ107" s="20">
        <f t="shared" si="40"/>
        <v>6.8071100605901068E-4</v>
      </c>
      <c r="AR107" s="20">
        <f t="shared" si="40"/>
        <v>2.9901585572515287E-4</v>
      </c>
      <c r="AS107" s="20">
        <f t="shared" si="40"/>
        <v>2.0962287951962168E-4</v>
      </c>
      <c r="AT107" s="20">
        <f t="shared" si="40"/>
        <v>2.0215283253576112E-6</v>
      </c>
      <c r="AU107" s="20">
        <f t="shared" si="40"/>
        <v>1.4168227822746928E-3</v>
      </c>
      <c r="AV107" s="20">
        <f t="shared" si="40"/>
        <v>1.5923822656495189E-3</v>
      </c>
      <c r="AW107" s="20">
        <f t="shared" si="40"/>
        <v>2.5502861038123701E-4</v>
      </c>
      <c r="AX107" s="20">
        <f t="shared" si="40"/>
        <v>2.1253401858037785E-3</v>
      </c>
      <c r="AY107" s="20">
        <f t="shared" si="40"/>
        <v>1.8200322817978054E-3</v>
      </c>
      <c r="AZ107" s="20">
        <f t="shared" si="40"/>
        <v>3.7773381017178437E-4</v>
      </c>
      <c r="BA107" s="20">
        <f t="shared" si="40"/>
        <v>1.3950823971062089E-2</v>
      </c>
      <c r="BB107" s="20">
        <f t="shared" si="40"/>
        <v>1.5222980527082525E-3</v>
      </c>
      <c r="BC107" s="20">
        <f t="shared" si="40"/>
        <v>5.7176431258075175E-4</v>
      </c>
      <c r="BD107" s="20">
        <f t="shared" si="40"/>
        <v>1.9709096560444764E-3</v>
      </c>
      <c r="BE107" s="20">
        <f t="shared" si="40"/>
        <v>4.6305871264429406E-3</v>
      </c>
      <c r="BF107" s="20">
        <f t="shared" si="40"/>
        <v>3.7216687962882556E-4</v>
      </c>
      <c r="BG107" s="20">
        <f t="shared" si="40"/>
        <v>3.0682320666347806E-4</v>
      </c>
      <c r="BH107" s="20">
        <f t="shared" si="40"/>
        <v>5.6445420949577446E-3</v>
      </c>
      <c r="BI107" s="20">
        <f t="shared" si="40"/>
        <v>1.0598016924871788E-4</v>
      </c>
      <c r="BJ107" s="20">
        <f t="shared" si="40"/>
        <v>8.0870143112880886E-4</v>
      </c>
      <c r="BK107" s="20">
        <f t="shared" si="40"/>
        <v>0</v>
      </c>
      <c r="BL107" s="20">
        <f t="shared" si="40"/>
        <v>1.5684409696761417E-4</v>
      </c>
      <c r="BM107" s="20">
        <f t="shared" si="40"/>
        <v>1.3831818704704935E-3</v>
      </c>
      <c r="BN107" s="20">
        <f t="shared" si="40"/>
        <v>1.5867018821750076E-3</v>
      </c>
      <c r="BO107" s="20">
        <f t="shared" si="40"/>
        <v>0</v>
      </c>
      <c r="BP107" s="20">
        <f t="shared" si="40"/>
        <v>2.3484679734679735E-2</v>
      </c>
      <c r="BQ107" s="20">
        <f t="shared" si="40"/>
        <v>4.3843333424064537E-3</v>
      </c>
      <c r="BR107" s="20">
        <f t="shared" si="40"/>
        <v>0</v>
      </c>
      <c r="BS107" s="20">
        <f t="shared" si="40"/>
        <v>7.955872933910273E-3</v>
      </c>
      <c r="BT107" s="163">
        <f t="shared" si="2"/>
        <v>4.0421676971321276E-4</v>
      </c>
      <c r="BU107" s="164"/>
      <c r="BV107" s="164">
        <f t="shared" si="3"/>
        <v>0</v>
      </c>
      <c r="BW107" s="162"/>
      <c r="BX107" s="163">
        <f t="shared" si="4"/>
        <v>8.3906899483367034E-2</v>
      </c>
      <c r="BY107" s="164"/>
      <c r="BZ107" s="164"/>
      <c r="CA107" s="164"/>
      <c r="CB107" s="165"/>
      <c r="CC107" s="166"/>
    </row>
    <row r="108" spans="1:81" x14ac:dyDescent="0.3">
      <c r="A108" s="7">
        <v>20</v>
      </c>
      <c r="B108" s="150" t="s">
        <v>131</v>
      </c>
      <c r="C108" s="150"/>
      <c r="D108" s="150"/>
      <c r="E108" s="150"/>
      <c r="F108" s="20">
        <f t="shared" ref="F108:AK108" si="41">IF(F26=".",0,F26/F$83)</f>
        <v>1.6721167732417824E-3</v>
      </c>
      <c r="G108" s="20">
        <f t="shared" si="41"/>
        <v>5.3123968469521946E-3</v>
      </c>
      <c r="H108" s="20">
        <f t="shared" si="41"/>
        <v>5.2449869224062775E-4</v>
      </c>
      <c r="I108" s="20">
        <f t="shared" si="41"/>
        <v>8.9827683720357515E-3</v>
      </c>
      <c r="J108" s="20">
        <f t="shared" si="41"/>
        <v>2.9105161728814119E-4</v>
      </c>
      <c r="K108" s="20">
        <f t="shared" si="41"/>
        <v>1.3228901576865925E-4</v>
      </c>
      <c r="L108" s="20">
        <f t="shared" si="41"/>
        <v>3.1042995531183965E-4</v>
      </c>
      <c r="M108" s="20">
        <f t="shared" si="41"/>
        <v>1.033565353868533E-4</v>
      </c>
      <c r="N108" s="20">
        <f t="shared" si="41"/>
        <v>0</v>
      </c>
      <c r="O108" s="20">
        <f t="shared" si="41"/>
        <v>6.0060706520569172E-4</v>
      </c>
      <c r="P108" s="20">
        <f t="shared" si="41"/>
        <v>1.7891766602008095E-5</v>
      </c>
      <c r="Q108" s="20">
        <f t="shared" si="41"/>
        <v>0</v>
      </c>
      <c r="R108" s="20">
        <f t="shared" si="41"/>
        <v>2.6897864507650195E-3</v>
      </c>
      <c r="S108" s="20">
        <f t="shared" si="41"/>
        <v>3.3200834807391344E-3</v>
      </c>
      <c r="T108" s="20">
        <f t="shared" si="41"/>
        <v>1.3192289763927609E-4</v>
      </c>
      <c r="U108" s="20">
        <f t="shared" si="41"/>
        <v>1.3765108820360745E-4</v>
      </c>
      <c r="V108" s="20">
        <f t="shared" si="41"/>
        <v>5.7424065620506354E-4</v>
      </c>
      <c r="W108" s="20">
        <f t="shared" si="41"/>
        <v>0</v>
      </c>
      <c r="X108" s="20">
        <f t="shared" si="41"/>
        <v>3.1612672955356499E-3</v>
      </c>
      <c r="Y108" s="20">
        <f t="shared" si="41"/>
        <v>7.252669240060132E-2</v>
      </c>
      <c r="Z108" s="20">
        <f t="shared" si="41"/>
        <v>5.1393008372784283E-3</v>
      </c>
      <c r="AA108" s="20">
        <f t="shared" si="41"/>
        <v>5.680531629860924E-4</v>
      </c>
      <c r="AB108" s="20">
        <f t="shared" si="41"/>
        <v>1.1757791819109462E-3</v>
      </c>
      <c r="AC108" s="20">
        <f t="shared" si="41"/>
        <v>0</v>
      </c>
      <c r="AD108" s="20">
        <f t="shared" si="41"/>
        <v>0</v>
      </c>
      <c r="AE108" s="20">
        <f t="shared" si="41"/>
        <v>0</v>
      </c>
      <c r="AF108" s="20">
        <f t="shared" si="41"/>
        <v>0</v>
      </c>
      <c r="AG108" s="20">
        <f t="shared" si="41"/>
        <v>8.1823774109790655E-4</v>
      </c>
      <c r="AH108" s="20">
        <f t="shared" si="41"/>
        <v>1.6133872882584154E-3</v>
      </c>
      <c r="AI108" s="20">
        <f t="shared" si="41"/>
        <v>0.10723908468030596</v>
      </c>
      <c r="AJ108" s="20">
        <f t="shared" si="41"/>
        <v>2.6613725243911346E-3</v>
      </c>
      <c r="AK108" s="20">
        <f t="shared" si="41"/>
        <v>1.2156234418330937E-5</v>
      </c>
      <c r="AL108" s="20">
        <f t="shared" ref="AL108:BS108" si="42">IF(AL26=".",0,AL26/AL$83)</f>
        <v>3.1689964579027265E-2</v>
      </c>
      <c r="AM108" s="20">
        <f t="shared" si="42"/>
        <v>0</v>
      </c>
      <c r="AN108" s="20">
        <f t="shared" si="42"/>
        <v>1.1691363589716276E-5</v>
      </c>
      <c r="AO108" s="20">
        <f t="shared" si="42"/>
        <v>4.5797439529722067E-4</v>
      </c>
      <c r="AP108" s="20">
        <f t="shared" si="42"/>
        <v>1.7949673180478883E-3</v>
      </c>
      <c r="AQ108" s="20">
        <f t="shared" si="42"/>
        <v>0</v>
      </c>
      <c r="AR108" s="20">
        <f t="shared" si="42"/>
        <v>9.1766935032891732E-4</v>
      </c>
      <c r="AS108" s="20">
        <f t="shared" si="42"/>
        <v>8.4518160997804905E-4</v>
      </c>
      <c r="AT108" s="20">
        <f t="shared" si="42"/>
        <v>3.1155318896687895E-5</v>
      </c>
      <c r="AU108" s="20">
        <f t="shared" si="42"/>
        <v>0</v>
      </c>
      <c r="AV108" s="20">
        <f t="shared" si="42"/>
        <v>3.6450263306817313E-4</v>
      </c>
      <c r="AW108" s="20">
        <f t="shared" si="42"/>
        <v>0</v>
      </c>
      <c r="AX108" s="20">
        <f t="shared" si="42"/>
        <v>1.2705330341508303E-3</v>
      </c>
      <c r="AY108" s="20">
        <f t="shared" si="42"/>
        <v>1.8096897560107355E-4</v>
      </c>
      <c r="AZ108" s="20">
        <f t="shared" si="42"/>
        <v>0</v>
      </c>
      <c r="BA108" s="20">
        <f t="shared" si="42"/>
        <v>9.1915628459347278E-4</v>
      </c>
      <c r="BB108" s="20">
        <f t="shared" si="42"/>
        <v>1.8821687100744963E-4</v>
      </c>
      <c r="BC108" s="20">
        <f t="shared" si="42"/>
        <v>1.3989214674184016E-5</v>
      </c>
      <c r="BD108" s="20">
        <f t="shared" si="42"/>
        <v>2.0203590022534773E-4</v>
      </c>
      <c r="BE108" s="20">
        <f t="shared" si="42"/>
        <v>1.1719149284454729E-2</v>
      </c>
      <c r="BF108" s="20">
        <f t="shared" si="42"/>
        <v>4.5704704515820683E-5</v>
      </c>
      <c r="BG108" s="20">
        <f t="shared" si="42"/>
        <v>0</v>
      </c>
      <c r="BH108" s="20">
        <f t="shared" si="42"/>
        <v>1.1344344698046488E-4</v>
      </c>
      <c r="BI108" s="20">
        <f t="shared" si="42"/>
        <v>1.7510914271717619E-3</v>
      </c>
      <c r="BJ108" s="20">
        <f t="shared" si="42"/>
        <v>3.0319171758279176E-4</v>
      </c>
      <c r="BK108" s="20">
        <f t="shared" si="42"/>
        <v>2.2359665243868921E-4</v>
      </c>
      <c r="BL108" s="20">
        <f t="shared" si="42"/>
        <v>4.6453824898051336E-4</v>
      </c>
      <c r="BM108" s="20">
        <f t="shared" si="42"/>
        <v>3.128954331070977E-4</v>
      </c>
      <c r="BN108" s="20">
        <f t="shared" si="42"/>
        <v>1.3420951655692766E-3</v>
      </c>
      <c r="BO108" s="20">
        <f t="shared" si="42"/>
        <v>0</v>
      </c>
      <c r="BP108" s="20">
        <f t="shared" si="42"/>
        <v>1.6396891396891397E-4</v>
      </c>
      <c r="BQ108" s="20">
        <f t="shared" si="42"/>
        <v>4.1333103480952999E-5</v>
      </c>
      <c r="BR108" s="20">
        <f t="shared" si="42"/>
        <v>0</v>
      </c>
      <c r="BS108" s="20">
        <f t="shared" si="42"/>
        <v>6.1874682199773226E-3</v>
      </c>
      <c r="BT108" s="163">
        <f t="shared" si="2"/>
        <v>1.2522802721538228E-2</v>
      </c>
      <c r="BU108" s="164"/>
      <c r="BV108" s="164">
        <f t="shared" si="3"/>
        <v>0</v>
      </c>
      <c r="BW108" s="162"/>
      <c r="BX108" s="163">
        <f t="shared" si="4"/>
        <v>7.0740112051436918E-2</v>
      </c>
      <c r="BY108" s="164"/>
      <c r="BZ108" s="164"/>
      <c r="CA108" s="164"/>
      <c r="CB108" s="165"/>
      <c r="CC108" s="166"/>
    </row>
    <row r="109" spans="1:81" x14ac:dyDescent="0.3">
      <c r="A109" s="7">
        <v>21</v>
      </c>
      <c r="B109" s="150" t="s">
        <v>11</v>
      </c>
      <c r="C109" s="150"/>
      <c r="D109" s="150"/>
      <c r="E109" s="150"/>
      <c r="F109" s="20">
        <f t="shared" ref="F109:AK109" si="43">IF(F27=".",0,F27/F$83)</f>
        <v>0</v>
      </c>
      <c r="G109" s="20">
        <f t="shared" si="43"/>
        <v>0</v>
      </c>
      <c r="H109" s="20">
        <f t="shared" si="43"/>
        <v>2.0505666957279861E-4</v>
      </c>
      <c r="I109" s="20">
        <f t="shared" si="43"/>
        <v>0</v>
      </c>
      <c r="J109" s="20">
        <f t="shared" si="43"/>
        <v>3.2978958833596246E-6</v>
      </c>
      <c r="K109" s="20">
        <f t="shared" si="43"/>
        <v>5.0831309917539489E-5</v>
      </c>
      <c r="L109" s="20">
        <f t="shared" si="43"/>
        <v>0</v>
      </c>
      <c r="M109" s="20">
        <f t="shared" si="43"/>
        <v>0</v>
      </c>
      <c r="N109" s="20">
        <f t="shared" si="43"/>
        <v>0</v>
      </c>
      <c r="O109" s="20">
        <f t="shared" si="43"/>
        <v>0</v>
      </c>
      <c r="P109" s="20">
        <f t="shared" si="43"/>
        <v>0</v>
      </c>
      <c r="Q109" s="20">
        <f t="shared" si="43"/>
        <v>0</v>
      </c>
      <c r="R109" s="20">
        <f t="shared" si="43"/>
        <v>0</v>
      </c>
      <c r="S109" s="20">
        <f t="shared" si="43"/>
        <v>0</v>
      </c>
      <c r="T109" s="20">
        <f t="shared" si="43"/>
        <v>0</v>
      </c>
      <c r="U109" s="20">
        <f t="shared" si="43"/>
        <v>0</v>
      </c>
      <c r="V109" s="20">
        <f t="shared" si="43"/>
        <v>9.4343114497197125E-5</v>
      </c>
      <c r="W109" s="20">
        <f t="shared" si="43"/>
        <v>0</v>
      </c>
      <c r="X109" s="20">
        <f t="shared" si="43"/>
        <v>0</v>
      </c>
      <c r="Y109" s="20">
        <f t="shared" si="43"/>
        <v>5.5255686681037145E-6</v>
      </c>
      <c r="Z109" s="20">
        <f t="shared" si="43"/>
        <v>2.9126975483821371E-2</v>
      </c>
      <c r="AA109" s="20">
        <f t="shared" si="43"/>
        <v>1.00788514777415E-4</v>
      </c>
      <c r="AB109" s="20">
        <f t="shared" si="43"/>
        <v>1.2074751122855524E-2</v>
      </c>
      <c r="AC109" s="20">
        <f t="shared" si="43"/>
        <v>0</v>
      </c>
      <c r="AD109" s="20">
        <f t="shared" si="43"/>
        <v>0</v>
      </c>
      <c r="AE109" s="20">
        <f t="shared" si="43"/>
        <v>0</v>
      </c>
      <c r="AF109" s="20">
        <f t="shared" si="43"/>
        <v>0</v>
      </c>
      <c r="AG109" s="20">
        <f t="shared" si="43"/>
        <v>0</v>
      </c>
      <c r="AH109" s="20">
        <f t="shared" si="43"/>
        <v>1.768721697961162E-4</v>
      </c>
      <c r="AI109" s="20">
        <f t="shared" si="43"/>
        <v>5.1161369474252739E-3</v>
      </c>
      <c r="AJ109" s="20">
        <f t="shared" si="43"/>
        <v>0</v>
      </c>
      <c r="AK109" s="20">
        <f t="shared" si="43"/>
        <v>0</v>
      </c>
      <c r="AL109" s="20">
        <f t="shared" ref="AL109:BS109" si="44">IF(AL27=".",0,AL27/AL$83)</f>
        <v>8.9800266755317134E-4</v>
      </c>
      <c r="AM109" s="20">
        <f t="shared" si="44"/>
        <v>0</v>
      </c>
      <c r="AN109" s="20">
        <f t="shared" si="44"/>
        <v>1.197065727547061E-3</v>
      </c>
      <c r="AO109" s="20">
        <f t="shared" si="44"/>
        <v>1.9595271501583882E-4</v>
      </c>
      <c r="AP109" s="20">
        <f t="shared" si="44"/>
        <v>3.5169896652607396E-5</v>
      </c>
      <c r="AQ109" s="20">
        <f t="shared" si="44"/>
        <v>0</v>
      </c>
      <c r="AR109" s="20">
        <f t="shared" si="44"/>
        <v>0</v>
      </c>
      <c r="AS109" s="20">
        <f t="shared" si="44"/>
        <v>1.0406809621541502E-4</v>
      </c>
      <c r="AT109" s="20">
        <f t="shared" si="44"/>
        <v>5.0062554410326726E-5</v>
      </c>
      <c r="AU109" s="20">
        <f t="shared" si="44"/>
        <v>1.3276138634026302E-4</v>
      </c>
      <c r="AV109" s="20">
        <f t="shared" si="44"/>
        <v>0</v>
      </c>
      <c r="AW109" s="20">
        <f t="shared" si="44"/>
        <v>0</v>
      </c>
      <c r="AX109" s="20">
        <f t="shared" si="44"/>
        <v>0</v>
      </c>
      <c r="AY109" s="20">
        <f t="shared" si="44"/>
        <v>1.932286525096492E-5</v>
      </c>
      <c r="AZ109" s="20">
        <f t="shared" si="44"/>
        <v>2.4898210258062627E-5</v>
      </c>
      <c r="BA109" s="20">
        <f t="shared" si="44"/>
        <v>5.6383815642938971E-5</v>
      </c>
      <c r="BB109" s="20">
        <f t="shared" si="44"/>
        <v>1.505734968059597E-5</v>
      </c>
      <c r="BC109" s="20">
        <f t="shared" si="44"/>
        <v>2.4391451226782387E-5</v>
      </c>
      <c r="BD109" s="20">
        <f t="shared" si="44"/>
        <v>2.853933695490926E-4</v>
      </c>
      <c r="BE109" s="20">
        <f t="shared" si="44"/>
        <v>8.3204858840773166E-4</v>
      </c>
      <c r="BF109" s="20">
        <f t="shared" si="44"/>
        <v>1.0969129083796962E-4</v>
      </c>
      <c r="BG109" s="20">
        <f t="shared" si="44"/>
        <v>8.7986066616732686E-5</v>
      </c>
      <c r="BH109" s="20">
        <f t="shared" si="44"/>
        <v>0</v>
      </c>
      <c r="BI109" s="20">
        <f t="shared" si="44"/>
        <v>3.2257255940349732E-3</v>
      </c>
      <c r="BJ109" s="20">
        <f t="shared" si="44"/>
        <v>2.8185304570172965E-5</v>
      </c>
      <c r="BK109" s="20">
        <f t="shared" si="44"/>
        <v>0</v>
      </c>
      <c r="BL109" s="20">
        <f t="shared" si="44"/>
        <v>3.3666535463749032E-4</v>
      </c>
      <c r="BM109" s="20">
        <f t="shared" si="44"/>
        <v>7.086161279190153E-5</v>
      </c>
      <c r="BN109" s="20">
        <f t="shared" si="44"/>
        <v>1.141694482085063E-3</v>
      </c>
      <c r="BO109" s="20">
        <f t="shared" si="44"/>
        <v>1.8832476156740009E-4</v>
      </c>
      <c r="BP109" s="20">
        <f t="shared" si="44"/>
        <v>0</v>
      </c>
      <c r="BQ109" s="20">
        <f t="shared" si="44"/>
        <v>0</v>
      </c>
      <c r="BR109" s="20">
        <f t="shared" si="44"/>
        <v>0</v>
      </c>
      <c r="BS109" s="20">
        <f t="shared" si="44"/>
        <v>6.2601631597461471E-4</v>
      </c>
      <c r="BT109" s="163">
        <f t="shared" si="2"/>
        <v>9.6093333008384922E-4</v>
      </c>
      <c r="BU109" s="164"/>
      <c r="BV109" s="164">
        <f t="shared" si="3"/>
        <v>4.2919094886663368E-4</v>
      </c>
      <c r="BW109" s="162"/>
      <c r="BX109" s="163">
        <f t="shared" si="4"/>
        <v>1.0438931471152249E-2</v>
      </c>
      <c r="BY109" s="164"/>
      <c r="BZ109" s="164"/>
      <c r="CA109" s="164"/>
      <c r="CB109" s="165"/>
      <c r="CC109" s="166"/>
    </row>
    <row r="110" spans="1:81" x14ac:dyDescent="0.3">
      <c r="A110" s="7">
        <v>22</v>
      </c>
      <c r="B110" s="150" t="s">
        <v>132</v>
      </c>
      <c r="C110" s="150"/>
      <c r="D110" s="150"/>
      <c r="E110" s="150"/>
      <c r="F110" s="20">
        <f t="shared" ref="F110:AK110" si="45">IF(F28=".",0,F28/F$83)</f>
        <v>2.2380321264398837E-4</v>
      </c>
      <c r="G110" s="20">
        <f t="shared" si="45"/>
        <v>1.0767213370873698E-3</v>
      </c>
      <c r="H110" s="20">
        <f t="shared" si="45"/>
        <v>2.1203138622493461E-4</v>
      </c>
      <c r="I110" s="20">
        <f t="shared" si="45"/>
        <v>9.5332818298137271E-4</v>
      </c>
      <c r="J110" s="20">
        <f t="shared" si="45"/>
        <v>1.8753706441194284E-5</v>
      </c>
      <c r="K110" s="20">
        <f t="shared" si="45"/>
        <v>4.9332956033150089E-3</v>
      </c>
      <c r="L110" s="20">
        <f t="shared" si="45"/>
        <v>1.3979927393546821E-3</v>
      </c>
      <c r="M110" s="20">
        <f t="shared" si="45"/>
        <v>1.8961458220353582E-4</v>
      </c>
      <c r="N110" s="20">
        <f t="shared" si="45"/>
        <v>2.4934708388326204E-3</v>
      </c>
      <c r="O110" s="20">
        <f t="shared" si="45"/>
        <v>1.410027339461391E-4</v>
      </c>
      <c r="P110" s="20">
        <f t="shared" si="45"/>
        <v>1.6102589941807287E-4</v>
      </c>
      <c r="Q110" s="20">
        <f t="shared" si="45"/>
        <v>6.5257229034355966E-4</v>
      </c>
      <c r="R110" s="20">
        <f t="shared" si="45"/>
        <v>5.8336304163637972E-4</v>
      </c>
      <c r="S110" s="20">
        <f t="shared" si="45"/>
        <v>8.3395010396990741E-4</v>
      </c>
      <c r="T110" s="20">
        <f t="shared" si="45"/>
        <v>9.5887686443553555E-6</v>
      </c>
      <c r="U110" s="20">
        <f t="shared" si="45"/>
        <v>5.9493123007678828E-4</v>
      </c>
      <c r="V110" s="20">
        <f t="shared" si="45"/>
        <v>3.5065582379489196E-4</v>
      </c>
      <c r="W110" s="20">
        <f t="shared" si="45"/>
        <v>8.3069585160169723E-5</v>
      </c>
      <c r="X110" s="20">
        <f t="shared" si="45"/>
        <v>3.6383115517285558E-4</v>
      </c>
      <c r="Y110" s="20">
        <f t="shared" si="45"/>
        <v>3.3657920452231758E-4</v>
      </c>
      <c r="Z110" s="20">
        <f t="shared" si="45"/>
        <v>1.3666365579549991E-3</v>
      </c>
      <c r="AA110" s="20">
        <f t="shared" si="45"/>
        <v>4.6032615466505319E-2</v>
      </c>
      <c r="AB110" s="20">
        <f t="shared" si="45"/>
        <v>1.3711597331171586E-3</v>
      </c>
      <c r="AC110" s="20">
        <f t="shared" si="45"/>
        <v>5.6011138566000368E-4</v>
      </c>
      <c r="AD110" s="20">
        <f t="shared" si="45"/>
        <v>1.1845652574145935E-4</v>
      </c>
      <c r="AE110" s="20">
        <f t="shared" si="45"/>
        <v>0</v>
      </c>
      <c r="AF110" s="20">
        <f t="shared" si="45"/>
        <v>1.0832973093989969E-3</v>
      </c>
      <c r="AG110" s="20">
        <f t="shared" si="45"/>
        <v>8.7689383276882981E-4</v>
      </c>
      <c r="AH110" s="20">
        <f t="shared" si="45"/>
        <v>3.7338599890988792E-4</v>
      </c>
      <c r="AI110" s="20">
        <f t="shared" si="45"/>
        <v>4.3816104193929319E-4</v>
      </c>
      <c r="AJ110" s="20">
        <f t="shared" si="45"/>
        <v>2.3247720611935222E-3</v>
      </c>
      <c r="AK110" s="20">
        <f t="shared" si="45"/>
        <v>1.0681901372210287E-3</v>
      </c>
      <c r="AL110" s="20">
        <f t="shared" ref="AL110:BS110" si="46">IF(AL28=".",0,AL28/AL$83)</f>
        <v>6.9498741605067223E-5</v>
      </c>
      <c r="AM110" s="20">
        <f t="shared" si="46"/>
        <v>0</v>
      </c>
      <c r="AN110" s="20">
        <f t="shared" si="46"/>
        <v>0</v>
      </c>
      <c r="AO110" s="20">
        <f t="shared" si="46"/>
        <v>2.0233956056141123E-4</v>
      </c>
      <c r="AP110" s="20">
        <f t="shared" si="46"/>
        <v>1.0420710119291079E-4</v>
      </c>
      <c r="AQ110" s="20">
        <f t="shared" si="46"/>
        <v>4.0408573633011879E-3</v>
      </c>
      <c r="AR110" s="20">
        <f t="shared" si="46"/>
        <v>9.7164990034826555E-4</v>
      </c>
      <c r="AS110" s="20">
        <f t="shared" si="46"/>
        <v>2.0248678149342178E-3</v>
      </c>
      <c r="AT110" s="20">
        <f t="shared" si="46"/>
        <v>2.7124153589063008E-4</v>
      </c>
      <c r="AU110" s="20">
        <f t="shared" si="46"/>
        <v>8.6052942968569841E-5</v>
      </c>
      <c r="AV110" s="20">
        <f t="shared" si="46"/>
        <v>4.0615787041498935E-3</v>
      </c>
      <c r="AW110" s="20">
        <f t="shared" si="46"/>
        <v>1.6614464429662355E-4</v>
      </c>
      <c r="AX110" s="20">
        <f t="shared" si="46"/>
        <v>1.4859864760633564E-3</v>
      </c>
      <c r="AY110" s="20">
        <f t="shared" si="46"/>
        <v>1.7834046051079867E-3</v>
      </c>
      <c r="AZ110" s="20">
        <f t="shared" si="46"/>
        <v>1.4203962942941823E-3</v>
      </c>
      <c r="BA110" s="20">
        <f t="shared" si="46"/>
        <v>1.4980078830579646E-3</v>
      </c>
      <c r="BB110" s="20">
        <f t="shared" si="46"/>
        <v>5.6465061302234882E-3</v>
      </c>
      <c r="BC110" s="20">
        <f t="shared" si="46"/>
        <v>9.2823819830393332E-3</v>
      </c>
      <c r="BD110" s="20">
        <f t="shared" si="46"/>
        <v>3.8867186120274942E-3</v>
      </c>
      <c r="BE110" s="20">
        <f t="shared" si="46"/>
        <v>6.6620776146814912E-3</v>
      </c>
      <c r="BF110" s="20">
        <f t="shared" si="46"/>
        <v>1.606193901555984E-4</v>
      </c>
      <c r="BG110" s="20">
        <f t="shared" si="46"/>
        <v>0</v>
      </c>
      <c r="BH110" s="20">
        <f t="shared" si="46"/>
        <v>1.8076562371313421E-3</v>
      </c>
      <c r="BI110" s="20">
        <f t="shared" si="46"/>
        <v>2.4562333416544139E-3</v>
      </c>
      <c r="BJ110" s="20">
        <f t="shared" si="46"/>
        <v>7.3884295559091461E-3</v>
      </c>
      <c r="BK110" s="20">
        <f t="shared" si="46"/>
        <v>5.1846789493780146E-2</v>
      </c>
      <c r="BL110" s="20">
        <f t="shared" si="46"/>
        <v>4.9111183483617283E-3</v>
      </c>
      <c r="BM110" s="20">
        <f t="shared" si="46"/>
        <v>1.1263315311169907E-2</v>
      </c>
      <c r="BN110" s="20">
        <f t="shared" si="46"/>
        <v>1.5463270385906881E-2</v>
      </c>
      <c r="BO110" s="20">
        <f t="shared" si="46"/>
        <v>2.6024688479456908E-3</v>
      </c>
      <c r="BP110" s="20">
        <f t="shared" si="46"/>
        <v>2.3116523116523117E-2</v>
      </c>
      <c r="BQ110" s="20">
        <f t="shared" si="46"/>
        <v>4.6666081954471073E-3</v>
      </c>
      <c r="BR110" s="20">
        <f t="shared" si="46"/>
        <v>0</v>
      </c>
      <c r="BS110" s="20">
        <f t="shared" si="46"/>
        <v>4.0781997215811007E-3</v>
      </c>
      <c r="BT110" s="163">
        <f t="shared" si="2"/>
        <v>9.6746433787083651E-3</v>
      </c>
      <c r="BU110" s="164"/>
      <c r="BV110" s="164">
        <f t="shared" si="3"/>
        <v>4.9454349867058265E-4</v>
      </c>
      <c r="BW110" s="162"/>
      <c r="BX110" s="163">
        <f t="shared" si="4"/>
        <v>3.4050261759052784E-2</v>
      </c>
      <c r="BY110" s="164"/>
      <c r="BZ110" s="164"/>
      <c r="CA110" s="164"/>
      <c r="CB110" s="165"/>
      <c r="CC110" s="166"/>
    </row>
    <row r="111" spans="1:81" x14ac:dyDescent="0.3">
      <c r="A111" s="7">
        <v>23</v>
      </c>
      <c r="B111" s="150" t="s">
        <v>133</v>
      </c>
      <c r="C111" s="150"/>
      <c r="D111" s="150"/>
      <c r="E111" s="150"/>
      <c r="F111" s="20">
        <f t="shared" ref="F111:AK111" si="47">IF(F29=".",0,F29/F$83)</f>
        <v>9.0224148819687214E-3</v>
      </c>
      <c r="G111" s="20">
        <f t="shared" si="47"/>
        <v>9.6712010741968422E-3</v>
      </c>
      <c r="H111" s="20">
        <f t="shared" si="47"/>
        <v>6.6870793374019175E-2</v>
      </c>
      <c r="I111" s="20">
        <f t="shared" si="47"/>
        <v>2.1477884652857219E-2</v>
      </c>
      <c r="J111" s="20">
        <f t="shared" si="47"/>
        <v>2.9153399608899079E-3</v>
      </c>
      <c r="K111" s="20">
        <f t="shared" si="47"/>
        <v>1.578429148757403E-3</v>
      </c>
      <c r="L111" s="20">
        <f t="shared" si="47"/>
        <v>9.0849880592528253E-3</v>
      </c>
      <c r="M111" s="20">
        <f t="shared" si="47"/>
        <v>3.4498114700234144E-3</v>
      </c>
      <c r="N111" s="20">
        <f t="shared" si="47"/>
        <v>6.0755671998166958E-3</v>
      </c>
      <c r="O111" s="20">
        <f t="shared" si="47"/>
        <v>2.354476567713603E-2</v>
      </c>
      <c r="P111" s="20">
        <f t="shared" si="47"/>
        <v>2.7975276681174513E-3</v>
      </c>
      <c r="Q111" s="20">
        <f t="shared" si="47"/>
        <v>3.7035884809509632E-6</v>
      </c>
      <c r="R111" s="20">
        <f t="shared" si="47"/>
        <v>2.8133046458053753E-3</v>
      </c>
      <c r="S111" s="20">
        <f t="shared" si="47"/>
        <v>1.2663087015620729E-2</v>
      </c>
      <c r="T111" s="20">
        <f t="shared" si="47"/>
        <v>1.8899153682906846E-4</v>
      </c>
      <c r="U111" s="20">
        <f t="shared" si="47"/>
        <v>5.9589079657691212E-3</v>
      </c>
      <c r="V111" s="20">
        <f t="shared" si="47"/>
        <v>6.4342560683634136E-4</v>
      </c>
      <c r="W111" s="20">
        <f t="shared" si="47"/>
        <v>1.5627297687251344E-3</v>
      </c>
      <c r="X111" s="20">
        <f t="shared" si="47"/>
        <v>8.9021248907344616E-4</v>
      </c>
      <c r="Y111" s="20">
        <f t="shared" si="47"/>
        <v>2.4847040847766374E-3</v>
      </c>
      <c r="Z111" s="20">
        <f t="shared" si="47"/>
        <v>2.6501004691407058E-2</v>
      </c>
      <c r="AA111" s="20">
        <f t="shared" si="47"/>
        <v>3.0512396684194264E-3</v>
      </c>
      <c r="AB111" s="20">
        <f t="shared" si="47"/>
        <v>9.7242803644876627E-2</v>
      </c>
      <c r="AC111" s="20">
        <f t="shared" si="47"/>
        <v>9.3027073958296836E-3</v>
      </c>
      <c r="AD111" s="20">
        <f t="shared" si="47"/>
        <v>0</v>
      </c>
      <c r="AE111" s="20">
        <f t="shared" si="47"/>
        <v>1.7502708716572512E-2</v>
      </c>
      <c r="AF111" s="20">
        <f t="shared" si="47"/>
        <v>1.3680497450124477E-3</v>
      </c>
      <c r="AG111" s="20">
        <f t="shared" si="47"/>
        <v>3.6434570308758003E-3</v>
      </c>
      <c r="AH111" s="20">
        <f t="shared" si="47"/>
        <v>3.8492304286058018E-3</v>
      </c>
      <c r="AI111" s="20">
        <f t="shared" si="47"/>
        <v>2.2615752438755817E-3</v>
      </c>
      <c r="AJ111" s="20">
        <f t="shared" si="47"/>
        <v>2.7368432123049606E-3</v>
      </c>
      <c r="AK111" s="20">
        <f t="shared" si="47"/>
        <v>4.7092420941098265E-3</v>
      </c>
      <c r="AL111" s="20">
        <f t="shared" ref="AL111:BS111" si="48">IF(AL29=".",0,AL29/AL$83)</f>
        <v>1.0343035118934562E-2</v>
      </c>
      <c r="AM111" s="20">
        <f t="shared" si="48"/>
        <v>2.2979000415670812E-3</v>
      </c>
      <c r="AN111" s="20">
        <f t="shared" si="48"/>
        <v>3.7629303233701263E-2</v>
      </c>
      <c r="AO111" s="20">
        <f t="shared" si="48"/>
        <v>5.5257484873105188E-3</v>
      </c>
      <c r="AP111" s="20">
        <f t="shared" si="48"/>
        <v>6.2367950063957111E-3</v>
      </c>
      <c r="AQ111" s="20">
        <f t="shared" si="48"/>
        <v>4.0011244246600467E-3</v>
      </c>
      <c r="AR111" s="20">
        <f t="shared" si="48"/>
        <v>5.6527946761834175E-4</v>
      </c>
      <c r="AS111" s="20">
        <f t="shared" si="48"/>
        <v>1.57440162703035E-3</v>
      </c>
      <c r="AT111" s="20">
        <f t="shared" si="48"/>
        <v>0</v>
      </c>
      <c r="AU111" s="20">
        <f t="shared" si="48"/>
        <v>0</v>
      </c>
      <c r="AV111" s="20">
        <f t="shared" si="48"/>
        <v>1.0553586829469606E-3</v>
      </c>
      <c r="AW111" s="20">
        <f t="shared" si="48"/>
        <v>1.9834798893189507E-3</v>
      </c>
      <c r="AX111" s="20">
        <f t="shared" si="48"/>
        <v>1.9186450138876971E-3</v>
      </c>
      <c r="AY111" s="20">
        <f t="shared" si="48"/>
        <v>1.3323191267558267E-3</v>
      </c>
      <c r="AZ111" s="20">
        <f t="shared" si="48"/>
        <v>0</v>
      </c>
      <c r="BA111" s="20">
        <f t="shared" si="48"/>
        <v>5.1646240600751198E-4</v>
      </c>
      <c r="BB111" s="20">
        <f t="shared" si="48"/>
        <v>9.320499452288905E-4</v>
      </c>
      <c r="BC111" s="20">
        <f t="shared" si="48"/>
        <v>3.5224125153971033E-4</v>
      </c>
      <c r="BD111" s="20">
        <f t="shared" si="48"/>
        <v>2.938704003277785E-3</v>
      </c>
      <c r="BE111" s="20">
        <f t="shared" si="48"/>
        <v>3.1516547104795727E-2</v>
      </c>
      <c r="BF111" s="20">
        <f t="shared" si="48"/>
        <v>0</v>
      </c>
      <c r="BG111" s="20">
        <f t="shared" si="48"/>
        <v>3.474321604865855E-4</v>
      </c>
      <c r="BH111" s="20">
        <f t="shared" si="48"/>
        <v>3.5308276589470216E-4</v>
      </c>
      <c r="BI111" s="20">
        <f t="shared" si="48"/>
        <v>3.0913814375806855E-3</v>
      </c>
      <c r="BJ111" s="20">
        <f t="shared" si="48"/>
        <v>9.361629096910891E-4</v>
      </c>
      <c r="BK111" s="20">
        <f t="shared" si="48"/>
        <v>5.1040950129775204E-3</v>
      </c>
      <c r="BL111" s="20">
        <f t="shared" si="48"/>
        <v>2.5644509357698447E-3</v>
      </c>
      <c r="BM111" s="20">
        <f t="shared" si="48"/>
        <v>4.385137466927413E-4</v>
      </c>
      <c r="BN111" s="20">
        <f t="shared" si="48"/>
        <v>1.0114340378203242E-3</v>
      </c>
      <c r="BO111" s="20">
        <f t="shared" si="48"/>
        <v>1.1864459978746206E-3</v>
      </c>
      <c r="BP111" s="20">
        <f t="shared" si="48"/>
        <v>1.5159390159390158E-4</v>
      </c>
      <c r="BQ111" s="20">
        <f t="shared" si="48"/>
        <v>1.4313351298111478E-2</v>
      </c>
      <c r="BR111" s="20">
        <f t="shared" si="48"/>
        <v>0</v>
      </c>
      <c r="BS111" s="20">
        <f t="shared" si="48"/>
        <v>6.8229403183418854E-3</v>
      </c>
      <c r="BT111" s="163">
        <f t="shared" si="2"/>
        <v>2.4763193739196852E-5</v>
      </c>
      <c r="BU111" s="164"/>
      <c r="BV111" s="164">
        <f t="shared" si="3"/>
        <v>0</v>
      </c>
      <c r="BW111" s="162"/>
      <c r="BX111" s="163">
        <f t="shared" si="4"/>
        <v>0</v>
      </c>
      <c r="BY111" s="164"/>
      <c r="BZ111" s="164"/>
      <c r="CA111" s="164"/>
      <c r="CB111" s="165"/>
      <c r="CC111" s="166"/>
    </row>
    <row r="112" spans="1:81" x14ac:dyDescent="0.3">
      <c r="A112" s="7">
        <v>24</v>
      </c>
      <c r="B112" s="152" t="s">
        <v>286</v>
      </c>
      <c r="C112" s="151"/>
      <c r="D112" s="151"/>
      <c r="E112" s="153"/>
      <c r="F112" s="20">
        <f t="shared" ref="F112:AK112" si="49">IF(F30=".",0,F30/F$83)</f>
        <v>1.7200616604386206E-2</v>
      </c>
      <c r="G112" s="20">
        <f t="shared" si="49"/>
        <v>2.5904662648748777E-3</v>
      </c>
      <c r="H112" s="20">
        <f t="shared" si="49"/>
        <v>1.0808020924149958E-2</v>
      </c>
      <c r="I112" s="20">
        <f t="shared" si="49"/>
        <v>5.8313162577005577E-2</v>
      </c>
      <c r="J112" s="20">
        <f t="shared" si="49"/>
        <v>9.3450555976023596E-3</v>
      </c>
      <c r="K112" s="20">
        <f t="shared" si="49"/>
        <v>5.4916956208401141E-3</v>
      </c>
      <c r="L112" s="20">
        <f t="shared" si="49"/>
        <v>1.620787441702758E-2</v>
      </c>
      <c r="M112" s="20">
        <f t="shared" si="49"/>
        <v>4.463930483159903E-2</v>
      </c>
      <c r="N112" s="20">
        <f t="shared" si="49"/>
        <v>1.0748362655375373E-2</v>
      </c>
      <c r="O112" s="20">
        <f t="shared" si="49"/>
        <v>3.6109077992809935E-2</v>
      </c>
      <c r="P112" s="20">
        <f t="shared" si="49"/>
        <v>3.783126140470845E-3</v>
      </c>
      <c r="Q112" s="20">
        <f t="shared" si="49"/>
        <v>6.3035075945785393E-4</v>
      </c>
      <c r="R112" s="20">
        <f t="shared" si="49"/>
        <v>9.7041978989670773E-3</v>
      </c>
      <c r="S112" s="20">
        <f t="shared" si="49"/>
        <v>2.5414045986799683E-2</v>
      </c>
      <c r="T112" s="20">
        <f t="shared" si="49"/>
        <v>2.422092028052407E-3</v>
      </c>
      <c r="U112" s="20">
        <f t="shared" si="49"/>
        <v>7.8247128454789674E-3</v>
      </c>
      <c r="V112" s="20">
        <f t="shared" si="49"/>
        <v>3.2956081471262783E-4</v>
      </c>
      <c r="W112" s="20">
        <f t="shared" si="49"/>
        <v>2.7190727319471733E-3</v>
      </c>
      <c r="X112" s="20">
        <f t="shared" si="49"/>
        <v>4.2064029754786385E-3</v>
      </c>
      <c r="Y112" s="20">
        <f t="shared" si="49"/>
        <v>2.3562946737722273E-3</v>
      </c>
      <c r="Z112" s="20">
        <f t="shared" si="49"/>
        <v>1.3244630079243566E-3</v>
      </c>
      <c r="AA112" s="20">
        <f t="shared" si="49"/>
        <v>9.9512365462488938E-3</v>
      </c>
      <c r="AB112" s="20">
        <f t="shared" si="49"/>
        <v>5.5192092486860368E-3</v>
      </c>
      <c r="AC112" s="20">
        <f t="shared" si="49"/>
        <v>1.3360583152458214E-3</v>
      </c>
      <c r="AD112" s="20">
        <f t="shared" si="49"/>
        <v>5.1473879860344991E-4</v>
      </c>
      <c r="AE112" s="20">
        <f t="shared" si="49"/>
        <v>3.5097187126713551E-2</v>
      </c>
      <c r="AF112" s="20">
        <f t="shared" si="49"/>
        <v>7.4546330562499555E-2</v>
      </c>
      <c r="AG112" s="20">
        <f t="shared" si="49"/>
        <v>3.9396850315254386E-3</v>
      </c>
      <c r="AH112" s="20">
        <f t="shared" si="49"/>
        <v>2.1304880023737239E-3</v>
      </c>
      <c r="AI112" s="20">
        <f t="shared" si="49"/>
        <v>1.251045582544686E-2</v>
      </c>
      <c r="AJ112" s="20">
        <f t="shared" si="49"/>
        <v>4.7499326858828706E-3</v>
      </c>
      <c r="AK112" s="20">
        <f t="shared" si="49"/>
        <v>3.6641695821715212E-2</v>
      </c>
      <c r="AL112" s="20">
        <f t="shared" ref="AL112:BS112" si="50">IF(AL30=".",0,AL30/AL$83)</f>
        <v>3.7561475510170823E-3</v>
      </c>
      <c r="AM112" s="20">
        <f t="shared" si="50"/>
        <v>0</v>
      </c>
      <c r="AN112" s="20">
        <f t="shared" si="50"/>
        <v>0</v>
      </c>
      <c r="AO112" s="20">
        <f t="shared" si="50"/>
        <v>8.136841225059234E-3</v>
      </c>
      <c r="AP112" s="20">
        <f t="shared" si="50"/>
        <v>7.7790601040507897E-3</v>
      </c>
      <c r="AQ112" s="20">
        <f t="shared" si="50"/>
        <v>2.7258721292514245E-2</v>
      </c>
      <c r="AR112" s="20">
        <f t="shared" si="50"/>
        <v>1.7103949556692313E-3</v>
      </c>
      <c r="AS112" s="20">
        <f t="shared" si="50"/>
        <v>3.4275570832091331E-3</v>
      </c>
      <c r="AT112" s="20">
        <f t="shared" si="50"/>
        <v>6.4844683005927002E-3</v>
      </c>
      <c r="AU112" s="20">
        <f t="shared" si="50"/>
        <v>2.9051810183618886E-3</v>
      </c>
      <c r="AV112" s="20">
        <f t="shared" si="50"/>
        <v>2.6015603183899608E-3</v>
      </c>
      <c r="AW112" s="20">
        <f t="shared" si="50"/>
        <v>2.7219005306372774E-3</v>
      </c>
      <c r="AX112" s="20">
        <f t="shared" si="50"/>
        <v>4.8345650380371668E-4</v>
      </c>
      <c r="AY112" s="20">
        <f t="shared" si="50"/>
        <v>1.1791034362058125E-2</v>
      </c>
      <c r="AZ112" s="20">
        <f t="shared" si="50"/>
        <v>1.9989135326432847E-3</v>
      </c>
      <c r="BA112" s="20">
        <f t="shared" si="50"/>
        <v>3.6936403726803395E-3</v>
      </c>
      <c r="BB112" s="20">
        <f t="shared" si="50"/>
        <v>1.0045510839409601E-2</v>
      </c>
      <c r="BC112" s="20">
        <f t="shared" si="50"/>
        <v>1.9631531259438235E-3</v>
      </c>
      <c r="BD112" s="20">
        <f t="shared" si="50"/>
        <v>1.5428196017208374E-3</v>
      </c>
      <c r="BE112" s="20">
        <f t="shared" si="50"/>
        <v>1.5213239518968007E-3</v>
      </c>
      <c r="BF112" s="20">
        <f t="shared" si="50"/>
        <v>4.2440082764690632E-4</v>
      </c>
      <c r="BG112" s="20">
        <f t="shared" si="50"/>
        <v>6.2718273126799191E-4</v>
      </c>
      <c r="BH112" s="20">
        <f t="shared" si="50"/>
        <v>3.6259394950571072E-3</v>
      </c>
      <c r="BI112" s="20">
        <f t="shared" si="50"/>
        <v>1.0041950850120735E-2</v>
      </c>
      <c r="BJ112" s="20">
        <f t="shared" si="50"/>
        <v>1.2589131746557743E-2</v>
      </c>
      <c r="BK112" s="20">
        <f t="shared" si="50"/>
        <v>8.9025638587582299E-3</v>
      </c>
      <c r="BL112" s="20">
        <f t="shared" si="50"/>
        <v>1.9638479351524584E-2</v>
      </c>
      <c r="BM112" s="20">
        <f t="shared" si="50"/>
        <v>1.6676406303922697E-2</v>
      </c>
      <c r="BN112" s="20">
        <f t="shared" si="50"/>
        <v>2.689789762000612E-2</v>
      </c>
      <c r="BO112" s="20">
        <f t="shared" si="50"/>
        <v>1.1635779911128649E-2</v>
      </c>
      <c r="BP112" s="20">
        <f t="shared" si="50"/>
        <v>2.3729086229086231E-3</v>
      </c>
      <c r="BQ112" s="20">
        <f t="shared" si="50"/>
        <v>2.052843868738161E-2</v>
      </c>
      <c r="BR112" s="20">
        <f t="shared" si="50"/>
        <v>0</v>
      </c>
      <c r="BS112" s="20">
        <f t="shared" si="50"/>
        <v>1.1748651513117461E-2</v>
      </c>
      <c r="BT112" s="163">
        <f t="shared" si="2"/>
        <v>1.7661696604309749E-2</v>
      </c>
      <c r="BU112" s="164"/>
      <c r="BV112" s="164">
        <f t="shared" si="3"/>
        <v>0</v>
      </c>
      <c r="BW112" s="162"/>
      <c r="BX112" s="163">
        <f t="shared" si="4"/>
        <v>0</v>
      </c>
      <c r="BY112" s="164"/>
      <c r="BZ112" s="164"/>
      <c r="CA112" s="164"/>
      <c r="CB112" s="165"/>
      <c r="CC112" s="166"/>
    </row>
    <row r="113" spans="1:81" x14ac:dyDescent="0.3">
      <c r="A113" s="7">
        <v>25</v>
      </c>
      <c r="B113" s="152" t="s">
        <v>287</v>
      </c>
      <c r="C113" s="151"/>
      <c r="D113" s="151"/>
      <c r="E113" s="153"/>
      <c r="F113" s="20">
        <f t="shared" ref="F113:AK113" si="51">IF(F31=".",0,F31/F$83)</f>
        <v>3.9234813062185838E-3</v>
      </c>
      <c r="G113" s="20">
        <f t="shared" si="51"/>
        <v>0</v>
      </c>
      <c r="H113" s="20">
        <f t="shared" si="51"/>
        <v>0</v>
      </c>
      <c r="I113" s="20">
        <f t="shared" si="51"/>
        <v>2.0183310174215732E-3</v>
      </c>
      <c r="J113" s="20">
        <f t="shared" si="51"/>
        <v>4.3213264983866882E-3</v>
      </c>
      <c r="K113" s="20">
        <f t="shared" si="51"/>
        <v>1.1539132717891653E-3</v>
      </c>
      <c r="L113" s="20">
        <f t="shared" si="51"/>
        <v>2.7111235410717796E-3</v>
      </c>
      <c r="M113" s="20">
        <f t="shared" si="51"/>
        <v>2.6058096580940288E-2</v>
      </c>
      <c r="N113" s="20">
        <f t="shared" si="51"/>
        <v>1.9963318503834556E-3</v>
      </c>
      <c r="O113" s="20">
        <f t="shared" si="51"/>
        <v>1.4445783910619335E-2</v>
      </c>
      <c r="P113" s="20">
        <f t="shared" si="51"/>
        <v>8.8507363341031964E-4</v>
      </c>
      <c r="Q113" s="20">
        <f t="shared" si="51"/>
        <v>5.7664872648406499E-4</v>
      </c>
      <c r="R113" s="20">
        <f t="shared" si="51"/>
        <v>2.8308319934282366E-4</v>
      </c>
      <c r="S113" s="20">
        <f t="shared" si="51"/>
        <v>1.1829851317793572E-2</v>
      </c>
      <c r="T113" s="20">
        <f t="shared" si="51"/>
        <v>1.3569654207350626E-3</v>
      </c>
      <c r="U113" s="20">
        <f t="shared" si="51"/>
        <v>1.3095110618061877E-3</v>
      </c>
      <c r="V113" s="20">
        <f t="shared" si="51"/>
        <v>2.4061668670878063E-4</v>
      </c>
      <c r="W113" s="20">
        <f t="shared" si="51"/>
        <v>1.0556199710752959E-4</v>
      </c>
      <c r="X113" s="20">
        <f t="shared" si="51"/>
        <v>4.9194071685343854E-4</v>
      </c>
      <c r="Y113" s="20">
        <f t="shared" si="51"/>
        <v>3.2769024623015069E-4</v>
      </c>
      <c r="Z113" s="20">
        <f t="shared" si="51"/>
        <v>0</v>
      </c>
      <c r="AA113" s="20">
        <f t="shared" si="51"/>
        <v>1.5866991897815904E-3</v>
      </c>
      <c r="AB113" s="20">
        <f t="shared" si="51"/>
        <v>8.7785297361041891E-5</v>
      </c>
      <c r="AC113" s="20">
        <f t="shared" si="51"/>
        <v>2.5269092894585E-2</v>
      </c>
      <c r="AD113" s="20">
        <f t="shared" si="51"/>
        <v>4.1878425546267743E-2</v>
      </c>
      <c r="AE113" s="20">
        <f t="shared" si="51"/>
        <v>0.30291703000038145</v>
      </c>
      <c r="AF113" s="20">
        <f t="shared" si="51"/>
        <v>2.9837103036018092E-3</v>
      </c>
      <c r="AG113" s="20">
        <f t="shared" si="51"/>
        <v>2.5846998385041578E-3</v>
      </c>
      <c r="AH113" s="20">
        <f t="shared" si="51"/>
        <v>2.3801412711761034E-3</v>
      </c>
      <c r="AI113" s="20">
        <f t="shared" si="51"/>
        <v>1.2396252918305832E-3</v>
      </c>
      <c r="AJ113" s="20">
        <f t="shared" si="51"/>
        <v>0</v>
      </c>
      <c r="AK113" s="20">
        <f t="shared" si="51"/>
        <v>4.3855953401516991E-4</v>
      </c>
      <c r="AL113" s="20">
        <f t="shared" ref="AL113:BS113" si="52">IF(AL31=".",0,AL31/AL$83)</f>
        <v>8.5722422610666504E-5</v>
      </c>
      <c r="AM113" s="20">
        <f t="shared" si="52"/>
        <v>0</v>
      </c>
      <c r="AN113" s="20">
        <f t="shared" si="52"/>
        <v>1.4549252467202476E-4</v>
      </c>
      <c r="AO113" s="20">
        <f t="shared" si="52"/>
        <v>8.3166389778127417E-3</v>
      </c>
      <c r="AP113" s="20">
        <f t="shared" si="52"/>
        <v>5.8030329476802195E-3</v>
      </c>
      <c r="AQ113" s="20">
        <f t="shared" si="52"/>
        <v>1.4163829933220658E-3</v>
      </c>
      <c r="AR113" s="20">
        <f t="shared" si="52"/>
        <v>2.4867444390935635E-5</v>
      </c>
      <c r="AS113" s="20">
        <f t="shared" si="52"/>
        <v>3.9843213979616038E-4</v>
      </c>
      <c r="AT113" s="20">
        <f t="shared" si="52"/>
        <v>1.60533131719575E-5</v>
      </c>
      <c r="AU113" s="20">
        <f t="shared" si="52"/>
        <v>5.3441191965811105E-5</v>
      </c>
      <c r="AV113" s="20">
        <f t="shared" si="52"/>
        <v>0</v>
      </c>
      <c r="AW113" s="20">
        <f t="shared" si="52"/>
        <v>9.7772362693074764E-5</v>
      </c>
      <c r="AX113" s="20">
        <f t="shared" si="52"/>
        <v>0</v>
      </c>
      <c r="AY113" s="20">
        <f t="shared" si="52"/>
        <v>1.8976264508734817E-3</v>
      </c>
      <c r="AZ113" s="20">
        <f t="shared" si="52"/>
        <v>4.8198674403308401E-4</v>
      </c>
      <c r="BA113" s="20">
        <f t="shared" si="52"/>
        <v>1.9450748236587824E-4</v>
      </c>
      <c r="BB113" s="20">
        <f t="shared" si="52"/>
        <v>7.483502791256197E-4</v>
      </c>
      <c r="BC113" s="20">
        <f t="shared" si="52"/>
        <v>4.3043737459027734E-6</v>
      </c>
      <c r="BD113" s="20">
        <f t="shared" si="52"/>
        <v>1.8366900020486158E-5</v>
      </c>
      <c r="BE113" s="20">
        <f t="shared" si="52"/>
        <v>2.908499796575681E-3</v>
      </c>
      <c r="BF113" s="20">
        <f t="shared" si="52"/>
        <v>3.8522536663334568E-5</v>
      </c>
      <c r="BG113" s="20">
        <f t="shared" si="52"/>
        <v>0</v>
      </c>
      <c r="BH113" s="20">
        <f t="shared" si="52"/>
        <v>4.9978878796171087E-3</v>
      </c>
      <c r="BI113" s="20">
        <f t="shared" si="52"/>
        <v>4.532374596362872E-4</v>
      </c>
      <c r="BJ113" s="20">
        <f t="shared" si="52"/>
        <v>1.9071295355518249E-3</v>
      </c>
      <c r="BK113" s="20">
        <f t="shared" si="52"/>
        <v>5.4614039492665884E-4</v>
      </c>
      <c r="BL113" s="20">
        <f t="shared" si="52"/>
        <v>1.6963138640191649E-3</v>
      </c>
      <c r="BM113" s="20">
        <f t="shared" si="52"/>
        <v>6.2303002415736795E-4</v>
      </c>
      <c r="BN113" s="20">
        <f t="shared" si="52"/>
        <v>1.0450306229926778E-3</v>
      </c>
      <c r="BO113" s="20">
        <f t="shared" si="52"/>
        <v>0</v>
      </c>
      <c r="BP113" s="20">
        <f t="shared" si="52"/>
        <v>0</v>
      </c>
      <c r="BQ113" s="20">
        <f t="shared" si="52"/>
        <v>1.8543441595820716E-2</v>
      </c>
      <c r="BR113" s="20">
        <f t="shared" si="52"/>
        <v>0</v>
      </c>
      <c r="BS113" s="20">
        <f t="shared" si="52"/>
        <v>6.2927194763170782E-3</v>
      </c>
      <c r="BT113" s="163">
        <f t="shared" si="2"/>
        <v>3.0169107698278718E-3</v>
      </c>
      <c r="BU113" s="164"/>
      <c r="BV113" s="164">
        <f t="shared" si="3"/>
        <v>0</v>
      </c>
      <c r="BW113" s="162"/>
      <c r="BX113" s="163">
        <f t="shared" si="4"/>
        <v>0</v>
      </c>
      <c r="BY113" s="164"/>
      <c r="BZ113" s="164"/>
      <c r="CA113" s="164"/>
      <c r="CB113" s="165"/>
      <c r="CC113" s="166"/>
    </row>
    <row r="114" spans="1:81" x14ac:dyDescent="0.3">
      <c r="A114" s="7">
        <v>26</v>
      </c>
      <c r="B114" s="152" t="s">
        <v>288</v>
      </c>
      <c r="C114" s="151"/>
      <c r="D114" s="151"/>
      <c r="E114" s="153"/>
      <c r="F114" s="20">
        <f t="shared" ref="F114:AK114" si="53">IF(F32=".",0,F32/F$83)</f>
        <v>9.8763361045322803E-4</v>
      </c>
      <c r="G114" s="20">
        <f t="shared" si="53"/>
        <v>1.3217879718723519E-4</v>
      </c>
      <c r="H114" s="20">
        <f t="shared" si="53"/>
        <v>1.1661726242371403E-3</v>
      </c>
      <c r="I114" s="20">
        <f t="shared" si="53"/>
        <v>7.1393178938488234E-4</v>
      </c>
      <c r="J114" s="20">
        <f t="shared" si="53"/>
        <v>1.559707863522633E-3</v>
      </c>
      <c r="K114" s="20">
        <f t="shared" si="53"/>
        <v>2.8253913665253275E-3</v>
      </c>
      <c r="L114" s="20">
        <f t="shared" si="53"/>
        <v>5.4385695919652137E-4</v>
      </c>
      <c r="M114" s="20">
        <f t="shared" si="53"/>
        <v>0</v>
      </c>
      <c r="N114" s="20">
        <f t="shared" si="53"/>
        <v>2.8205768885838436E-3</v>
      </c>
      <c r="O114" s="20">
        <f t="shared" si="53"/>
        <v>7.948894581620132E-3</v>
      </c>
      <c r="P114" s="20">
        <f t="shared" si="53"/>
        <v>6.2178542869706982E-3</v>
      </c>
      <c r="Q114" s="20">
        <f t="shared" si="53"/>
        <v>3.5924808265224346E-5</v>
      </c>
      <c r="R114" s="20">
        <f t="shared" si="53"/>
        <v>8.8033583720864095E-4</v>
      </c>
      <c r="S114" s="20">
        <f t="shared" si="53"/>
        <v>1.5883629907136728E-3</v>
      </c>
      <c r="T114" s="20">
        <f t="shared" si="53"/>
        <v>1.1630248420250367E-4</v>
      </c>
      <c r="U114" s="20">
        <f t="shared" si="53"/>
        <v>2.1394087083292327E-3</v>
      </c>
      <c r="V114" s="20">
        <f t="shared" si="53"/>
        <v>1.261804369115905E-4</v>
      </c>
      <c r="W114" s="20">
        <f t="shared" si="53"/>
        <v>1.1463961196915332E-3</v>
      </c>
      <c r="X114" s="20">
        <f t="shared" si="53"/>
        <v>1.621807465033538E-3</v>
      </c>
      <c r="Y114" s="20">
        <f t="shared" si="53"/>
        <v>4.7904277931299158E-4</v>
      </c>
      <c r="Z114" s="20">
        <f t="shared" si="53"/>
        <v>5.5199304723651144E-4</v>
      </c>
      <c r="AA114" s="20">
        <f t="shared" si="53"/>
        <v>3.0300210337294449E-3</v>
      </c>
      <c r="AB114" s="20">
        <f t="shared" si="53"/>
        <v>2.2295911807627454E-3</v>
      </c>
      <c r="AC114" s="20">
        <f t="shared" si="53"/>
        <v>4.1045051690937457E-5</v>
      </c>
      <c r="AD114" s="20">
        <f t="shared" si="53"/>
        <v>0</v>
      </c>
      <c r="AE114" s="20">
        <f t="shared" si="53"/>
        <v>1.238702036645187E-3</v>
      </c>
      <c r="AF114" s="20">
        <f t="shared" si="53"/>
        <v>3.7843186008338298E-3</v>
      </c>
      <c r="AG114" s="20">
        <f t="shared" si="53"/>
        <v>5.3792646884138302E-4</v>
      </c>
      <c r="AH114" s="20">
        <f t="shared" si="53"/>
        <v>7.128852736999592E-4</v>
      </c>
      <c r="AI114" s="20">
        <f t="shared" si="53"/>
        <v>4.8021428246594481E-3</v>
      </c>
      <c r="AJ114" s="20">
        <f t="shared" si="53"/>
        <v>1.7230979862890735E-3</v>
      </c>
      <c r="AK114" s="20">
        <f t="shared" si="53"/>
        <v>8.36400877700905E-3</v>
      </c>
      <c r="AL114" s="20">
        <f t="shared" ref="AL114:BS114" si="54">IF(AL32=".",0,AL32/AL$83)</f>
        <v>6.1328437386932077E-4</v>
      </c>
      <c r="AM114" s="20">
        <f t="shared" si="54"/>
        <v>0</v>
      </c>
      <c r="AN114" s="20">
        <f t="shared" si="54"/>
        <v>0</v>
      </c>
      <c r="AO114" s="20">
        <f t="shared" si="54"/>
        <v>4.6263303557752058E-3</v>
      </c>
      <c r="AP114" s="20">
        <f t="shared" si="54"/>
        <v>4.2229927758427096E-3</v>
      </c>
      <c r="AQ114" s="20">
        <f t="shared" si="54"/>
        <v>1.1165305828104455E-2</v>
      </c>
      <c r="AR114" s="20">
        <f t="shared" si="54"/>
        <v>9.8984559136602347E-4</v>
      </c>
      <c r="AS114" s="20">
        <f t="shared" si="54"/>
        <v>2.7518578013533313E-3</v>
      </c>
      <c r="AT114" s="20">
        <f t="shared" si="54"/>
        <v>4.5103864341655415E-4</v>
      </c>
      <c r="AU114" s="20">
        <f t="shared" si="54"/>
        <v>7.971995132222767E-4</v>
      </c>
      <c r="AV114" s="20">
        <f t="shared" si="54"/>
        <v>1.564426767096409E-3</v>
      </c>
      <c r="AW114" s="20">
        <f t="shared" si="54"/>
        <v>4.7245246588052209E-4</v>
      </c>
      <c r="AX114" s="20">
        <f t="shared" si="54"/>
        <v>7.7656660635138069E-5</v>
      </c>
      <c r="AY114" s="20">
        <f t="shared" si="54"/>
        <v>6.2539992150779699E-3</v>
      </c>
      <c r="AZ114" s="20">
        <f t="shared" si="54"/>
        <v>5.1034673753558313E-4</v>
      </c>
      <c r="BA114" s="20">
        <f t="shared" si="54"/>
        <v>2.2807086611546204E-3</v>
      </c>
      <c r="BB114" s="20">
        <f t="shared" si="54"/>
        <v>7.923177401929599E-3</v>
      </c>
      <c r="BC114" s="20">
        <f t="shared" si="54"/>
        <v>2.5395805100826368E-4</v>
      </c>
      <c r="BD114" s="20">
        <f t="shared" si="54"/>
        <v>4.831907543850974E-4</v>
      </c>
      <c r="BE114" s="20">
        <f t="shared" si="54"/>
        <v>2.6976431957639288E-4</v>
      </c>
      <c r="BF114" s="20">
        <f t="shared" si="54"/>
        <v>1.3450241614655799E-4</v>
      </c>
      <c r="BG114" s="20">
        <f t="shared" si="54"/>
        <v>3.4404808100132653E-4</v>
      </c>
      <c r="BH114" s="20">
        <f t="shared" si="54"/>
        <v>1.6833200938365937E-3</v>
      </c>
      <c r="BI114" s="20">
        <f t="shared" si="54"/>
        <v>4.4310118203801773E-3</v>
      </c>
      <c r="BJ114" s="20">
        <f t="shared" si="54"/>
        <v>2.486115028906483E-2</v>
      </c>
      <c r="BK114" s="20">
        <f t="shared" si="54"/>
        <v>8.3229953928689749E-3</v>
      </c>
      <c r="BL114" s="20">
        <f t="shared" si="54"/>
        <v>2.513801281526163E-2</v>
      </c>
      <c r="BM114" s="20">
        <f t="shared" si="54"/>
        <v>1.2319797538249166E-2</v>
      </c>
      <c r="BN114" s="20">
        <f t="shared" si="54"/>
        <v>2.4938686232060452E-2</v>
      </c>
      <c r="BO114" s="20">
        <f t="shared" si="54"/>
        <v>1.2241109501881006E-2</v>
      </c>
      <c r="BP114" s="20">
        <f t="shared" si="54"/>
        <v>3.6475348975348976E-3</v>
      </c>
      <c r="BQ114" s="20">
        <f t="shared" si="54"/>
        <v>5.7916751097091459E-3</v>
      </c>
      <c r="BR114" s="20">
        <f t="shared" si="54"/>
        <v>0</v>
      </c>
      <c r="BS114" s="20">
        <f t="shared" si="54"/>
        <v>4.0648303809276386E-3</v>
      </c>
      <c r="BT114" s="163">
        <f t="shared" si="2"/>
        <v>1.7629028918186997E-2</v>
      </c>
      <c r="BU114" s="164"/>
      <c r="BV114" s="164">
        <f t="shared" si="3"/>
        <v>1.9657482786353312E-3</v>
      </c>
      <c r="BW114" s="162"/>
      <c r="BX114" s="163">
        <f t="shared" si="4"/>
        <v>0</v>
      </c>
      <c r="BY114" s="164"/>
      <c r="BZ114" s="164"/>
      <c r="CA114" s="164"/>
      <c r="CB114" s="165"/>
      <c r="CC114" s="166"/>
    </row>
    <row r="115" spans="1:81" x14ac:dyDescent="0.3">
      <c r="A115" s="7">
        <v>27</v>
      </c>
      <c r="B115" s="150" t="s">
        <v>134</v>
      </c>
      <c r="C115" s="150"/>
      <c r="D115" s="150"/>
      <c r="E115" s="150"/>
      <c r="F115" s="20">
        <f t="shared" ref="F115:AK115" si="55">IF(F33=".",0,F33/F$83)</f>
        <v>1.2067769528513034E-3</v>
      </c>
      <c r="G115" s="20">
        <f t="shared" si="55"/>
        <v>1.7933447618376236E-4</v>
      </c>
      <c r="H115" s="20">
        <f t="shared" si="55"/>
        <v>1.2275501307759372E-3</v>
      </c>
      <c r="I115" s="20">
        <f t="shared" si="55"/>
        <v>0</v>
      </c>
      <c r="J115" s="20">
        <f t="shared" si="55"/>
        <v>2.6202028904925303E-3</v>
      </c>
      <c r="K115" s="20">
        <f t="shared" si="55"/>
        <v>8.6211177719977539E-4</v>
      </c>
      <c r="L115" s="20">
        <f t="shared" si="55"/>
        <v>1.8476174312011877E-4</v>
      </c>
      <c r="M115" s="20">
        <f t="shared" si="55"/>
        <v>1.1535099751816713E-4</v>
      </c>
      <c r="N115" s="20">
        <f t="shared" si="55"/>
        <v>5.6815884394190272E-4</v>
      </c>
      <c r="O115" s="20">
        <f t="shared" si="55"/>
        <v>7.4074871375368655E-3</v>
      </c>
      <c r="P115" s="20">
        <f t="shared" si="55"/>
        <v>5.0779522552520085E-4</v>
      </c>
      <c r="Q115" s="20">
        <f t="shared" si="55"/>
        <v>1.9777162488278144E-4</v>
      </c>
      <c r="R115" s="20">
        <f t="shared" si="55"/>
        <v>2.025566116792985E-4</v>
      </c>
      <c r="S115" s="20">
        <f t="shared" si="55"/>
        <v>5.7033423729523926E-4</v>
      </c>
      <c r="T115" s="20">
        <f t="shared" si="55"/>
        <v>2.7219730345266816E-5</v>
      </c>
      <c r="U115" s="20">
        <f t="shared" si="55"/>
        <v>6.2303888596537194E-4</v>
      </c>
      <c r="V115" s="20">
        <f t="shared" si="55"/>
        <v>1.6920534989467803E-4</v>
      </c>
      <c r="W115" s="20">
        <f t="shared" si="55"/>
        <v>1.1138672530106899E-4</v>
      </c>
      <c r="X115" s="20">
        <f t="shared" si="55"/>
        <v>3.2605373093774412E-4</v>
      </c>
      <c r="Y115" s="20">
        <f t="shared" si="55"/>
        <v>1.5183301731484992E-4</v>
      </c>
      <c r="Z115" s="20">
        <f t="shared" si="55"/>
        <v>4.0572022814289036E-5</v>
      </c>
      <c r="AA115" s="20">
        <f t="shared" si="55"/>
        <v>5.1364252117392392E-4</v>
      </c>
      <c r="AB115" s="20">
        <f t="shared" si="55"/>
        <v>1.0371094865220436E-3</v>
      </c>
      <c r="AC115" s="20">
        <f t="shared" si="55"/>
        <v>0</v>
      </c>
      <c r="AD115" s="20">
        <f t="shared" si="55"/>
        <v>8.5631223427560982E-6</v>
      </c>
      <c r="AE115" s="20">
        <f t="shared" si="55"/>
        <v>2.9732625410084017E-3</v>
      </c>
      <c r="AF115" s="20">
        <f t="shared" si="55"/>
        <v>2.3729369634454219E-5</v>
      </c>
      <c r="AG115" s="20">
        <f t="shared" si="55"/>
        <v>7.2804294687025541E-4</v>
      </c>
      <c r="AH115" s="20">
        <f t="shared" si="55"/>
        <v>1.7152419324922976E-4</v>
      </c>
      <c r="AI115" s="20">
        <f t="shared" si="55"/>
        <v>1.3147386133058904E-3</v>
      </c>
      <c r="AJ115" s="20">
        <f t="shared" si="55"/>
        <v>1.9020047476619924E-4</v>
      </c>
      <c r="AK115" s="20">
        <f t="shared" si="55"/>
        <v>2.5014829047498772E-3</v>
      </c>
      <c r="AL115" s="20">
        <f t="shared" ref="AL115:BS115" si="56">IF(AL33=".",0,AL33/AL$83)</f>
        <v>4.8488343906374448E-4</v>
      </c>
      <c r="AM115" s="20">
        <f t="shared" si="56"/>
        <v>0</v>
      </c>
      <c r="AN115" s="20">
        <f t="shared" si="56"/>
        <v>6.2353939145153467E-5</v>
      </c>
      <c r="AO115" s="20">
        <f t="shared" si="56"/>
        <v>2.7323891321436196E-4</v>
      </c>
      <c r="AP115" s="20">
        <f t="shared" si="56"/>
        <v>7.5680407241351456E-4</v>
      </c>
      <c r="AQ115" s="20">
        <f t="shared" si="56"/>
        <v>6.6893115244425838E-3</v>
      </c>
      <c r="AR115" s="20">
        <f t="shared" si="56"/>
        <v>8.3093655647760542E-5</v>
      </c>
      <c r="AS115" s="20">
        <f t="shared" si="56"/>
        <v>1.0852815748178994E-4</v>
      </c>
      <c r="AT115" s="20">
        <f t="shared" si="56"/>
        <v>4.5068190312384398E-5</v>
      </c>
      <c r="AU115" s="20">
        <f t="shared" si="56"/>
        <v>5.6386769475737704E-5</v>
      </c>
      <c r="AV115" s="20">
        <f t="shared" si="56"/>
        <v>6.3973301108829377E-4</v>
      </c>
      <c r="AW115" s="20">
        <f t="shared" si="56"/>
        <v>1.6956325837680098E-4</v>
      </c>
      <c r="AX115" s="20">
        <f t="shared" si="56"/>
        <v>1.4480339727454317E-4</v>
      </c>
      <c r="AY115" s="20">
        <f t="shared" si="56"/>
        <v>1.9956029634514813E-3</v>
      </c>
      <c r="AZ115" s="20">
        <f t="shared" si="56"/>
        <v>1.653667226765443E-4</v>
      </c>
      <c r="BA115" s="20">
        <f t="shared" si="56"/>
        <v>5.3581306463053248E-4</v>
      </c>
      <c r="BB115" s="20">
        <f t="shared" si="56"/>
        <v>1.2896620001430449E-3</v>
      </c>
      <c r="BC115" s="20">
        <f t="shared" si="56"/>
        <v>5.1293787138674728E-5</v>
      </c>
      <c r="BD115" s="20">
        <f t="shared" si="56"/>
        <v>1.0455004627045968E-4</v>
      </c>
      <c r="BE115" s="20">
        <f t="shared" si="56"/>
        <v>9.7537235275410084E-4</v>
      </c>
      <c r="BF115" s="20">
        <f t="shared" si="56"/>
        <v>2.6116974009040389E-5</v>
      </c>
      <c r="BG115" s="20">
        <f t="shared" si="56"/>
        <v>4.7377112793625294E-5</v>
      </c>
      <c r="BH115" s="20">
        <f t="shared" si="56"/>
        <v>6.4638853982077523E-4</v>
      </c>
      <c r="BI115" s="20">
        <f t="shared" si="56"/>
        <v>6.1110833416031093E-3</v>
      </c>
      <c r="BJ115" s="20">
        <f t="shared" si="56"/>
        <v>4.0516090043261595E-3</v>
      </c>
      <c r="BK115" s="20">
        <f t="shared" si="56"/>
        <v>2.4998254311849734E-3</v>
      </c>
      <c r="BL115" s="20">
        <f t="shared" si="56"/>
        <v>7.0709714543743512E-3</v>
      </c>
      <c r="BM115" s="20">
        <f t="shared" si="56"/>
        <v>1.5925457264465664E-3</v>
      </c>
      <c r="BN115" s="20">
        <f t="shared" si="56"/>
        <v>9.0463226179873756E-3</v>
      </c>
      <c r="BO115" s="20">
        <f t="shared" si="56"/>
        <v>2.5728749568422419E-3</v>
      </c>
      <c r="BP115" s="20">
        <f t="shared" si="56"/>
        <v>1.2375012375012376E-5</v>
      </c>
      <c r="BQ115" s="20">
        <f t="shared" si="56"/>
        <v>1.0699225054715954E-2</v>
      </c>
      <c r="BR115" s="20">
        <f t="shared" si="56"/>
        <v>0</v>
      </c>
      <c r="BS115" s="20">
        <f t="shared" si="56"/>
        <v>1.5327819853969329E-3</v>
      </c>
      <c r="BT115" s="164">
        <f t="shared" si="2"/>
        <v>6.5570989354469958E-3</v>
      </c>
      <c r="BU115" s="164"/>
      <c r="BV115" s="164">
        <f t="shared" si="3"/>
        <v>0</v>
      </c>
      <c r="BW115" s="162"/>
      <c r="BX115" s="163">
        <f t="shared" si="4"/>
        <v>0</v>
      </c>
      <c r="BY115" s="164"/>
      <c r="BZ115" s="164"/>
      <c r="CA115" s="164"/>
      <c r="CB115" s="165"/>
      <c r="CC115" s="166"/>
    </row>
    <row r="116" spans="1:81" x14ac:dyDescent="0.3">
      <c r="A116" s="7">
        <v>28</v>
      </c>
      <c r="B116" s="150" t="s">
        <v>114</v>
      </c>
      <c r="C116" s="150"/>
      <c r="D116" s="150"/>
      <c r="E116" s="150"/>
      <c r="F116" s="20">
        <f t="shared" ref="F116:AK116" si="57">IF(F34=".",0,F34/F$83)</f>
        <v>1.5589854789382275E-3</v>
      </c>
      <c r="G116" s="20">
        <f t="shared" si="57"/>
        <v>2.3384929902368692E-3</v>
      </c>
      <c r="H116" s="20">
        <f t="shared" si="57"/>
        <v>1.2945074106364429E-3</v>
      </c>
      <c r="I116" s="20">
        <f t="shared" si="57"/>
        <v>0</v>
      </c>
      <c r="J116" s="20">
        <f t="shared" si="57"/>
        <v>5.0467159257459541E-3</v>
      </c>
      <c r="K116" s="20">
        <f t="shared" si="57"/>
        <v>7.3641594388903966E-4</v>
      </c>
      <c r="L116" s="20">
        <f t="shared" si="57"/>
        <v>1.2281177297293129E-3</v>
      </c>
      <c r="M116" s="20">
        <f t="shared" si="57"/>
        <v>0</v>
      </c>
      <c r="N116" s="20">
        <f t="shared" si="57"/>
        <v>2.0429872299042324E-3</v>
      </c>
      <c r="O116" s="20">
        <f t="shared" si="57"/>
        <v>4.9722299959098441E-3</v>
      </c>
      <c r="P116" s="20">
        <f t="shared" si="57"/>
        <v>0</v>
      </c>
      <c r="Q116" s="20">
        <f t="shared" si="57"/>
        <v>7.9627152340445694E-5</v>
      </c>
      <c r="R116" s="20">
        <f t="shared" si="57"/>
        <v>3.3120072913766114E-4</v>
      </c>
      <c r="S116" s="20">
        <f t="shared" si="57"/>
        <v>2.6825950660254159E-3</v>
      </c>
      <c r="T116" s="20">
        <f t="shared" si="57"/>
        <v>2.1916677312261962E-2</v>
      </c>
      <c r="U116" s="20">
        <f t="shared" si="57"/>
        <v>2.8022738499192139E-6</v>
      </c>
      <c r="V116" s="20">
        <f t="shared" si="57"/>
        <v>0</v>
      </c>
      <c r="W116" s="20">
        <f t="shared" si="57"/>
        <v>1.8101463001460931E-4</v>
      </c>
      <c r="X116" s="20">
        <f t="shared" si="57"/>
        <v>0</v>
      </c>
      <c r="Y116" s="20">
        <f t="shared" si="57"/>
        <v>9.2132851487729329E-5</v>
      </c>
      <c r="Z116" s="20">
        <f t="shared" si="57"/>
        <v>2.8864858862744842E-3</v>
      </c>
      <c r="AA116" s="20">
        <f t="shared" si="57"/>
        <v>6.5156364665880763E-4</v>
      </c>
      <c r="AB116" s="20">
        <f t="shared" si="57"/>
        <v>1.2379280649984093E-3</v>
      </c>
      <c r="AC116" s="20">
        <f t="shared" si="57"/>
        <v>0</v>
      </c>
      <c r="AD116" s="20">
        <f t="shared" si="57"/>
        <v>0</v>
      </c>
      <c r="AE116" s="20">
        <f t="shared" si="57"/>
        <v>0</v>
      </c>
      <c r="AF116" s="20">
        <f t="shared" si="57"/>
        <v>4.0587539192149091E-3</v>
      </c>
      <c r="AG116" s="20">
        <f t="shared" si="57"/>
        <v>0.31394980394422428</v>
      </c>
      <c r="AH116" s="20">
        <f t="shared" si="57"/>
        <v>2.4780092419841248E-3</v>
      </c>
      <c r="AI116" s="20">
        <f t="shared" si="57"/>
        <v>3.5308370843154695E-4</v>
      </c>
      <c r="AJ116" s="20">
        <f t="shared" si="57"/>
        <v>3.6749384851150653E-5</v>
      </c>
      <c r="AK116" s="20">
        <f t="shared" si="57"/>
        <v>1.3785377629266227E-3</v>
      </c>
      <c r="AL116" s="20">
        <f t="shared" ref="AL116:BS116" si="58">IF(AL34=".",0,AL34/AL$83)</f>
        <v>3.1614254067667801E-4</v>
      </c>
      <c r="AM116" s="20">
        <f t="shared" si="58"/>
        <v>9.4691518192219399E-4</v>
      </c>
      <c r="AN116" s="20">
        <f t="shared" si="58"/>
        <v>2.8124224635261931E-4</v>
      </c>
      <c r="AO116" s="20">
        <f t="shared" si="58"/>
        <v>2.4417071533636191E-3</v>
      </c>
      <c r="AP116" s="20">
        <f t="shared" si="58"/>
        <v>0</v>
      </c>
      <c r="AQ116" s="20">
        <f t="shared" si="58"/>
        <v>3.2318457227754108E-3</v>
      </c>
      <c r="AR116" s="20">
        <f t="shared" si="58"/>
        <v>1.4617205117598752E-4</v>
      </c>
      <c r="AS116" s="20">
        <f t="shared" si="58"/>
        <v>1.0035137849343591E-4</v>
      </c>
      <c r="AT116" s="20">
        <f t="shared" si="58"/>
        <v>1.7242447480991391E-5</v>
      </c>
      <c r="AU116" s="20">
        <f t="shared" si="58"/>
        <v>1.7000190200147785E-4</v>
      </c>
      <c r="AV116" s="20">
        <f t="shared" si="58"/>
        <v>3.8921467598804927E-5</v>
      </c>
      <c r="AW116" s="20">
        <f t="shared" si="58"/>
        <v>5.948388499508744E-5</v>
      </c>
      <c r="AX116" s="20">
        <f t="shared" si="58"/>
        <v>0</v>
      </c>
      <c r="AY116" s="20">
        <f t="shared" si="58"/>
        <v>3.7127145008316147E-3</v>
      </c>
      <c r="AZ116" s="20">
        <f t="shared" si="58"/>
        <v>2.5986009069872101E-3</v>
      </c>
      <c r="BA116" s="20">
        <f t="shared" si="58"/>
        <v>2.8125181412424588E-4</v>
      </c>
      <c r="BB116" s="20">
        <f t="shared" si="58"/>
        <v>1.995098832678966E-4</v>
      </c>
      <c r="BC116" s="20">
        <f t="shared" si="58"/>
        <v>3.6443697715310153E-4</v>
      </c>
      <c r="BD116" s="20">
        <f t="shared" si="58"/>
        <v>0</v>
      </c>
      <c r="BE116" s="20">
        <f t="shared" si="58"/>
        <v>1.7745720886419859E-4</v>
      </c>
      <c r="BF116" s="20">
        <f t="shared" si="58"/>
        <v>1.1948515609135978E-4</v>
      </c>
      <c r="BG116" s="20">
        <f t="shared" si="58"/>
        <v>1.7371608024329275E-4</v>
      </c>
      <c r="BH116" s="20">
        <f t="shared" si="58"/>
        <v>1.7436284368449438E-3</v>
      </c>
      <c r="BI116" s="20">
        <f t="shared" si="58"/>
        <v>7.3365981479708905E-3</v>
      </c>
      <c r="BJ116" s="20">
        <f t="shared" si="58"/>
        <v>0</v>
      </c>
      <c r="BK116" s="20">
        <f t="shared" si="58"/>
        <v>1.7263741537126701E-4</v>
      </c>
      <c r="BL116" s="20">
        <f t="shared" si="58"/>
        <v>1.2227845521551577E-3</v>
      </c>
      <c r="BM116" s="20">
        <f t="shared" si="58"/>
        <v>0</v>
      </c>
      <c r="BN116" s="20">
        <f t="shared" si="58"/>
        <v>9.7194331489843509E-4</v>
      </c>
      <c r="BO116" s="20">
        <f t="shared" si="58"/>
        <v>3.4972805007645089E-2</v>
      </c>
      <c r="BP116" s="20">
        <f t="shared" si="58"/>
        <v>2.134689634689635E-3</v>
      </c>
      <c r="BQ116" s="20">
        <f t="shared" si="58"/>
        <v>9.9199448354287192E-4</v>
      </c>
      <c r="BR116" s="20">
        <f t="shared" si="58"/>
        <v>0</v>
      </c>
      <c r="BS116" s="20">
        <f t="shared" si="58"/>
        <v>6.0879223943640431E-3</v>
      </c>
      <c r="BT116" s="164">
        <f t="shared" si="2"/>
        <v>2.6556312027421229E-3</v>
      </c>
      <c r="BU116" s="164"/>
      <c r="BV116" s="164">
        <f t="shared" si="3"/>
        <v>0</v>
      </c>
      <c r="BW116" s="162"/>
      <c r="BX116" s="163">
        <f t="shared" si="4"/>
        <v>0</v>
      </c>
      <c r="BY116" s="164"/>
      <c r="BZ116" s="164"/>
      <c r="CA116" s="164"/>
      <c r="CB116" s="165"/>
      <c r="CC116" s="166"/>
    </row>
    <row r="117" spans="1:81" x14ac:dyDescent="0.3">
      <c r="A117" s="7">
        <v>29</v>
      </c>
      <c r="B117" s="150" t="s">
        <v>135</v>
      </c>
      <c r="C117" s="150"/>
      <c r="D117" s="150"/>
      <c r="E117" s="150"/>
      <c r="F117" s="20">
        <f t="shared" ref="F117:AK117" si="59">IF(F35=".",0,F35/F$83)</f>
        <v>8.1261665046714546E-3</v>
      </c>
      <c r="G117" s="20">
        <f t="shared" si="59"/>
        <v>7.2943643247759277E-3</v>
      </c>
      <c r="H117" s="20">
        <f t="shared" si="59"/>
        <v>4.5614646904969486E-4</v>
      </c>
      <c r="I117" s="20">
        <f t="shared" si="59"/>
        <v>2.8249429427678876E-3</v>
      </c>
      <c r="J117" s="20">
        <f t="shared" si="59"/>
        <v>4.8370780366828404E-4</v>
      </c>
      <c r="K117" s="20">
        <f t="shared" si="59"/>
        <v>2.5096630001128283E-4</v>
      </c>
      <c r="L117" s="20">
        <f t="shared" si="59"/>
        <v>1.2404351792706543E-3</v>
      </c>
      <c r="M117" s="20">
        <f t="shared" si="59"/>
        <v>0</v>
      </c>
      <c r="N117" s="20">
        <f t="shared" si="59"/>
        <v>1.8501449945516886E-3</v>
      </c>
      <c r="O117" s="20">
        <f t="shared" si="59"/>
        <v>3.9728327556885447E-3</v>
      </c>
      <c r="P117" s="20">
        <f t="shared" si="59"/>
        <v>1.3206812688303088E-4</v>
      </c>
      <c r="Q117" s="20">
        <f t="shared" si="59"/>
        <v>6.5553516112832052E-5</v>
      </c>
      <c r="R117" s="20">
        <f t="shared" si="59"/>
        <v>5.7848514772247004E-3</v>
      </c>
      <c r="S117" s="20">
        <f t="shared" si="59"/>
        <v>3.8304076020433922E-3</v>
      </c>
      <c r="T117" s="20">
        <f t="shared" si="59"/>
        <v>0</v>
      </c>
      <c r="U117" s="20">
        <f t="shared" si="59"/>
        <v>4.0679675387993918E-3</v>
      </c>
      <c r="V117" s="20">
        <f t="shared" si="59"/>
        <v>0</v>
      </c>
      <c r="W117" s="20">
        <f t="shared" si="59"/>
        <v>4.1400375775618565E-5</v>
      </c>
      <c r="X117" s="20">
        <f t="shared" si="59"/>
        <v>3.1580496600329752E-4</v>
      </c>
      <c r="Y117" s="20">
        <f t="shared" si="59"/>
        <v>9.6697451691815013E-5</v>
      </c>
      <c r="Z117" s="20">
        <f t="shared" si="59"/>
        <v>3.0535785591807011E-4</v>
      </c>
      <c r="AA117" s="20">
        <f t="shared" si="59"/>
        <v>1.6292880208379116E-4</v>
      </c>
      <c r="AB117" s="20">
        <f t="shared" si="59"/>
        <v>7.6093538730212854E-4</v>
      </c>
      <c r="AC117" s="20">
        <f t="shared" si="59"/>
        <v>1.3327076987812551E-3</v>
      </c>
      <c r="AD117" s="20">
        <f t="shared" si="59"/>
        <v>3.1873844275814365E-5</v>
      </c>
      <c r="AE117" s="20">
        <f t="shared" si="59"/>
        <v>8.1229396665247963E-3</v>
      </c>
      <c r="AF117" s="20">
        <f t="shared" si="59"/>
        <v>2.8572224463329354E-2</v>
      </c>
      <c r="AG117" s="20">
        <f t="shared" si="59"/>
        <v>3.5960015999259579E-4</v>
      </c>
      <c r="AH117" s="20">
        <f t="shared" si="59"/>
        <v>3.9110335903003654E-2</v>
      </c>
      <c r="AI117" s="20">
        <f t="shared" si="59"/>
        <v>1.1553144207868708E-3</v>
      </c>
      <c r="AJ117" s="20">
        <f t="shared" si="59"/>
        <v>2.4733232331284171E-3</v>
      </c>
      <c r="AK117" s="20">
        <f t="shared" si="59"/>
        <v>6.4201541639103011E-3</v>
      </c>
      <c r="AL117" s="20">
        <f t="shared" ref="AL117:BS117" si="60">IF(AL35=".",0,AL35/AL$83)</f>
        <v>1.2373114554315385E-3</v>
      </c>
      <c r="AM117" s="20">
        <f t="shared" si="60"/>
        <v>0</v>
      </c>
      <c r="AN117" s="20">
        <f t="shared" si="60"/>
        <v>0</v>
      </c>
      <c r="AO117" s="20">
        <f t="shared" si="60"/>
        <v>5.9254362081330196E-3</v>
      </c>
      <c r="AP117" s="20">
        <f t="shared" si="60"/>
        <v>7.7113254882753982E-3</v>
      </c>
      <c r="AQ117" s="20">
        <f t="shared" si="60"/>
        <v>4.6732587170916755E-3</v>
      </c>
      <c r="AR117" s="20">
        <f t="shared" si="60"/>
        <v>1.0887088458958404E-3</v>
      </c>
      <c r="AS117" s="20">
        <f t="shared" si="60"/>
        <v>3.724151157423066E-4</v>
      </c>
      <c r="AT117" s="20">
        <f t="shared" si="60"/>
        <v>9.5067720604332332E-3</v>
      </c>
      <c r="AU117" s="20">
        <f t="shared" si="60"/>
        <v>2.1079815051396121E-3</v>
      </c>
      <c r="AV117" s="20">
        <f t="shared" si="60"/>
        <v>2.7638875503198978E-3</v>
      </c>
      <c r="AW117" s="20">
        <f t="shared" si="60"/>
        <v>3.6510798376295054E-4</v>
      </c>
      <c r="AX117" s="20">
        <f t="shared" si="60"/>
        <v>5.7220697310101734E-5</v>
      </c>
      <c r="AY117" s="20">
        <f t="shared" si="60"/>
        <v>5.3122037717728457E-2</v>
      </c>
      <c r="AZ117" s="20">
        <f t="shared" si="60"/>
        <v>4.6401210026389438E-4</v>
      </c>
      <c r="BA117" s="20">
        <f t="shared" si="60"/>
        <v>9.1892274216181565E-3</v>
      </c>
      <c r="BB117" s="20">
        <f t="shared" si="60"/>
        <v>4.674554208341019E-3</v>
      </c>
      <c r="BC117" s="20">
        <f t="shared" si="60"/>
        <v>9.9108205499411376E-4</v>
      </c>
      <c r="BD117" s="20">
        <f t="shared" si="60"/>
        <v>3.4713441038718841E-3</v>
      </c>
      <c r="BE117" s="20">
        <f t="shared" si="60"/>
        <v>4.4006451588040154E-4</v>
      </c>
      <c r="BF117" s="20">
        <f t="shared" si="60"/>
        <v>3.1862708291029276E-4</v>
      </c>
      <c r="BG117" s="20">
        <f t="shared" si="60"/>
        <v>0</v>
      </c>
      <c r="BH117" s="20">
        <f t="shared" si="60"/>
        <v>7.5651104280298302E-3</v>
      </c>
      <c r="BI117" s="20">
        <f t="shared" si="60"/>
        <v>6.7012301761748078E-2</v>
      </c>
      <c r="BJ117" s="20">
        <f t="shared" si="60"/>
        <v>6.1692724950681418E-3</v>
      </c>
      <c r="BK117" s="20">
        <f t="shared" si="60"/>
        <v>5.1186547949967839E-3</v>
      </c>
      <c r="BL117" s="20">
        <f t="shared" si="60"/>
        <v>1.6416681818272636E-2</v>
      </c>
      <c r="BM117" s="20">
        <f t="shared" si="60"/>
        <v>4.9004946508685145E-3</v>
      </c>
      <c r="BN117" s="20">
        <f t="shared" si="60"/>
        <v>1.5104317396960158E-2</v>
      </c>
      <c r="BO117" s="20">
        <f t="shared" si="60"/>
        <v>0</v>
      </c>
      <c r="BP117" s="20">
        <f t="shared" si="60"/>
        <v>0</v>
      </c>
      <c r="BQ117" s="20">
        <f t="shared" si="60"/>
        <v>5.2674503826336443E-3</v>
      </c>
      <c r="BR117" s="20">
        <f t="shared" si="60"/>
        <v>0</v>
      </c>
      <c r="BS117" s="20">
        <f t="shared" si="60"/>
        <v>1.2513577046553048E-2</v>
      </c>
      <c r="BT117" s="164">
        <f t="shared" si="2"/>
        <v>3.5652422446780349E-4</v>
      </c>
      <c r="BU117" s="164"/>
      <c r="BV117" s="164">
        <f t="shared" si="3"/>
        <v>0</v>
      </c>
      <c r="BW117" s="162"/>
      <c r="BX117" s="163">
        <f t="shared" si="4"/>
        <v>0.52592425360319761</v>
      </c>
      <c r="BY117" s="164"/>
      <c r="BZ117" s="164"/>
      <c r="CA117" s="164"/>
      <c r="CB117" s="165"/>
      <c r="CC117" s="166"/>
    </row>
    <row r="118" spans="1:81" x14ac:dyDescent="0.3">
      <c r="A118" s="7">
        <v>30</v>
      </c>
      <c r="B118" s="150" t="s">
        <v>136</v>
      </c>
      <c r="C118" s="150"/>
      <c r="D118" s="150"/>
      <c r="E118" s="150"/>
      <c r="F118" s="20">
        <f t="shared" ref="F118:AK118" si="61">IF(F36=".",0,F36/F$83)</f>
        <v>1.2325356800439891E-3</v>
      </c>
      <c r="G118" s="20">
        <f t="shared" si="61"/>
        <v>2.4937733069325036E-3</v>
      </c>
      <c r="H118" s="20">
        <f t="shared" si="61"/>
        <v>2.6476024411508283E-3</v>
      </c>
      <c r="I118" s="20">
        <f t="shared" si="61"/>
        <v>3.4926984099953075E-3</v>
      </c>
      <c r="J118" s="20">
        <f t="shared" si="61"/>
        <v>1.4773096887652599E-3</v>
      </c>
      <c r="K118" s="20">
        <f t="shared" si="61"/>
        <v>8.98480622370902E-4</v>
      </c>
      <c r="L118" s="20">
        <f t="shared" si="61"/>
        <v>3.7128420142007344E-3</v>
      </c>
      <c r="M118" s="20">
        <f t="shared" si="61"/>
        <v>8.0975379452465567E-4</v>
      </c>
      <c r="N118" s="20">
        <f t="shared" si="61"/>
        <v>2.9258106890584844E-3</v>
      </c>
      <c r="O118" s="20">
        <f t="shared" si="61"/>
        <v>1.190450562934579E-3</v>
      </c>
      <c r="P118" s="20">
        <f t="shared" si="61"/>
        <v>7.6717413094622004E-4</v>
      </c>
      <c r="Q118" s="20">
        <f t="shared" si="61"/>
        <v>0</v>
      </c>
      <c r="R118" s="20">
        <f t="shared" si="61"/>
        <v>1.7317350156059535E-3</v>
      </c>
      <c r="S118" s="20">
        <f t="shared" si="61"/>
        <v>1.5871723138090898E-3</v>
      </c>
      <c r="T118" s="20">
        <f t="shared" si="61"/>
        <v>9.6660974237453175E-5</v>
      </c>
      <c r="U118" s="20">
        <f t="shared" si="61"/>
        <v>2.9738069764900267E-4</v>
      </c>
      <c r="V118" s="20">
        <f t="shared" si="61"/>
        <v>1.741033994968924E-4</v>
      </c>
      <c r="W118" s="20">
        <f t="shared" si="61"/>
        <v>2.120828340869187E-3</v>
      </c>
      <c r="X118" s="20">
        <f t="shared" si="61"/>
        <v>9.5647194609149646E-4</v>
      </c>
      <c r="Y118" s="20">
        <f t="shared" si="61"/>
        <v>1.5280599788466817E-3</v>
      </c>
      <c r="Z118" s="20">
        <f t="shared" si="61"/>
        <v>3.4059145467784744E-3</v>
      </c>
      <c r="AA118" s="20">
        <f t="shared" si="61"/>
        <v>2.45090386836929E-3</v>
      </c>
      <c r="AB118" s="20">
        <f t="shared" si="61"/>
        <v>2.0031361880128011E-3</v>
      </c>
      <c r="AC118" s="20">
        <f t="shared" si="61"/>
        <v>6.9650939757172445E-4</v>
      </c>
      <c r="AD118" s="20">
        <f t="shared" si="61"/>
        <v>0</v>
      </c>
      <c r="AE118" s="20">
        <f t="shared" si="61"/>
        <v>1.2492763223238654E-3</v>
      </c>
      <c r="AF118" s="20">
        <f t="shared" si="61"/>
        <v>5.7063975412246217E-3</v>
      </c>
      <c r="AG118" s="20">
        <f t="shared" si="61"/>
        <v>3.0613174276090983E-3</v>
      </c>
      <c r="AH118" s="20">
        <f t="shared" si="61"/>
        <v>4.5712072624354682E-3</v>
      </c>
      <c r="AI118" s="20">
        <f t="shared" si="61"/>
        <v>2.1040161100190444E-2</v>
      </c>
      <c r="AJ118" s="20">
        <f t="shared" si="61"/>
        <v>8.6856424156978064E-3</v>
      </c>
      <c r="AK118" s="20">
        <f t="shared" si="61"/>
        <v>1.9624526127643995E-3</v>
      </c>
      <c r="AL118" s="20">
        <f t="shared" ref="AL118:BS118" si="62">IF(AL36=".",0,AL36/AL$83)</f>
        <v>6.986845152492005E-2</v>
      </c>
      <c r="AM118" s="20">
        <f t="shared" si="62"/>
        <v>0</v>
      </c>
      <c r="AN118" s="20">
        <f t="shared" si="62"/>
        <v>3.3710098350348596E-4</v>
      </c>
      <c r="AO118" s="20">
        <f t="shared" si="62"/>
        <v>2.1695416595686806E-3</v>
      </c>
      <c r="AP118" s="20">
        <f t="shared" si="62"/>
        <v>1.8108589009798073E-2</v>
      </c>
      <c r="AQ118" s="20">
        <f t="shared" si="62"/>
        <v>1.8807507740046462E-3</v>
      </c>
      <c r="AR118" s="20">
        <f t="shared" si="62"/>
        <v>1.6800688039729684E-4</v>
      </c>
      <c r="AS118" s="20">
        <f t="shared" si="62"/>
        <v>2.0144610053126762E-4</v>
      </c>
      <c r="AT118" s="20">
        <f t="shared" si="62"/>
        <v>2.0262848625937467E-4</v>
      </c>
      <c r="AU118" s="20">
        <f t="shared" si="62"/>
        <v>1.126683397546923E-3</v>
      </c>
      <c r="AV118" s="20">
        <f t="shared" si="62"/>
        <v>2.1769765309728392E-3</v>
      </c>
      <c r="AW118" s="20">
        <f t="shared" si="62"/>
        <v>3.2107623441026511E-3</v>
      </c>
      <c r="AX118" s="20">
        <f t="shared" si="62"/>
        <v>2.8003108601964075E-3</v>
      </c>
      <c r="AY118" s="20">
        <f t="shared" si="62"/>
        <v>6.2267050372691649E-4</v>
      </c>
      <c r="AZ118" s="20">
        <f t="shared" si="62"/>
        <v>2.0091657368671929E-4</v>
      </c>
      <c r="BA118" s="20">
        <f t="shared" si="62"/>
        <v>1.6104418822986181E-3</v>
      </c>
      <c r="BB118" s="20">
        <f t="shared" si="62"/>
        <v>4.5172049041787907E-4</v>
      </c>
      <c r="BC118" s="20">
        <f t="shared" si="62"/>
        <v>8.1818970953368559E-4</v>
      </c>
      <c r="BD118" s="20">
        <f t="shared" si="62"/>
        <v>2.8963188493843555E-3</v>
      </c>
      <c r="BE118" s="20">
        <f t="shared" si="62"/>
        <v>1.4963111105646498E-2</v>
      </c>
      <c r="BF118" s="20">
        <f t="shared" si="62"/>
        <v>0</v>
      </c>
      <c r="BG118" s="20">
        <f t="shared" si="62"/>
        <v>3.0231110068313282E-4</v>
      </c>
      <c r="BH118" s="20">
        <f t="shared" si="62"/>
        <v>1.4612153592331544E-3</v>
      </c>
      <c r="BI118" s="20">
        <f t="shared" si="62"/>
        <v>2.1179909619290799E-3</v>
      </c>
      <c r="BJ118" s="20">
        <f t="shared" si="62"/>
        <v>9.3205493007762253E-4</v>
      </c>
      <c r="BK118" s="20">
        <f t="shared" si="62"/>
        <v>8.8012396614404976E-4</v>
      </c>
      <c r="BL118" s="20">
        <f t="shared" si="62"/>
        <v>2.5434717890416925E-3</v>
      </c>
      <c r="BM118" s="20">
        <f t="shared" si="62"/>
        <v>1.3551133095594157E-3</v>
      </c>
      <c r="BN118" s="20">
        <f t="shared" si="62"/>
        <v>2.2869254468198476E-3</v>
      </c>
      <c r="BO118" s="20">
        <f t="shared" si="62"/>
        <v>4.3117402553145695E-3</v>
      </c>
      <c r="BP118" s="20">
        <f t="shared" si="62"/>
        <v>8.3840708840708846E-3</v>
      </c>
      <c r="BQ118" s="20">
        <f t="shared" si="62"/>
        <v>5.7563907530790636E-3</v>
      </c>
      <c r="BR118" s="20">
        <f t="shared" si="62"/>
        <v>0</v>
      </c>
      <c r="BS118" s="20">
        <f t="shared" si="62"/>
        <v>6.2198375289857048E-3</v>
      </c>
      <c r="BT118" s="164">
        <f t="shared" si="2"/>
        <v>1.1868399282494682E-2</v>
      </c>
      <c r="BU118" s="164"/>
      <c r="BV118" s="164">
        <f t="shared" si="3"/>
        <v>0</v>
      </c>
      <c r="BW118" s="162"/>
      <c r="BX118" s="163">
        <f t="shared" si="4"/>
        <v>1.6813017090832279E-2</v>
      </c>
      <c r="BY118" s="164"/>
      <c r="BZ118" s="164"/>
      <c r="CA118" s="164"/>
      <c r="CB118" s="165"/>
      <c r="CC118" s="166"/>
    </row>
    <row r="119" spans="1:81" x14ac:dyDescent="0.3">
      <c r="A119" s="7">
        <v>31</v>
      </c>
      <c r="B119" s="150" t="s">
        <v>137</v>
      </c>
      <c r="C119" s="150"/>
      <c r="D119" s="150"/>
      <c r="E119" s="150"/>
      <c r="F119" s="20">
        <f t="shared" ref="F119:AK119" si="63">IF(F37=".",0,F37/F$83)</f>
        <v>3.5324793603344333E-2</v>
      </c>
      <c r="G119" s="20">
        <f t="shared" si="63"/>
        <v>4.1182150003643843E-2</v>
      </c>
      <c r="H119" s="20">
        <f t="shared" si="63"/>
        <v>2.1219877942458588E-2</v>
      </c>
      <c r="I119" s="20">
        <f t="shared" si="63"/>
        <v>2.2902800806808423E-2</v>
      </c>
      <c r="J119" s="20">
        <f t="shared" si="63"/>
        <v>2.645527777537135E-2</v>
      </c>
      <c r="K119" s="20">
        <f t="shared" si="63"/>
        <v>7.0925628582849658E-3</v>
      </c>
      <c r="L119" s="20">
        <f t="shared" si="63"/>
        <v>5.9229551843578358E-2</v>
      </c>
      <c r="M119" s="20">
        <f t="shared" si="63"/>
        <v>1.5742348745366497E-2</v>
      </c>
      <c r="N119" s="20">
        <f t="shared" si="63"/>
        <v>3.7183819084953232E-2</v>
      </c>
      <c r="O119" s="20">
        <f t="shared" si="63"/>
        <v>1.32693259854046E-2</v>
      </c>
      <c r="P119" s="20">
        <f t="shared" si="63"/>
        <v>2.9862702926762071E-3</v>
      </c>
      <c r="Q119" s="20">
        <f t="shared" si="63"/>
        <v>0</v>
      </c>
      <c r="R119" s="20">
        <f t="shared" si="63"/>
        <v>1.2137853581167824E-2</v>
      </c>
      <c r="S119" s="20">
        <f t="shared" si="63"/>
        <v>1.2232061976161696E-2</v>
      </c>
      <c r="T119" s="20">
        <f t="shared" si="63"/>
        <v>8.2741793947259919E-5</v>
      </c>
      <c r="U119" s="20">
        <f t="shared" si="63"/>
        <v>2.51448881727145E-2</v>
      </c>
      <c r="V119" s="20">
        <f t="shared" si="63"/>
        <v>1.2812852482156211E-4</v>
      </c>
      <c r="W119" s="20">
        <f t="shared" si="63"/>
        <v>2.2506749739836275E-3</v>
      </c>
      <c r="X119" s="20">
        <f t="shared" si="63"/>
        <v>1.2015604340471121E-2</v>
      </c>
      <c r="Y119" s="20">
        <f t="shared" si="63"/>
        <v>3.6179261459699081E-3</v>
      </c>
      <c r="Z119" s="20">
        <f t="shared" si="63"/>
        <v>1.1709299321165998E-2</v>
      </c>
      <c r="AA119" s="20">
        <f t="shared" si="63"/>
        <v>2.9337945254103756E-2</v>
      </c>
      <c r="AB119" s="20">
        <f t="shared" si="63"/>
        <v>2.8884858706456452E-2</v>
      </c>
      <c r="AC119" s="20">
        <f t="shared" si="63"/>
        <v>1.9126296042880072E-2</v>
      </c>
      <c r="AD119" s="20">
        <f t="shared" si="63"/>
        <v>0</v>
      </c>
      <c r="AE119" s="20">
        <f t="shared" si="63"/>
        <v>3.1801031219445511E-2</v>
      </c>
      <c r="AF119" s="20">
        <f t="shared" si="63"/>
        <v>8.5951903662886131E-3</v>
      </c>
      <c r="AG119" s="20">
        <f t="shared" si="63"/>
        <v>5.6045748214452566E-2</v>
      </c>
      <c r="AH119" s="20">
        <f t="shared" si="63"/>
        <v>4.5579928985677975E-2</v>
      </c>
      <c r="AI119" s="20">
        <f t="shared" si="63"/>
        <v>3.7347160997484473E-3</v>
      </c>
      <c r="AJ119" s="20">
        <f t="shared" si="63"/>
        <v>3.3237697291910936E-2</v>
      </c>
      <c r="AK119" s="20">
        <f t="shared" si="63"/>
        <v>0</v>
      </c>
      <c r="AL119" s="20">
        <f t="shared" ref="AL119:BS119" si="64">IF(AL37=".",0,AL37/AL$83)</f>
        <v>1.6274471358296998E-2</v>
      </c>
      <c r="AM119" s="20">
        <f t="shared" si="64"/>
        <v>9.754583487559098E-3</v>
      </c>
      <c r="AN119" s="20">
        <f t="shared" si="64"/>
        <v>1.1059380435672169E-2</v>
      </c>
      <c r="AO119" s="20">
        <f t="shared" si="64"/>
        <v>2.485073297908346E-3</v>
      </c>
      <c r="AP119" s="20">
        <f t="shared" si="64"/>
        <v>7.1577252631880592E-3</v>
      </c>
      <c r="AQ119" s="20">
        <f t="shared" si="64"/>
        <v>3.8096711723002261E-2</v>
      </c>
      <c r="AR119" s="20">
        <f t="shared" si="64"/>
        <v>8.8382536503588804E-3</v>
      </c>
      <c r="AS119" s="20">
        <f t="shared" si="64"/>
        <v>4.182050780770892E-3</v>
      </c>
      <c r="AT119" s="20">
        <f t="shared" si="64"/>
        <v>4.8909094130563855E-4</v>
      </c>
      <c r="AU119" s="20">
        <f t="shared" si="64"/>
        <v>3.020268939642592E-3</v>
      </c>
      <c r="AV119" s="20">
        <f t="shared" si="64"/>
        <v>2.4491179036279752E-3</v>
      </c>
      <c r="AW119" s="20">
        <f t="shared" si="64"/>
        <v>1.9404053519087147E-3</v>
      </c>
      <c r="AX119" s="20">
        <f t="shared" si="64"/>
        <v>4.9495903173238003E-3</v>
      </c>
      <c r="AY119" s="20">
        <f t="shared" si="64"/>
        <v>6.9564837470738857E-3</v>
      </c>
      <c r="AZ119" s="20">
        <f t="shared" si="64"/>
        <v>2.8903227180856871E-3</v>
      </c>
      <c r="BA119" s="20">
        <f t="shared" si="64"/>
        <v>1.0332250808557262E-2</v>
      </c>
      <c r="BB119" s="20">
        <f t="shared" si="64"/>
        <v>7.6732253972317064E-3</v>
      </c>
      <c r="BC119" s="20">
        <f t="shared" si="64"/>
        <v>1.9483389063016748E-2</v>
      </c>
      <c r="BD119" s="20">
        <f t="shared" si="64"/>
        <v>1.4237173192803002E-2</v>
      </c>
      <c r="BE119" s="20">
        <f t="shared" si="64"/>
        <v>1.1798977501472234E-2</v>
      </c>
      <c r="BF119" s="20">
        <f t="shared" si="64"/>
        <v>1.819700164079889E-3</v>
      </c>
      <c r="BG119" s="20">
        <f t="shared" si="64"/>
        <v>4.9272197305370311E-3</v>
      </c>
      <c r="BH119" s="20">
        <f t="shared" si="64"/>
        <v>1.6132880268013464E-2</v>
      </c>
      <c r="BI119" s="20">
        <f t="shared" si="64"/>
        <v>4.301065181322102E-3</v>
      </c>
      <c r="BJ119" s="20">
        <f t="shared" si="64"/>
        <v>9.9532922717948859E-3</v>
      </c>
      <c r="BK119" s="20">
        <f t="shared" si="64"/>
        <v>2.5788493909405474E-2</v>
      </c>
      <c r="BL119" s="20">
        <f t="shared" si="64"/>
        <v>1.7672433601000605E-2</v>
      </c>
      <c r="BM119" s="20">
        <f t="shared" si="64"/>
        <v>1.1114229840101231E-2</v>
      </c>
      <c r="BN119" s="20">
        <f t="shared" si="64"/>
        <v>1.1749374189924444E-2</v>
      </c>
      <c r="BO119" s="20">
        <f t="shared" si="64"/>
        <v>1.1001753213851733E-2</v>
      </c>
      <c r="BP119" s="20">
        <f t="shared" si="64"/>
        <v>4.2344198594198593E-2</v>
      </c>
      <c r="BQ119" s="20">
        <f t="shared" si="64"/>
        <v>3.0782072724083384E-2</v>
      </c>
      <c r="BR119" s="20">
        <f t="shared" si="64"/>
        <v>0</v>
      </c>
      <c r="BS119" s="20">
        <f t="shared" si="64"/>
        <v>2.161880526016096E-2</v>
      </c>
      <c r="BT119" s="164">
        <f t="shared" si="2"/>
        <v>4.359723406508402E-2</v>
      </c>
      <c r="BU119" s="164"/>
      <c r="BV119" s="164">
        <f t="shared" si="3"/>
        <v>6.1256093470400405E-3</v>
      </c>
      <c r="BW119" s="162"/>
      <c r="BX119" s="163">
        <f t="shared" si="4"/>
        <v>3.6187132178889019E-2</v>
      </c>
      <c r="BY119" s="164"/>
      <c r="BZ119" s="164"/>
      <c r="CA119" s="164"/>
      <c r="CB119" s="165"/>
      <c r="CC119" s="166"/>
    </row>
    <row r="120" spans="1:81" x14ac:dyDescent="0.3">
      <c r="A120" s="7">
        <v>32</v>
      </c>
      <c r="B120" s="150" t="s">
        <v>138</v>
      </c>
      <c r="C120" s="150"/>
      <c r="D120" s="150"/>
      <c r="E120" s="150"/>
      <c r="F120" s="20">
        <f t="shared" ref="F120:AK120" si="65">IF(F38=".",0,F38/F$83)</f>
        <v>7.2053243677429792E-3</v>
      </c>
      <c r="G120" s="20">
        <f t="shared" si="65"/>
        <v>6.6179899391691733E-3</v>
      </c>
      <c r="H120" s="20">
        <f t="shared" si="65"/>
        <v>9.0866608544027897E-3</v>
      </c>
      <c r="I120" s="20">
        <f t="shared" si="65"/>
        <v>5.8322987326400776E-3</v>
      </c>
      <c r="J120" s="20">
        <f t="shared" si="65"/>
        <v>2.6335421410058207E-3</v>
      </c>
      <c r="K120" s="20">
        <f t="shared" si="65"/>
        <v>4.9863600879360387E-4</v>
      </c>
      <c r="L120" s="20">
        <f t="shared" si="65"/>
        <v>3.9414327188789997E-3</v>
      </c>
      <c r="M120" s="20">
        <f t="shared" si="65"/>
        <v>9.2689120129642267E-4</v>
      </c>
      <c r="N120" s="20">
        <f t="shared" si="65"/>
        <v>4.1787668257442312E-3</v>
      </c>
      <c r="O120" s="20">
        <f t="shared" si="65"/>
        <v>2.2221385055862914E-3</v>
      </c>
      <c r="P120" s="20">
        <f t="shared" si="65"/>
        <v>1.3774591871222304E-3</v>
      </c>
      <c r="Q120" s="20">
        <f t="shared" si="65"/>
        <v>3.3332296328558668E-5</v>
      </c>
      <c r="R120" s="20">
        <f t="shared" si="65"/>
        <v>2.3769398309305438E-3</v>
      </c>
      <c r="S120" s="20">
        <f t="shared" si="65"/>
        <v>2.8645304970456929E-3</v>
      </c>
      <c r="T120" s="20">
        <f t="shared" si="65"/>
        <v>3.4952608284263068E-5</v>
      </c>
      <c r="U120" s="20">
        <f t="shared" si="65"/>
        <v>6.0952003757424652E-3</v>
      </c>
      <c r="V120" s="20">
        <f t="shared" si="65"/>
        <v>2.4267609392789348E-4</v>
      </c>
      <c r="W120" s="20">
        <f t="shared" si="65"/>
        <v>8.4324142001855119E-4</v>
      </c>
      <c r="X120" s="20">
        <f t="shared" si="65"/>
        <v>2.5657663841701867E-3</v>
      </c>
      <c r="Y120" s="20">
        <f t="shared" si="65"/>
        <v>2.3904090542448681E-4</v>
      </c>
      <c r="Z120" s="20">
        <f t="shared" si="65"/>
        <v>1.2972370452463469E-3</v>
      </c>
      <c r="AA120" s="20">
        <f t="shared" si="65"/>
        <v>1.8295009953055287E-3</v>
      </c>
      <c r="AB120" s="20">
        <f t="shared" si="65"/>
        <v>4.5174469394199876E-3</v>
      </c>
      <c r="AC120" s="20">
        <f t="shared" si="65"/>
        <v>7.8488190682466123E-4</v>
      </c>
      <c r="AD120" s="20">
        <f t="shared" si="65"/>
        <v>0</v>
      </c>
      <c r="AE120" s="20">
        <f t="shared" si="65"/>
        <v>9.3657958868294635E-4</v>
      </c>
      <c r="AF120" s="20">
        <f t="shared" si="65"/>
        <v>1.5217747917747814E-3</v>
      </c>
      <c r="AG120" s="20">
        <f t="shared" si="65"/>
        <v>2.8906547287273665E-3</v>
      </c>
      <c r="AH120" s="20">
        <f t="shared" si="65"/>
        <v>8.7436985643162494E-3</v>
      </c>
      <c r="AI120" s="20">
        <f t="shared" si="65"/>
        <v>2.6565589003409739E-3</v>
      </c>
      <c r="AJ120" s="20">
        <f t="shared" si="65"/>
        <v>8.9184482748524139E-4</v>
      </c>
      <c r="AK120" s="20">
        <f t="shared" si="65"/>
        <v>1.1459069179467684E-3</v>
      </c>
      <c r="AL120" s="20">
        <f t="shared" ref="AL120:BS120" si="66">IF(AL38=".",0,AL38/AL$83)</f>
        <v>8.5634727037663273E-3</v>
      </c>
      <c r="AM120" s="20">
        <f t="shared" si="66"/>
        <v>4.450895355803489E-3</v>
      </c>
      <c r="AN120" s="20">
        <f t="shared" si="66"/>
        <v>6.6380964381611302E-3</v>
      </c>
      <c r="AO120" s="20">
        <f t="shared" si="66"/>
        <v>6.1362021111369092E-4</v>
      </c>
      <c r="AP120" s="20">
        <f t="shared" si="66"/>
        <v>3.0246111121242356E-3</v>
      </c>
      <c r="AQ120" s="20">
        <f t="shared" si="66"/>
        <v>9.4643159703308721E-3</v>
      </c>
      <c r="AR120" s="20">
        <f t="shared" si="66"/>
        <v>2.4054703525475786E-3</v>
      </c>
      <c r="AS120" s="20">
        <f t="shared" si="66"/>
        <v>1.5833217495630999E-3</v>
      </c>
      <c r="AT120" s="20">
        <f t="shared" si="66"/>
        <v>1.7444600313527151E-4</v>
      </c>
      <c r="AU120" s="20">
        <f t="shared" si="66"/>
        <v>1.020011412008867E-3</v>
      </c>
      <c r="AV120" s="20">
        <f t="shared" si="66"/>
        <v>4.3616755753581396E-4</v>
      </c>
      <c r="AW120" s="20">
        <f t="shared" si="66"/>
        <v>7.2406246218158167E-4</v>
      </c>
      <c r="AX120" s="20">
        <f t="shared" si="66"/>
        <v>1.4964964000590891E-3</v>
      </c>
      <c r="AY120" s="20">
        <f t="shared" si="66"/>
        <v>1.8730061943657249E-3</v>
      </c>
      <c r="AZ120" s="20">
        <f t="shared" si="66"/>
        <v>1.0238889672968001E-3</v>
      </c>
      <c r="BA120" s="20">
        <f t="shared" si="66"/>
        <v>2.9159440752620511E-3</v>
      </c>
      <c r="BB120" s="20">
        <f t="shared" si="66"/>
        <v>2.9098328257751711E-3</v>
      </c>
      <c r="BC120" s="20">
        <f t="shared" si="66"/>
        <v>8.7984986344374298E-3</v>
      </c>
      <c r="BD120" s="20">
        <f t="shared" si="66"/>
        <v>3.2749595574989936E-3</v>
      </c>
      <c r="BE120" s="20">
        <f t="shared" si="66"/>
        <v>4.324487204637891E-3</v>
      </c>
      <c r="BF120" s="20">
        <f t="shared" si="66"/>
        <v>8.305197734874844E-4</v>
      </c>
      <c r="BG120" s="20">
        <f t="shared" si="66"/>
        <v>1.7010639545901652E-3</v>
      </c>
      <c r="BH120" s="20">
        <f t="shared" si="66"/>
        <v>6.1828006981952659E-3</v>
      </c>
      <c r="BI120" s="20">
        <f t="shared" si="66"/>
        <v>1.5500515902082534E-3</v>
      </c>
      <c r="BJ120" s="20">
        <f t="shared" si="66"/>
        <v>3.4711286628343781E-3</v>
      </c>
      <c r="BK120" s="20">
        <f t="shared" si="66"/>
        <v>1.8128414306025817E-3</v>
      </c>
      <c r="BL120" s="20">
        <f t="shared" si="66"/>
        <v>5.1388919414102376E-3</v>
      </c>
      <c r="BM120" s="20">
        <f t="shared" si="66"/>
        <v>4.4187277119521456E-3</v>
      </c>
      <c r="BN120" s="20">
        <f t="shared" si="66"/>
        <v>5.1732847027674746E-3</v>
      </c>
      <c r="BO120" s="20">
        <f t="shared" si="66"/>
        <v>2.008797456718934E-3</v>
      </c>
      <c r="BP120" s="20">
        <f t="shared" si="66"/>
        <v>7.9200079200079203E-3</v>
      </c>
      <c r="BQ120" s="20">
        <f t="shared" si="66"/>
        <v>6.5941421919247208E-3</v>
      </c>
      <c r="BR120" s="20">
        <f t="shared" si="66"/>
        <v>0</v>
      </c>
      <c r="BS120" s="20">
        <f t="shared" si="66"/>
        <v>3.7799430601413633E-3</v>
      </c>
      <c r="BT120" s="164">
        <f t="shared" si="2"/>
        <v>0.10309825621712672</v>
      </c>
      <c r="BU120" s="164"/>
      <c r="BV120" s="164">
        <f t="shared" si="3"/>
        <v>6.9999767605526909E-3</v>
      </c>
      <c r="BW120" s="162"/>
      <c r="BX120" s="163">
        <f t="shared" si="4"/>
        <v>1.3745138750612435E-3</v>
      </c>
      <c r="BY120" s="164"/>
      <c r="BZ120" s="164"/>
      <c r="CA120" s="164"/>
      <c r="CB120" s="165"/>
      <c r="CC120" s="166"/>
    </row>
    <row r="121" spans="1:81" x14ac:dyDescent="0.3">
      <c r="A121" s="7">
        <v>33</v>
      </c>
      <c r="B121" s="150" t="s">
        <v>139</v>
      </c>
      <c r="C121" s="150"/>
      <c r="D121" s="150"/>
      <c r="E121" s="150"/>
      <c r="F121" s="20">
        <f t="shared" ref="F121:AK121" si="67">IF(F39=".",0,F39/F$83)</f>
        <v>5.1250806254633172E-3</v>
      </c>
      <c r="G121" s="20">
        <f t="shared" si="67"/>
        <v>5.186791265625082E-2</v>
      </c>
      <c r="H121" s="20">
        <f t="shared" si="67"/>
        <v>2.0617262423714036E-3</v>
      </c>
      <c r="I121" s="20">
        <f t="shared" si="67"/>
        <v>4.2464859327600704E-2</v>
      </c>
      <c r="J121" s="20">
        <f t="shared" si="67"/>
        <v>2.6329367063884276E-2</v>
      </c>
      <c r="K121" s="20">
        <f t="shared" si="67"/>
        <v>6.9395372202696115E-3</v>
      </c>
      <c r="L121" s="20">
        <f t="shared" si="67"/>
        <v>4.3921758049169896E-2</v>
      </c>
      <c r="M121" s="20">
        <f t="shared" si="67"/>
        <v>1.555069255258742E-2</v>
      </c>
      <c r="N121" s="20">
        <f t="shared" si="67"/>
        <v>3.8971238513704758E-2</v>
      </c>
      <c r="O121" s="20">
        <f t="shared" si="67"/>
        <v>2.2676145781757903E-2</v>
      </c>
      <c r="P121" s="20">
        <f t="shared" si="67"/>
        <v>7.2361336740422114E-3</v>
      </c>
      <c r="Q121" s="20">
        <f t="shared" si="67"/>
        <v>0</v>
      </c>
      <c r="R121" s="20">
        <f t="shared" si="67"/>
        <v>1.1538120658261037E-2</v>
      </c>
      <c r="S121" s="20">
        <f t="shared" si="67"/>
        <v>6.211880478899777E-2</v>
      </c>
      <c r="T121" s="20">
        <f t="shared" si="67"/>
        <v>1.7142243815166896E-3</v>
      </c>
      <c r="U121" s="20">
        <f t="shared" si="67"/>
        <v>1.4802289814388419E-2</v>
      </c>
      <c r="V121" s="20">
        <f t="shared" si="67"/>
        <v>2.667878562878851E-3</v>
      </c>
      <c r="W121" s="20">
        <f t="shared" si="67"/>
        <v>3.1311050432378533E-3</v>
      </c>
      <c r="X121" s="20">
        <f t="shared" si="67"/>
        <v>6.8299676270116927E-3</v>
      </c>
      <c r="Y121" s="20">
        <f t="shared" si="67"/>
        <v>8.4478737671825656E-3</v>
      </c>
      <c r="Z121" s="20">
        <f t="shared" si="67"/>
        <v>8.8003920538625643E-3</v>
      </c>
      <c r="AA121" s="20">
        <f t="shared" si="67"/>
        <v>2.5639082542610804E-2</v>
      </c>
      <c r="AB121" s="20">
        <f t="shared" si="67"/>
        <v>9.6206471019393159E-3</v>
      </c>
      <c r="AC121" s="20">
        <f t="shared" si="67"/>
        <v>4.8634197983180184E-3</v>
      </c>
      <c r="AD121" s="20">
        <f t="shared" si="67"/>
        <v>0</v>
      </c>
      <c r="AE121" s="20">
        <f t="shared" si="67"/>
        <v>7.568544974514084E-3</v>
      </c>
      <c r="AF121" s="20">
        <f t="shared" si="67"/>
        <v>1.2050392927409794E-3</v>
      </c>
      <c r="AG121" s="20">
        <f t="shared" si="67"/>
        <v>3.5673220133954013E-2</v>
      </c>
      <c r="AH121" s="20">
        <f t="shared" si="67"/>
        <v>4.0330112117411235E-2</v>
      </c>
      <c r="AI121" s="20">
        <f t="shared" si="67"/>
        <v>1.2253690899995555E-2</v>
      </c>
      <c r="AJ121" s="20">
        <f t="shared" si="67"/>
        <v>6.0119663167687028E-2</v>
      </c>
      <c r="AK121" s="20">
        <f t="shared" si="67"/>
        <v>2.6973125682684253E-2</v>
      </c>
      <c r="AL121" s="20">
        <f t="shared" ref="AL121:BS121" si="68">IF(AL39=".",0,AL39/AL$83)</f>
        <v>4.9588192551123414E-2</v>
      </c>
      <c r="AM121" s="20">
        <f t="shared" si="68"/>
        <v>0</v>
      </c>
      <c r="AN121" s="20">
        <f t="shared" si="68"/>
        <v>0</v>
      </c>
      <c r="AO121" s="20">
        <f t="shared" si="68"/>
        <v>9.7240582166875283E-2</v>
      </c>
      <c r="AP121" s="20">
        <f t="shared" si="68"/>
        <v>1.469320126820042E-2</v>
      </c>
      <c r="AQ121" s="20">
        <f t="shared" si="68"/>
        <v>6.3705728404535233E-3</v>
      </c>
      <c r="AR121" s="20">
        <f t="shared" si="68"/>
        <v>4.4045702723652337E-3</v>
      </c>
      <c r="AS121" s="20">
        <f t="shared" si="68"/>
        <v>9.395862401163185E-4</v>
      </c>
      <c r="AT121" s="20">
        <f t="shared" si="68"/>
        <v>0</v>
      </c>
      <c r="AU121" s="20">
        <f t="shared" si="68"/>
        <v>2.2438988673833681E-3</v>
      </c>
      <c r="AV121" s="20">
        <f t="shared" si="68"/>
        <v>3.4457854846402301E-4</v>
      </c>
      <c r="AW121" s="20">
        <f t="shared" si="68"/>
        <v>8.7516520452542452E-5</v>
      </c>
      <c r="AX121" s="20">
        <f t="shared" si="68"/>
        <v>0</v>
      </c>
      <c r="AY121" s="20">
        <f t="shared" si="68"/>
        <v>1.7287657981450756E-3</v>
      </c>
      <c r="AZ121" s="20">
        <f t="shared" si="68"/>
        <v>4.5019159638802868E-3</v>
      </c>
      <c r="BA121" s="20">
        <f t="shared" si="68"/>
        <v>2.6400303738613974E-3</v>
      </c>
      <c r="BB121" s="20">
        <f t="shared" si="68"/>
        <v>4.9373049602674185E-3</v>
      </c>
      <c r="BC121" s="20">
        <f t="shared" si="68"/>
        <v>2.1514694773270698E-3</v>
      </c>
      <c r="BD121" s="20">
        <f t="shared" si="68"/>
        <v>1.2334079782988013E-3</v>
      </c>
      <c r="BE121" s="20">
        <f t="shared" si="68"/>
        <v>1.3212028699253338E-2</v>
      </c>
      <c r="BF121" s="20">
        <f t="shared" si="68"/>
        <v>1.5898707928003336E-3</v>
      </c>
      <c r="BG121" s="20">
        <f t="shared" si="68"/>
        <v>2.232251631126312E-2</v>
      </c>
      <c r="BH121" s="20">
        <f t="shared" si="68"/>
        <v>4.5438484161753881E-3</v>
      </c>
      <c r="BI121" s="20">
        <f t="shared" si="68"/>
        <v>3.2624448642933463E-3</v>
      </c>
      <c r="BJ121" s="20">
        <f t="shared" si="68"/>
        <v>6.570941612829311E-3</v>
      </c>
      <c r="BK121" s="20">
        <f t="shared" si="68"/>
        <v>1.7431624737961067E-3</v>
      </c>
      <c r="BL121" s="20">
        <f t="shared" si="68"/>
        <v>3.399620776947714E-3</v>
      </c>
      <c r="BM121" s="20">
        <f t="shared" si="68"/>
        <v>8.7684343724836085E-3</v>
      </c>
      <c r="BN121" s="20">
        <f t="shared" si="68"/>
        <v>9.9457680385665222E-3</v>
      </c>
      <c r="BO121" s="20">
        <f t="shared" si="68"/>
        <v>1.8265708302880022E-2</v>
      </c>
      <c r="BP121" s="20">
        <f t="shared" si="68"/>
        <v>7.4806949806949805E-3</v>
      </c>
      <c r="BQ121" s="20">
        <f t="shared" si="68"/>
        <v>1.6634053839895718E-2</v>
      </c>
      <c r="BR121" s="20">
        <f t="shared" si="68"/>
        <v>0</v>
      </c>
      <c r="BS121" s="20">
        <f t="shared" si="68"/>
        <v>2.7296739074668834E-2</v>
      </c>
      <c r="BT121" s="164">
        <f t="shared" ref="BT121:BT152" si="69">IF(BT39=".",0,BT39/BT$74)</f>
        <v>2.9088013436777044E-2</v>
      </c>
      <c r="BU121" s="164"/>
      <c r="BV121" s="164">
        <f t="shared" ref="BV121:BV152" si="70">IF(BV39=".",0,BV39/BV$74)</f>
        <v>4.4013901219453058E-4</v>
      </c>
      <c r="BW121" s="162"/>
      <c r="BX121" s="163">
        <f t="shared" ref="BX121:BX152" si="71">IF(BX39=".",0,BX39/BX$74)</f>
        <v>2.1002415029863584E-3</v>
      </c>
      <c r="BY121" s="164"/>
      <c r="BZ121" s="164"/>
      <c r="CA121" s="164"/>
      <c r="CB121" s="165"/>
      <c r="CC121" s="166"/>
    </row>
    <row r="122" spans="1:81" x14ac:dyDescent="0.3">
      <c r="A122" s="7">
        <v>34</v>
      </c>
      <c r="B122" s="150" t="s">
        <v>140</v>
      </c>
      <c r="C122" s="150"/>
      <c r="D122" s="150"/>
      <c r="E122" s="150"/>
      <c r="F122" s="20">
        <f t="shared" ref="F122:AK122" si="72">IF(F40=".",0,F40/F$83)</f>
        <v>1.0070497364778654E-4</v>
      </c>
      <c r="G122" s="20">
        <f t="shared" si="72"/>
        <v>3.0391358793271882E-2</v>
      </c>
      <c r="H122" s="20">
        <f t="shared" si="72"/>
        <v>3.5124673060156933E-3</v>
      </c>
      <c r="I122" s="20">
        <f t="shared" si="72"/>
        <v>1.0339893755160041E-2</v>
      </c>
      <c r="J122" s="20">
        <f t="shared" si="72"/>
        <v>7.2701376413763664E-5</v>
      </c>
      <c r="K122" s="20">
        <f t="shared" si="72"/>
        <v>1.3122559924318771E-4</v>
      </c>
      <c r="L122" s="20">
        <f t="shared" si="72"/>
        <v>4.2186886843218283E-3</v>
      </c>
      <c r="M122" s="20">
        <f t="shared" si="72"/>
        <v>5.3681598070677997E-3</v>
      </c>
      <c r="N122" s="20">
        <f t="shared" si="72"/>
        <v>2.8045067023044651E-4</v>
      </c>
      <c r="O122" s="20">
        <f t="shared" si="72"/>
        <v>6.3424321357070587E-3</v>
      </c>
      <c r="P122" s="20">
        <f t="shared" si="72"/>
        <v>1.4491296741464593E-3</v>
      </c>
      <c r="Q122" s="20">
        <f t="shared" si="72"/>
        <v>1.4814353923803853E-5</v>
      </c>
      <c r="R122" s="20">
        <f t="shared" si="72"/>
        <v>3.1213560478939736E-3</v>
      </c>
      <c r="S122" s="20">
        <f t="shared" si="72"/>
        <v>1.8284034546775982E-3</v>
      </c>
      <c r="T122" s="20">
        <f t="shared" si="72"/>
        <v>8.93920689747967E-5</v>
      </c>
      <c r="U122" s="20">
        <f t="shared" si="72"/>
        <v>1.5360706567026866E-3</v>
      </c>
      <c r="V122" s="20">
        <f t="shared" si="72"/>
        <v>3.3785410324364983E-5</v>
      </c>
      <c r="W122" s="20">
        <f t="shared" si="72"/>
        <v>3.9563346114579212E-4</v>
      </c>
      <c r="X122" s="20">
        <f t="shared" si="72"/>
        <v>1.661253292862629E-4</v>
      </c>
      <c r="Y122" s="20">
        <f t="shared" si="72"/>
        <v>9.1412125139715808E-5</v>
      </c>
      <c r="Z122" s="20">
        <f t="shared" si="72"/>
        <v>1.7280478664454422E-3</v>
      </c>
      <c r="AA122" s="20">
        <f t="shared" si="72"/>
        <v>3.3661848318893039E-4</v>
      </c>
      <c r="AB122" s="20">
        <f t="shared" si="72"/>
        <v>3.2519403075515168E-3</v>
      </c>
      <c r="AC122" s="20">
        <f t="shared" si="72"/>
        <v>0</v>
      </c>
      <c r="AD122" s="20">
        <f t="shared" si="72"/>
        <v>0</v>
      </c>
      <c r="AE122" s="20">
        <f t="shared" si="72"/>
        <v>0</v>
      </c>
      <c r="AF122" s="20">
        <f t="shared" si="72"/>
        <v>8.5632073028682625E-5</v>
      </c>
      <c r="AG122" s="20">
        <f t="shared" si="72"/>
        <v>2.8128396121388046E-3</v>
      </c>
      <c r="AH122" s="20">
        <f t="shared" si="72"/>
        <v>9.6735172139453642E-4</v>
      </c>
      <c r="AI122" s="20">
        <f t="shared" si="72"/>
        <v>5.09697538582443E-4</v>
      </c>
      <c r="AJ122" s="20">
        <f t="shared" si="72"/>
        <v>4.4901772778374203E-3</v>
      </c>
      <c r="AK122" s="20">
        <f t="shared" si="72"/>
        <v>0</v>
      </c>
      <c r="AL122" s="20">
        <f t="shared" ref="AL122:BS122" si="73">IF(AL40=".",0,AL40/AL$83)</f>
        <v>2.0392874705461631E-3</v>
      </c>
      <c r="AM122" s="20">
        <f t="shared" si="73"/>
        <v>2.0586540189501236E-3</v>
      </c>
      <c r="AN122" s="20">
        <f t="shared" si="73"/>
        <v>0</v>
      </c>
      <c r="AO122" s="20">
        <f t="shared" si="73"/>
        <v>5.047931934045246E-2</v>
      </c>
      <c r="AP122" s="20">
        <f t="shared" si="73"/>
        <v>9.8996746133265252E-5</v>
      </c>
      <c r="AQ122" s="20">
        <f t="shared" si="73"/>
        <v>0</v>
      </c>
      <c r="AR122" s="20">
        <f t="shared" si="73"/>
        <v>2.3411789109515014E-4</v>
      </c>
      <c r="AS122" s="20">
        <f t="shared" si="73"/>
        <v>5.738612162735743E-4</v>
      </c>
      <c r="AT122" s="20">
        <f t="shared" si="73"/>
        <v>1.2830759194475662E-4</v>
      </c>
      <c r="AU122" s="20">
        <f t="shared" si="73"/>
        <v>2.3722418874587408E-3</v>
      </c>
      <c r="AV122" s="20">
        <f t="shared" si="73"/>
        <v>5.5910997106219779E-4</v>
      </c>
      <c r="AW122" s="20">
        <f t="shared" si="73"/>
        <v>1.4973529671177184E-4</v>
      </c>
      <c r="AX122" s="20">
        <f t="shared" si="73"/>
        <v>8.1101580167072763E-4</v>
      </c>
      <c r="AY122" s="20">
        <f t="shared" si="73"/>
        <v>1.5311983299393873E-4</v>
      </c>
      <c r="AZ122" s="20">
        <f t="shared" si="73"/>
        <v>1.6502054435210065E-3</v>
      </c>
      <c r="BA122" s="20">
        <f t="shared" si="73"/>
        <v>1.2351058314210655E-3</v>
      </c>
      <c r="BB122" s="20">
        <f t="shared" si="73"/>
        <v>3.0009297913427767E-3</v>
      </c>
      <c r="BC122" s="20">
        <f t="shared" si="73"/>
        <v>6.8080844747695542E-4</v>
      </c>
      <c r="BD122" s="20">
        <f t="shared" si="73"/>
        <v>1.5753148863724667E-3</v>
      </c>
      <c r="BE122" s="20">
        <f t="shared" si="73"/>
        <v>0</v>
      </c>
      <c r="BF122" s="20">
        <f t="shared" si="73"/>
        <v>2.9061662828559691E-3</v>
      </c>
      <c r="BG122" s="20">
        <f t="shared" si="73"/>
        <v>4.4628112225099943E-2</v>
      </c>
      <c r="BH122" s="20">
        <f t="shared" si="73"/>
        <v>3.7327410540410579E-4</v>
      </c>
      <c r="BI122" s="20">
        <f t="shared" si="73"/>
        <v>4.7383249944188177E-4</v>
      </c>
      <c r="BJ122" s="20">
        <f t="shared" si="73"/>
        <v>3.6492552232960784E-4</v>
      </c>
      <c r="BK122" s="20">
        <f t="shared" si="73"/>
        <v>2.0859116280659112E-4</v>
      </c>
      <c r="BL122" s="20">
        <f t="shared" si="73"/>
        <v>4.0959286469249566E-5</v>
      </c>
      <c r="BM122" s="20">
        <f t="shared" si="73"/>
        <v>7.0401472449096981E-4</v>
      </c>
      <c r="BN122" s="20">
        <f t="shared" si="73"/>
        <v>2.0022385935172735E-3</v>
      </c>
      <c r="BO122" s="20">
        <f t="shared" si="73"/>
        <v>3.0490675682340964E-5</v>
      </c>
      <c r="BP122" s="20">
        <f t="shared" si="73"/>
        <v>3.7898475398475398E-3</v>
      </c>
      <c r="BQ122" s="20">
        <f t="shared" si="73"/>
        <v>3.0263896743858757E-3</v>
      </c>
      <c r="BR122" s="20">
        <f t="shared" si="73"/>
        <v>0</v>
      </c>
      <c r="BS122" s="20">
        <f t="shared" si="73"/>
        <v>5.2016085520095222E-3</v>
      </c>
      <c r="BT122" s="164">
        <f t="shared" si="69"/>
        <v>6.3438926432838796E-3</v>
      </c>
      <c r="BU122" s="164"/>
      <c r="BV122" s="164">
        <f t="shared" si="70"/>
        <v>0</v>
      </c>
      <c r="BW122" s="162"/>
      <c r="BX122" s="163">
        <f t="shared" si="71"/>
        <v>0</v>
      </c>
      <c r="BY122" s="164"/>
      <c r="BZ122" s="164"/>
      <c r="CA122" s="164"/>
      <c r="CB122" s="165"/>
      <c r="CC122" s="166"/>
    </row>
    <row r="123" spans="1:81" x14ac:dyDescent="0.3">
      <c r="A123" s="7">
        <v>35</v>
      </c>
      <c r="B123" s="150" t="s">
        <v>141</v>
      </c>
      <c r="C123" s="150"/>
      <c r="D123" s="150"/>
      <c r="E123" s="150"/>
      <c r="F123" s="20">
        <f t="shared" ref="F123:AK123" si="74">IF(F41=".",0,F41/F$83)</f>
        <v>2.5616342268505087E-4</v>
      </c>
      <c r="G123" s="20">
        <f t="shared" si="74"/>
        <v>1.4820696484615578E-3</v>
      </c>
      <c r="H123" s="20">
        <f t="shared" si="74"/>
        <v>5.133391455972101E-4</v>
      </c>
      <c r="I123" s="20">
        <f t="shared" si="74"/>
        <v>9.399010254745928E-5</v>
      </c>
      <c r="J123" s="20">
        <f t="shared" si="74"/>
        <v>1.4796231381162731E-4</v>
      </c>
      <c r="K123" s="20">
        <f t="shared" si="74"/>
        <v>2.8637807030948502E-4</v>
      </c>
      <c r="L123" s="20">
        <f t="shared" si="74"/>
        <v>3.8040515945467397E-4</v>
      </c>
      <c r="M123" s="20">
        <f t="shared" si="74"/>
        <v>1.5694881299485131E-4</v>
      </c>
      <c r="N123" s="20">
        <f t="shared" si="74"/>
        <v>6.8635247206120359E-4</v>
      </c>
      <c r="O123" s="20">
        <f t="shared" si="74"/>
        <v>6.9963188599229327E-5</v>
      </c>
      <c r="P123" s="20">
        <f t="shared" si="74"/>
        <v>9.8042744154356511E-5</v>
      </c>
      <c r="Q123" s="20">
        <f t="shared" si="74"/>
        <v>1.1518160175757494E-4</v>
      </c>
      <c r="R123" s="20">
        <f t="shared" si="74"/>
        <v>3.6509795803093149E-4</v>
      </c>
      <c r="S123" s="20">
        <f t="shared" si="74"/>
        <v>6.1391301200297566E-4</v>
      </c>
      <c r="T123" s="20">
        <f t="shared" si="74"/>
        <v>3.8509732136201342E-5</v>
      </c>
      <c r="U123" s="20">
        <f t="shared" si="74"/>
        <v>7.424327354498087E-4</v>
      </c>
      <c r="V123" s="20">
        <f t="shared" si="74"/>
        <v>2.6404940128301071E-4</v>
      </c>
      <c r="W123" s="20">
        <f t="shared" si="74"/>
        <v>3.3837190244315088E-4</v>
      </c>
      <c r="X123" s="20">
        <f t="shared" si="74"/>
        <v>3.8516288683873866E-4</v>
      </c>
      <c r="Y123" s="20">
        <f t="shared" si="74"/>
        <v>1.9723877723970218E-4</v>
      </c>
      <c r="Z123" s="20">
        <f t="shared" si="74"/>
        <v>3.4496896240254708E-3</v>
      </c>
      <c r="AA123" s="20">
        <f t="shared" si="74"/>
        <v>1.0965487284430038E-3</v>
      </c>
      <c r="AB123" s="20">
        <f t="shared" si="74"/>
        <v>5.4057875370514159E-3</v>
      </c>
      <c r="AC123" s="20">
        <f t="shared" si="74"/>
        <v>1.3849214720207468E-4</v>
      </c>
      <c r="AD123" s="20">
        <f t="shared" si="74"/>
        <v>0</v>
      </c>
      <c r="AE123" s="20">
        <f t="shared" si="74"/>
        <v>0</v>
      </c>
      <c r="AF123" s="20">
        <f t="shared" si="74"/>
        <v>2.2697657911217078E-4</v>
      </c>
      <c r="AG123" s="20">
        <f t="shared" si="74"/>
        <v>2.9151193297760429E-4</v>
      </c>
      <c r="AH123" s="20">
        <f t="shared" si="74"/>
        <v>9.3132580665596521E-4</v>
      </c>
      <c r="AI123" s="20">
        <f t="shared" si="74"/>
        <v>1.4023708216937495E-3</v>
      </c>
      <c r="AJ123" s="20">
        <f t="shared" si="74"/>
        <v>2.8076530026279098E-3</v>
      </c>
      <c r="AK123" s="20">
        <f t="shared" si="74"/>
        <v>1.1619074316255972E-3</v>
      </c>
      <c r="AL123" s="20">
        <f t="shared" ref="AL123:BS123" si="75">IF(AL41=".",0,AL41/AL$83)</f>
        <v>1.0889597777677252E-3</v>
      </c>
      <c r="AM123" s="20">
        <f t="shared" si="75"/>
        <v>2.4428047688977543E-4</v>
      </c>
      <c r="AN123" s="20">
        <f t="shared" si="75"/>
        <v>4.0776878120132656E-3</v>
      </c>
      <c r="AO123" s="20">
        <f t="shared" si="75"/>
        <v>6.8300067528815674E-3</v>
      </c>
      <c r="AP123" s="20">
        <f t="shared" si="75"/>
        <v>7.4044355752622762E-2</v>
      </c>
      <c r="AQ123" s="20">
        <f t="shared" si="75"/>
        <v>2.8635721417139145E-4</v>
      </c>
      <c r="AR123" s="20">
        <f t="shared" si="75"/>
        <v>1.2524700650556606E-3</v>
      </c>
      <c r="AS123" s="20">
        <f t="shared" si="75"/>
        <v>1.9735771103709062E-3</v>
      </c>
      <c r="AT123" s="20">
        <f t="shared" si="75"/>
        <v>1.5280375871085474E-4</v>
      </c>
      <c r="AU123" s="20">
        <f t="shared" si="75"/>
        <v>3.0316304528951663E-3</v>
      </c>
      <c r="AV123" s="20">
        <f t="shared" si="75"/>
        <v>2.6324503720398062E-3</v>
      </c>
      <c r="AW123" s="20">
        <f t="shared" si="75"/>
        <v>2.2679085807897131E-3</v>
      </c>
      <c r="AX123" s="20">
        <f t="shared" si="75"/>
        <v>6.182754732823135E-3</v>
      </c>
      <c r="AY123" s="20">
        <f t="shared" si="75"/>
        <v>3.8817265075959291E-4</v>
      </c>
      <c r="AZ123" s="20">
        <f t="shared" si="75"/>
        <v>2.904436142082236E-3</v>
      </c>
      <c r="BA123" s="20">
        <f t="shared" si="75"/>
        <v>2.0034604315730684E-3</v>
      </c>
      <c r="BB123" s="20">
        <f t="shared" si="75"/>
        <v>7.2365622564944231E-3</v>
      </c>
      <c r="BC123" s="20">
        <f t="shared" si="75"/>
        <v>1.6259771825147728E-3</v>
      </c>
      <c r="BD123" s="20">
        <f t="shared" si="75"/>
        <v>3.6465360732980596E-3</v>
      </c>
      <c r="BE123" s="20">
        <f t="shared" si="75"/>
        <v>1.8894513158901644E-3</v>
      </c>
      <c r="BF123" s="20">
        <f t="shared" si="75"/>
        <v>9.2068862625369619E-3</v>
      </c>
      <c r="BG123" s="20">
        <f t="shared" si="75"/>
        <v>0.22361546027993104</v>
      </c>
      <c r="BH123" s="20">
        <f t="shared" si="75"/>
        <v>1.1174312365335719E-3</v>
      </c>
      <c r="BI123" s="20">
        <f t="shared" si="75"/>
        <v>9.8423768522892963E-3</v>
      </c>
      <c r="BJ123" s="20">
        <f t="shared" si="75"/>
        <v>3.4542403022012379E-3</v>
      </c>
      <c r="BK123" s="20">
        <f t="shared" si="75"/>
        <v>4.9265548138650731E-4</v>
      </c>
      <c r="BL123" s="20">
        <f t="shared" si="75"/>
        <v>3.5664549437858771E-4</v>
      </c>
      <c r="BM123" s="20">
        <f t="shared" si="75"/>
        <v>3.0502703324513979E-3</v>
      </c>
      <c r="BN123" s="20">
        <f t="shared" si="75"/>
        <v>9.3551754360630453E-3</v>
      </c>
      <c r="BO123" s="20">
        <f t="shared" si="75"/>
        <v>1.0745272824288513E-2</v>
      </c>
      <c r="BP123" s="20">
        <f t="shared" si="75"/>
        <v>7.1094446094446097E-3</v>
      </c>
      <c r="BQ123" s="20">
        <f t="shared" si="75"/>
        <v>1.3418136764182546E-3</v>
      </c>
      <c r="BR123" s="20">
        <f t="shared" si="75"/>
        <v>0</v>
      </c>
      <c r="BS123" s="20">
        <f t="shared" si="75"/>
        <v>3.0857573874115956E-3</v>
      </c>
      <c r="BT123" s="164">
        <f t="shared" si="69"/>
        <v>2.2939342784585215E-3</v>
      </c>
      <c r="BU123" s="164"/>
      <c r="BV123" s="164">
        <f t="shared" si="70"/>
        <v>0</v>
      </c>
      <c r="BW123" s="162"/>
      <c r="BX123" s="163">
        <f t="shared" si="71"/>
        <v>0</v>
      </c>
      <c r="BY123" s="164"/>
      <c r="BZ123" s="164"/>
      <c r="CA123" s="164"/>
      <c r="CB123" s="165"/>
      <c r="CC123" s="166"/>
    </row>
    <row r="124" spans="1:81" x14ac:dyDescent="0.3">
      <c r="A124" s="7">
        <v>36</v>
      </c>
      <c r="B124" s="150" t="s">
        <v>142</v>
      </c>
      <c r="C124" s="150"/>
      <c r="D124" s="150"/>
      <c r="E124" s="150"/>
      <c r="F124" s="20">
        <f t="shared" ref="F124:AK124" si="76">IF(F42=".",0,F42/F$83)</f>
        <v>4.3017074411785226E-3</v>
      </c>
      <c r="G124" s="20">
        <f t="shared" si="76"/>
        <v>7.8730216644620973E-2</v>
      </c>
      <c r="H124" s="20">
        <f t="shared" si="76"/>
        <v>6.8646556233653011E-2</v>
      </c>
      <c r="I124" s="20">
        <f t="shared" si="76"/>
        <v>2.1612811211218032E-2</v>
      </c>
      <c r="J124" s="20">
        <f t="shared" si="76"/>
        <v>5.9498471745203186E-3</v>
      </c>
      <c r="K124" s="20">
        <f t="shared" si="76"/>
        <v>2.3724822683269999E-3</v>
      </c>
      <c r="L124" s="20">
        <f t="shared" si="76"/>
        <v>6.3468114694951554E-3</v>
      </c>
      <c r="M124" s="20">
        <f t="shared" si="76"/>
        <v>1.4532439278035459E-2</v>
      </c>
      <c r="N124" s="20">
        <f t="shared" si="76"/>
        <v>6.6572042645090456E-3</v>
      </c>
      <c r="O124" s="20">
        <f t="shared" si="76"/>
        <v>7.8816222848901024E-3</v>
      </c>
      <c r="P124" s="20">
        <f t="shared" si="76"/>
        <v>7.8127036093381362E-3</v>
      </c>
      <c r="Q124" s="20">
        <f t="shared" si="76"/>
        <v>0</v>
      </c>
      <c r="R124" s="20">
        <f t="shared" si="76"/>
        <v>2.9894048837143163E-3</v>
      </c>
      <c r="S124" s="20">
        <f t="shared" si="76"/>
        <v>3.9780515382116799E-3</v>
      </c>
      <c r="T124" s="20">
        <f t="shared" si="76"/>
        <v>5.8414159951177696E-4</v>
      </c>
      <c r="U124" s="20">
        <f t="shared" si="76"/>
        <v>3.2789151565736545E-3</v>
      </c>
      <c r="V124" s="20">
        <f t="shared" si="76"/>
        <v>1.3042170258987156E-3</v>
      </c>
      <c r="W124" s="20">
        <f t="shared" si="76"/>
        <v>0</v>
      </c>
      <c r="X124" s="20">
        <f t="shared" si="76"/>
        <v>1.8126013331736432E-3</v>
      </c>
      <c r="Y124" s="20">
        <f t="shared" si="76"/>
        <v>2.0384543542982616E-3</v>
      </c>
      <c r="Z124" s="20">
        <f t="shared" si="76"/>
        <v>1.5353841423181146E-2</v>
      </c>
      <c r="AA124" s="20">
        <f t="shared" si="76"/>
        <v>8.4672961730373596E-3</v>
      </c>
      <c r="AB124" s="20">
        <f t="shared" si="76"/>
        <v>2.9650843690509437E-2</v>
      </c>
      <c r="AC124" s="20">
        <f t="shared" si="76"/>
        <v>3.1437158978793525E-3</v>
      </c>
      <c r="AD124" s="20">
        <f t="shared" si="76"/>
        <v>1.100218502338446E-2</v>
      </c>
      <c r="AE124" s="20">
        <f t="shared" si="76"/>
        <v>0</v>
      </c>
      <c r="AF124" s="20">
        <f t="shared" si="76"/>
        <v>4.023675720624846E-5</v>
      </c>
      <c r="AG124" s="20">
        <f t="shared" si="76"/>
        <v>2.5463523132459309E-2</v>
      </c>
      <c r="AH124" s="20">
        <f t="shared" si="76"/>
        <v>1.6151861530969136E-3</v>
      </c>
      <c r="AI124" s="20">
        <f t="shared" si="76"/>
        <v>7.8268591952246318E-3</v>
      </c>
      <c r="AJ124" s="20">
        <f t="shared" si="76"/>
        <v>7.5963189425929195E-2</v>
      </c>
      <c r="AK124" s="20">
        <f t="shared" si="76"/>
        <v>0</v>
      </c>
      <c r="AL124" s="20">
        <f t="shared" ref="AL124:BS124" si="77">IF(AL42=".",0,AL42/AL$83)</f>
        <v>0.13666083466746312</v>
      </c>
      <c r="AM124" s="20">
        <f t="shared" si="77"/>
        <v>0.18951108663442137</v>
      </c>
      <c r="AN124" s="20">
        <f t="shared" si="77"/>
        <v>0.23298224601486883</v>
      </c>
      <c r="AO124" s="20">
        <f t="shared" si="77"/>
        <v>0.25083520081476829</v>
      </c>
      <c r="AP124" s="20">
        <f t="shared" si="77"/>
        <v>1.2056761608019778E-2</v>
      </c>
      <c r="AQ124" s="20">
        <f t="shared" si="77"/>
        <v>0</v>
      </c>
      <c r="AR124" s="20">
        <f t="shared" si="77"/>
        <v>5.3616636198992927E-4</v>
      </c>
      <c r="AS124" s="20">
        <f t="shared" si="77"/>
        <v>4.578996233478261E-4</v>
      </c>
      <c r="AT124" s="20">
        <f t="shared" si="77"/>
        <v>7.0277837663902846E-5</v>
      </c>
      <c r="AU124" s="20">
        <f t="shared" si="77"/>
        <v>0</v>
      </c>
      <c r="AV124" s="20">
        <f t="shared" si="77"/>
        <v>0</v>
      </c>
      <c r="AW124" s="20">
        <f t="shared" si="77"/>
        <v>4.5809428674377687E-5</v>
      </c>
      <c r="AX124" s="20">
        <f t="shared" si="77"/>
        <v>2.5492404536316751E-3</v>
      </c>
      <c r="AY124" s="20">
        <f t="shared" si="77"/>
        <v>1.1638620847898428E-3</v>
      </c>
      <c r="AZ124" s="20">
        <f t="shared" si="77"/>
        <v>0</v>
      </c>
      <c r="BA124" s="20">
        <f t="shared" si="77"/>
        <v>0</v>
      </c>
      <c r="BB124" s="20">
        <f t="shared" si="77"/>
        <v>5.3227731120906747E-4</v>
      </c>
      <c r="BC124" s="20">
        <f t="shared" si="77"/>
        <v>1.3379428393514456E-4</v>
      </c>
      <c r="BD124" s="20">
        <f t="shared" si="77"/>
        <v>0</v>
      </c>
      <c r="BE124" s="20">
        <f t="shared" si="77"/>
        <v>5.2091123083916335E-2</v>
      </c>
      <c r="BF124" s="20">
        <f t="shared" si="77"/>
        <v>6.1962520836448317E-4</v>
      </c>
      <c r="BG124" s="20">
        <f t="shared" si="77"/>
        <v>1.2364298412641117E-2</v>
      </c>
      <c r="BH124" s="20">
        <f t="shared" si="77"/>
        <v>4.1541024285399273E-3</v>
      </c>
      <c r="BI124" s="20">
        <f t="shared" si="77"/>
        <v>0</v>
      </c>
      <c r="BJ124" s="20">
        <f t="shared" si="77"/>
        <v>9.0717883130718652E-5</v>
      </c>
      <c r="BK124" s="20">
        <f t="shared" si="77"/>
        <v>3.2625797259492456E-4</v>
      </c>
      <c r="BL124" s="20">
        <f t="shared" si="77"/>
        <v>1.4725362989188747E-3</v>
      </c>
      <c r="BM124" s="20">
        <f t="shared" si="77"/>
        <v>2.5491774991372369E-4</v>
      </c>
      <c r="BN124" s="20">
        <f t="shared" si="77"/>
        <v>1.4157718874384724E-3</v>
      </c>
      <c r="BO124" s="20">
        <f t="shared" si="77"/>
        <v>6.1429743654128129E-4</v>
      </c>
      <c r="BP124" s="20">
        <f t="shared" si="77"/>
        <v>0</v>
      </c>
      <c r="BQ124" s="20">
        <f t="shared" si="77"/>
        <v>1.1521854626434435E-2</v>
      </c>
      <c r="BR124" s="20">
        <f t="shared" si="77"/>
        <v>0</v>
      </c>
      <c r="BS124" s="20">
        <f t="shared" si="77"/>
        <v>3.6606002739429579E-2</v>
      </c>
      <c r="BT124" s="164">
        <f t="shared" si="69"/>
        <v>4.1114742863511259E-4</v>
      </c>
      <c r="BU124" s="164"/>
      <c r="BV124" s="164">
        <f t="shared" si="70"/>
        <v>0</v>
      </c>
      <c r="BW124" s="162"/>
      <c r="BX124" s="163">
        <f t="shared" si="71"/>
        <v>0</v>
      </c>
      <c r="BY124" s="164"/>
      <c r="BZ124" s="164"/>
      <c r="CA124" s="164"/>
      <c r="CB124" s="165"/>
      <c r="CC124" s="166"/>
    </row>
    <row r="125" spans="1:81" x14ac:dyDescent="0.3">
      <c r="A125" s="7">
        <v>37</v>
      </c>
      <c r="B125" s="150" t="s">
        <v>143</v>
      </c>
      <c r="C125" s="150"/>
      <c r="D125" s="150"/>
      <c r="E125" s="150"/>
      <c r="F125" s="20">
        <f t="shared" ref="F125:AK125" si="78">IF(F43=".",0,F43/F$83)</f>
        <v>5.7601173873091278E-5</v>
      </c>
      <c r="G125" s="20">
        <f t="shared" si="78"/>
        <v>3.2223047314293554E-4</v>
      </c>
      <c r="H125" s="20">
        <f t="shared" si="78"/>
        <v>3.905841325196164E-5</v>
      </c>
      <c r="I125" s="20">
        <f t="shared" si="78"/>
        <v>1.8994515497395951E-5</v>
      </c>
      <c r="J125" s="20">
        <f t="shared" si="78"/>
        <v>1.0558189059412529E-4</v>
      </c>
      <c r="K125" s="20">
        <f t="shared" si="78"/>
        <v>3.2848936471815792E-4</v>
      </c>
      <c r="L125" s="20">
        <f t="shared" si="78"/>
        <v>2.5262106636014602E-4</v>
      </c>
      <c r="M125" s="20">
        <f t="shared" si="78"/>
        <v>1.1433019223039574E-4</v>
      </c>
      <c r="N125" s="20">
        <f t="shared" si="78"/>
        <v>6.7131907199339776E-4</v>
      </c>
      <c r="O125" s="20">
        <f t="shared" si="78"/>
        <v>0</v>
      </c>
      <c r="P125" s="20">
        <f t="shared" si="78"/>
        <v>1.0311035434798885E-4</v>
      </c>
      <c r="Q125" s="20">
        <f t="shared" si="78"/>
        <v>2.3332607429991068E-5</v>
      </c>
      <c r="R125" s="20">
        <f t="shared" si="78"/>
        <v>3.0226407032633276E-4</v>
      </c>
      <c r="S125" s="20">
        <f t="shared" si="78"/>
        <v>3.8339796327571409E-5</v>
      </c>
      <c r="T125" s="20">
        <f t="shared" si="78"/>
        <v>4.4850692046178268E-6</v>
      </c>
      <c r="U125" s="20">
        <f t="shared" si="78"/>
        <v>0</v>
      </c>
      <c r="V125" s="20">
        <f t="shared" si="78"/>
        <v>5.4824759752058509E-5</v>
      </c>
      <c r="W125" s="20">
        <f t="shared" si="78"/>
        <v>0</v>
      </c>
      <c r="X125" s="20">
        <f t="shared" si="78"/>
        <v>4.7191987372568231E-5</v>
      </c>
      <c r="Y125" s="20">
        <f t="shared" si="78"/>
        <v>7.3514087497379853E-5</v>
      </c>
      <c r="Z125" s="20">
        <f t="shared" si="78"/>
        <v>4.0892328257559742E-4</v>
      </c>
      <c r="AA125" s="20">
        <f t="shared" si="78"/>
        <v>8.1570494215345497E-4</v>
      </c>
      <c r="AB125" s="20">
        <f t="shared" si="78"/>
        <v>2.9520719466545062E-5</v>
      </c>
      <c r="AC125" s="20">
        <f t="shared" si="78"/>
        <v>3.1072779438271938E-3</v>
      </c>
      <c r="AD125" s="20">
        <f t="shared" si="78"/>
        <v>1.0466038418924119E-4</v>
      </c>
      <c r="AE125" s="20">
        <f t="shared" si="78"/>
        <v>0</v>
      </c>
      <c r="AF125" s="20">
        <f t="shared" si="78"/>
        <v>2.5689621908604786E-3</v>
      </c>
      <c r="AG125" s="20">
        <f t="shared" si="78"/>
        <v>1.1262559109276298E-3</v>
      </c>
      <c r="AH125" s="20">
        <f t="shared" si="78"/>
        <v>6.0383517011208437E-5</v>
      </c>
      <c r="AI125" s="20">
        <f t="shared" si="78"/>
        <v>5.9196450972206539E-4</v>
      </c>
      <c r="AJ125" s="20">
        <f t="shared" si="78"/>
        <v>2.037051267602806E-3</v>
      </c>
      <c r="AK125" s="20">
        <f t="shared" si="78"/>
        <v>4.8990663700268404E-3</v>
      </c>
      <c r="AL125" s="20">
        <f t="shared" ref="AL125:BS125" si="79">IF(AL43=".",0,AL43/AL$83)</f>
        <v>4.1786940536043572E-4</v>
      </c>
      <c r="AM125" s="20">
        <f t="shared" si="79"/>
        <v>0</v>
      </c>
      <c r="AN125" s="20">
        <f t="shared" si="79"/>
        <v>1.0132515111087439E-4</v>
      </c>
      <c r="AO125" s="20">
        <f t="shared" si="79"/>
        <v>4.6849390560757526E-4</v>
      </c>
      <c r="AP125" s="20">
        <f t="shared" si="79"/>
        <v>0.11305037631789419</v>
      </c>
      <c r="AQ125" s="20">
        <f t="shared" si="79"/>
        <v>2.9930980209845931E-4</v>
      </c>
      <c r="AR125" s="20">
        <f t="shared" si="79"/>
        <v>4.1093148594504171E-2</v>
      </c>
      <c r="AS125" s="20">
        <f t="shared" si="79"/>
        <v>1.687389845778515E-4</v>
      </c>
      <c r="AT125" s="20">
        <f t="shared" si="79"/>
        <v>8.313237954455919E-4</v>
      </c>
      <c r="AU125" s="20">
        <f t="shared" si="79"/>
        <v>4.5467092849652674E-4</v>
      </c>
      <c r="AV125" s="20">
        <f t="shared" si="79"/>
        <v>2.5496650282582213E-3</v>
      </c>
      <c r="AW125" s="20">
        <f t="shared" si="79"/>
        <v>7.4457414666264624E-4</v>
      </c>
      <c r="AX125" s="20">
        <f t="shared" si="79"/>
        <v>3.9704157317213455E-3</v>
      </c>
      <c r="AY125" s="20">
        <f t="shared" si="79"/>
        <v>5.220705211931723E-4</v>
      </c>
      <c r="AZ125" s="20">
        <f t="shared" si="79"/>
        <v>5.598768670329056E-4</v>
      </c>
      <c r="BA125" s="20">
        <f t="shared" si="79"/>
        <v>1.6414696625044957E-3</v>
      </c>
      <c r="BB125" s="20">
        <f t="shared" si="79"/>
        <v>1.946162446217029E-3</v>
      </c>
      <c r="BC125" s="20">
        <f t="shared" si="79"/>
        <v>1.5811399559949525E-3</v>
      </c>
      <c r="BD125" s="20">
        <f t="shared" si="79"/>
        <v>7.3382829774157766E-3</v>
      </c>
      <c r="BE125" s="20">
        <f t="shared" si="79"/>
        <v>6.0852958075872032E-4</v>
      </c>
      <c r="BF125" s="20">
        <f t="shared" si="79"/>
        <v>1.2549206011343906E-3</v>
      </c>
      <c r="BG125" s="20">
        <f t="shared" si="79"/>
        <v>2.7320801710990585E-3</v>
      </c>
      <c r="BH125" s="20">
        <f t="shared" si="79"/>
        <v>2.0846495341379757E-2</v>
      </c>
      <c r="BI125" s="20">
        <f t="shared" si="79"/>
        <v>2.6209936600991701E-3</v>
      </c>
      <c r="BJ125" s="20">
        <f t="shared" si="79"/>
        <v>3.0958190809262851E-4</v>
      </c>
      <c r="BK125" s="20">
        <f t="shared" si="79"/>
        <v>1.7917446035950777E-4</v>
      </c>
      <c r="BL125" s="20">
        <f t="shared" si="79"/>
        <v>2.0469653164754235E-3</v>
      </c>
      <c r="BM125" s="20">
        <f t="shared" si="79"/>
        <v>6.3177269067065463E-4</v>
      </c>
      <c r="BN125" s="20">
        <f t="shared" si="79"/>
        <v>3.7663540219533055E-3</v>
      </c>
      <c r="BO125" s="20">
        <f t="shared" si="79"/>
        <v>1.2966608226204941E-2</v>
      </c>
      <c r="BP125" s="20">
        <f t="shared" si="79"/>
        <v>0</v>
      </c>
      <c r="BQ125" s="20">
        <f t="shared" si="79"/>
        <v>0</v>
      </c>
      <c r="BR125" s="20">
        <f t="shared" si="79"/>
        <v>0</v>
      </c>
      <c r="BS125" s="20">
        <f t="shared" si="79"/>
        <v>1.7798189755234065E-3</v>
      </c>
      <c r="BT125" s="164">
        <f t="shared" si="69"/>
        <v>1.7247728852792187E-3</v>
      </c>
      <c r="BU125" s="164"/>
      <c r="BV125" s="164">
        <f t="shared" si="70"/>
        <v>0</v>
      </c>
      <c r="BW125" s="162"/>
      <c r="BX125" s="163">
        <f t="shared" si="71"/>
        <v>0</v>
      </c>
      <c r="BY125" s="164"/>
      <c r="BZ125" s="164"/>
      <c r="CA125" s="164"/>
      <c r="CB125" s="165"/>
      <c r="CC125" s="166"/>
    </row>
    <row r="126" spans="1:81" x14ac:dyDescent="0.3">
      <c r="A126" s="7">
        <v>38</v>
      </c>
      <c r="B126" s="150" t="s">
        <v>144</v>
      </c>
      <c r="C126" s="150"/>
      <c r="D126" s="150"/>
      <c r="E126" s="150"/>
      <c r="F126" s="20">
        <f t="shared" ref="F126:AK126" si="80">IF(F44=".",0,F44/F$83)</f>
        <v>4.8151992541101019E-5</v>
      </c>
      <c r="G126" s="20">
        <f t="shared" si="80"/>
        <v>4.130646952099833E-3</v>
      </c>
      <c r="H126" s="20">
        <f t="shared" si="80"/>
        <v>3.6226678291194419E-3</v>
      </c>
      <c r="I126" s="20">
        <f t="shared" si="80"/>
        <v>9.1697661021911497E-5</v>
      </c>
      <c r="J126" s="20">
        <f t="shared" si="80"/>
        <v>3.3097092417477781E-4</v>
      </c>
      <c r="K126" s="20">
        <f t="shared" si="80"/>
        <v>1.9056424136449951E-4</v>
      </c>
      <c r="L126" s="20">
        <f t="shared" si="80"/>
        <v>5.4431036224712292E-4</v>
      </c>
      <c r="M126" s="20">
        <f t="shared" si="80"/>
        <v>2.6285736160113306E-4</v>
      </c>
      <c r="N126" s="20">
        <f t="shared" si="80"/>
        <v>1.4432064065093586E-3</v>
      </c>
      <c r="O126" s="20">
        <f t="shared" si="80"/>
        <v>3.7026672120207517E-4</v>
      </c>
      <c r="P126" s="20">
        <f t="shared" si="80"/>
        <v>2.662046660899933E-4</v>
      </c>
      <c r="Q126" s="20">
        <f t="shared" si="80"/>
        <v>9.518222396043975E-5</v>
      </c>
      <c r="R126" s="20">
        <f t="shared" si="80"/>
        <v>2.9168152081818986E-4</v>
      </c>
      <c r="S126" s="20">
        <f t="shared" si="80"/>
        <v>3.9173270160779486E-4</v>
      </c>
      <c r="T126" s="20">
        <f t="shared" si="80"/>
        <v>6.8358640980726895E-5</v>
      </c>
      <c r="U126" s="20">
        <f t="shared" si="80"/>
        <v>1.2344440895841094E-3</v>
      </c>
      <c r="V126" s="20">
        <f t="shared" si="80"/>
        <v>3.3173154124088191E-4</v>
      </c>
      <c r="W126" s="20">
        <f t="shared" si="80"/>
        <v>5.0997735614511958E-4</v>
      </c>
      <c r="X126" s="20">
        <f t="shared" si="80"/>
        <v>3.6275861000529717E-4</v>
      </c>
      <c r="Y126" s="20">
        <f t="shared" si="80"/>
        <v>5.1988393903375826E-4</v>
      </c>
      <c r="Z126" s="20">
        <f t="shared" si="80"/>
        <v>1.6025949011644171E-3</v>
      </c>
      <c r="AA126" s="20">
        <f t="shared" si="80"/>
        <v>8.0767217330653324E-4</v>
      </c>
      <c r="AB126" s="20">
        <f t="shared" si="80"/>
        <v>9.0951006093309555E-3</v>
      </c>
      <c r="AC126" s="20">
        <f t="shared" si="80"/>
        <v>2.9876330142383046E-5</v>
      </c>
      <c r="AD126" s="20">
        <f t="shared" si="80"/>
        <v>1.236895449509214E-4</v>
      </c>
      <c r="AE126" s="20">
        <f t="shared" si="80"/>
        <v>1.0725346902659547E-4</v>
      </c>
      <c r="AF126" s="20">
        <f t="shared" si="80"/>
        <v>3.6109910313299901E-5</v>
      </c>
      <c r="AG126" s="20">
        <f t="shared" si="80"/>
        <v>2.6439454386340856E-4</v>
      </c>
      <c r="AH126" s="20">
        <f t="shared" si="80"/>
        <v>3.3249342551365003E-3</v>
      </c>
      <c r="AI126" s="20">
        <f t="shared" si="80"/>
        <v>9.5552320516207364E-4</v>
      </c>
      <c r="AJ126" s="20">
        <f t="shared" si="80"/>
        <v>3.4025747515353177E-3</v>
      </c>
      <c r="AK126" s="20">
        <f t="shared" si="80"/>
        <v>1.2689238542826985E-3</v>
      </c>
      <c r="AL126" s="20">
        <f t="shared" ref="AL126:BS126" si="81">IF(AL44=".",0,AL44/AL$83)</f>
        <v>3.7307158348461431E-3</v>
      </c>
      <c r="AM126" s="20">
        <f t="shared" si="81"/>
        <v>2.0072150296408968E-4</v>
      </c>
      <c r="AN126" s="20">
        <f t="shared" si="81"/>
        <v>1.8586670026851167E-2</v>
      </c>
      <c r="AO126" s="20">
        <f t="shared" si="81"/>
        <v>1.0661738383428206E-3</v>
      </c>
      <c r="AP126" s="20">
        <f t="shared" si="81"/>
        <v>6.1612448580308505E-4</v>
      </c>
      <c r="AQ126" s="20">
        <f t="shared" si="81"/>
        <v>2.0216539264545056E-3</v>
      </c>
      <c r="AR126" s="20">
        <f t="shared" si="81"/>
        <v>3.1242001477490111E-3</v>
      </c>
      <c r="AS126" s="20">
        <f t="shared" si="81"/>
        <v>5.1848212221608549E-3</v>
      </c>
      <c r="AT126" s="20">
        <f t="shared" si="81"/>
        <v>7.8637451856411076E-4</v>
      </c>
      <c r="AU126" s="20">
        <f t="shared" si="81"/>
        <v>1.0280275908037387E-2</v>
      </c>
      <c r="AV126" s="20">
        <f t="shared" si="81"/>
        <v>2.2554372672434456E-3</v>
      </c>
      <c r="AW126" s="20">
        <f t="shared" si="81"/>
        <v>1.4515435384433407E-3</v>
      </c>
      <c r="AX126" s="20">
        <f t="shared" si="81"/>
        <v>5.7360829630044843E-3</v>
      </c>
      <c r="AY126" s="20">
        <f t="shared" si="81"/>
        <v>3.0063956665926883E-4</v>
      </c>
      <c r="AZ126" s="20">
        <f t="shared" si="81"/>
        <v>3.9845125143464282E-3</v>
      </c>
      <c r="BA126" s="20">
        <f t="shared" si="81"/>
        <v>1.6935162615595164E-3</v>
      </c>
      <c r="BB126" s="20">
        <f t="shared" si="81"/>
        <v>1.1427022672604282E-2</v>
      </c>
      <c r="BC126" s="20">
        <f t="shared" si="81"/>
        <v>2.6579507880949631E-3</v>
      </c>
      <c r="BD126" s="20">
        <f t="shared" si="81"/>
        <v>1.2548831229381389E-2</v>
      </c>
      <c r="BE126" s="20">
        <f t="shared" si="81"/>
        <v>4.0721566336055501E-4</v>
      </c>
      <c r="BF126" s="20">
        <f t="shared" si="81"/>
        <v>1.6581013873989515E-2</v>
      </c>
      <c r="BG126" s="20">
        <f t="shared" si="81"/>
        <v>0.14581660094032289</v>
      </c>
      <c r="BH126" s="20">
        <f t="shared" si="81"/>
        <v>3.0661611747108786E-3</v>
      </c>
      <c r="BI126" s="20">
        <f t="shared" si="81"/>
        <v>1.1680392539992855E-2</v>
      </c>
      <c r="BJ126" s="20">
        <f t="shared" si="81"/>
        <v>1.6472884139455867E-2</v>
      </c>
      <c r="BK126" s="20">
        <f t="shared" si="81"/>
        <v>6.2611519758961317E-3</v>
      </c>
      <c r="BL126" s="20">
        <f t="shared" si="81"/>
        <v>2.2709426829731247E-2</v>
      </c>
      <c r="BM126" s="20">
        <f t="shared" si="81"/>
        <v>1.3044518578166343E-2</v>
      </c>
      <c r="BN126" s="20">
        <f t="shared" si="81"/>
        <v>2.7639380148897708E-2</v>
      </c>
      <c r="BO126" s="20">
        <f t="shared" si="81"/>
        <v>1.7581461669185134E-2</v>
      </c>
      <c r="BP126" s="20">
        <f t="shared" si="81"/>
        <v>6.4071626571626577E-3</v>
      </c>
      <c r="BQ126" s="20">
        <f t="shared" si="81"/>
        <v>8.2767019409420519E-4</v>
      </c>
      <c r="BR126" s="20">
        <f t="shared" si="81"/>
        <v>0</v>
      </c>
      <c r="BS126" s="20">
        <f t="shared" si="81"/>
        <v>3.9767702197923346E-3</v>
      </c>
      <c r="BT126" s="164">
        <f t="shared" si="69"/>
        <v>5.6422468988810918E-2</v>
      </c>
      <c r="BU126" s="164"/>
      <c r="BV126" s="164">
        <f t="shared" si="70"/>
        <v>0</v>
      </c>
      <c r="BW126" s="162"/>
      <c r="BX126" s="163">
        <f t="shared" si="71"/>
        <v>0</v>
      </c>
      <c r="BY126" s="164"/>
      <c r="BZ126" s="164"/>
      <c r="CA126" s="164"/>
      <c r="CB126" s="165"/>
      <c r="CC126" s="166"/>
    </row>
    <row r="127" spans="1:81" x14ac:dyDescent="0.3">
      <c r="A127" s="7">
        <v>39</v>
      </c>
      <c r="B127" s="150" t="s">
        <v>145</v>
      </c>
      <c r="C127" s="150"/>
      <c r="D127" s="150"/>
      <c r="E127" s="150"/>
      <c r="F127" s="20">
        <f t="shared" ref="F127:AK127" si="82">IF(F45=".",0,F45/F$83)</f>
        <v>3.7706116739846042E-4</v>
      </c>
      <c r="G127" s="20">
        <f t="shared" si="82"/>
        <v>3.0551164149871224E-3</v>
      </c>
      <c r="H127" s="20">
        <f t="shared" si="82"/>
        <v>8.1464690496948567E-4</v>
      </c>
      <c r="I127" s="20">
        <f t="shared" si="82"/>
        <v>0</v>
      </c>
      <c r="J127" s="20">
        <f t="shared" si="82"/>
        <v>2.8844283397742387E-5</v>
      </c>
      <c r="K127" s="20">
        <f t="shared" si="82"/>
        <v>2.0385694793289373E-4</v>
      </c>
      <c r="L127" s="20">
        <f t="shared" si="82"/>
        <v>5.032773861676855E-4</v>
      </c>
      <c r="M127" s="20">
        <f t="shared" si="82"/>
        <v>1.7080624477634793E-3</v>
      </c>
      <c r="N127" s="20">
        <f t="shared" si="82"/>
        <v>5.8236281504045022E-3</v>
      </c>
      <c r="O127" s="20">
        <f t="shared" si="82"/>
        <v>2.5375110326566635E-3</v>
      </c>
      <c r="P127" s="20">
        <f t="shared" si="82"/>
        <v>1.4602991006956896E-4</v>
      </c>
      <c r="Q127" s="20">
        <f t="shared" si="82"/>
        <v>0</v>
      </c>
      <c r="R127" s="20">
        <f t="shared" si="82"/>
        <v>3.9684560655536025E-6</v>
      </c>
      <c r="S127" s="20">
        <f t="shared" si="82"/>
        <v>0</v>
      </c>
      <c r="T127" s="20">
        <f t="shared" si="82"/>
        <v>0</v>
      </c>
      <c r="U127" s="20">
        <f t="shared" si="82"/>
        <v>0</v>
      </c>
      <c r="V127" s="20">
        <f t="shared" si="82"/>
        <v>9.5901584825174426E-4</v>
      </c>
      <c r="W127" s="20">
        <f t="shared" si="82"/>
        <v>6.2727842084270557E-5</v>
      </c>
      <c r="X127" s="20">
        <f t="shared" si="82"/>
        <v>3.4917303788289119E-5</v>
      </c>
      <c r="Y127" s="20">
        <f t="shared" si="82"/>
        <v>0</v>
      </c>
      <c r="Z127" s="20">
        <f t="shared" si="82"/>
        <v>1.9485247798967759E-4</v>
      </c>
      <c r="AA127" s="20">
        <f t="shared" si="82"/>
        <v>2.0991292175446584E-4</v>
      </c>
      <c r="AB127" s="20">
        <f t="shared" si="82"/>
        <v>0</v>
      </c>
      <c r="AC127" s="20">
        <f t="shared" si="82"/>
        <v>3.6549641267644308E-4</v>
      </c>
      <c r="AD127" s="20">
        <f t="shared" si="82"/>
        <v>1.5984495039811383E-4</v>
      </c>
      <c r="AE127" s="20">
        <f t="shared" si="82"/>
        <v>1.1291826492588748E-4</v>
      </c>
      <c r="AF127" s="20">
        <f t="shared" si="82"/>
        <v>5.2926811402065278E-4</v>
      </c>
      <c r="AG127" s="20">
        <f t="shared" si="82"/>
        <v>0</v>
      </c>
      <c r="AH127" s="20">
        <f t="shared" si="82"/>
        <v>5.5181394370146198E-5</v>
      </c>
      <c r="AI127" s="20">
        <f t="shared" si="82"/>
        <v>1.0930521199585293E-2</v>
      </c>
      <c r="AJ127" s="20">
        <f t="shared" si="82"/>
        <v>8.5177305922315757E-3</v>
      </c>
      <c r="AK127" s="20">
        <f t="shared" si="82"/>
        <v>5.8680325425512362E-3</v>
      </c>
      <c r="AL127" s="20">
        <f t="shared" ref="AL127:BS127" si="83">IF(AL45=".",0,AL45/AL$83)</f>
        <v>2.661560640648316E-4</v>
      </c>
      <c r="AM127" s="20">
        <f t="shared" si="83"/>
        <v>0</v>
      </c>
      <c r="AN127" s="20">
        <f t="shared" si="83"/>
        <v>2.3577583239261157E-4</v>
      </c>
      <c r="AO127" s="20">
        <f t="shared" si="83"/>
        <v>9.2206728128515787E-4</v>
      </c>
      <c r="AP127" s="20">
        <f t="shared" si="83"/>
        <v>1.6218532711911655E-2</v>
      </c>
      <c r="AQ127" s="20">
        <f t="shared" si="83"/>
        <v>3.4123067788944233E-3</v>
      </c>
      <c r="AR127" s="20">
        <f t="shared" si="83"/>
        <v>2.9464888988089098E-2</v>
      </c>
      <c r="AS127" s="20">
        <f t="shared" si="83"/>
        <v>7.1360980261998873E-4</v>
      </c>
      <c r="AT127" s="20">
        <f t="shared" si="83"/>
        <v>3.9871673381906299E-4</v>
      </c>
      <c r="AU127" s="20">
        <f t="shared" si="83"/>
        <v>1.8765643120561646E-2</v>
      </c>
      <c r="AV127" s="20">
        <f t="shared" si="83"/>
        <v>3.277589142516823E-3</v>
      </c>
      <c r="AW127" s="20">
        <f t="shared" si="83"/>
        <v>3.4459629928188591E-3</v>
      </c>
      <c r="AX127" s="20">
        <f t="shared" si="83"/>
        <v>8.8727113910643477E-3</v>
      </c>
      <c r="AY127" s="20">
        <f t="shared" si="83"/>
        <v>2.4176284669092402E-4</v>
      </c>
      <c r="AZ127" s="20">
        <f t="shared" si="83"/>
        <v>2.3558766433484498E-3</v>
      </c>
      <c r="BA127" s="20">
        <f t="shared" si="83"/>
        <v>4.1627270282659744E-3</v>
      </c>
      <c r="BB127" s="20">
        <f t="shared" si="83"/>
        <v>9.1262596414092168E-3</v>
      </c>
      <c r="BC127" s="20">
        <f t="shared" si="83"/>
        <v>4.4084319812099738E-2</v>
      </c>
      <c r="BD127" s="20">
        <f t="shared" si="83"/>
        <v>8.8288275560013847E-3</v>
      </c>
      <c r="BE127" s="20">
        <f t="shared" si="83"/>
        <v>1.8002639286016425E-4</v>
      </c>
      <c r="BF127" s="20">
        <f t="shared" si="83"/>
        <v>1.8719341120979698E-3</v>
      </c>
      <c r="BG127" s="20">
        <f t="shared" si="83"/>
        <v>9.2317688357864153E-3</v>
      </c>
      <c r="BH127" s="20">
        <f t="shared" si="83"/>
        <v>1.0775799085544862E-3</v>
      </c>
      <c r="BI127" s="20">
        <f t="shared" si="83"/>
        <v>3.6936214449919684E-3</v>
      </c>
      <c r="BJ127" s="20">
        <f t="shared" si="83"/>
        <v>1.1409913376403218E-2</v>
      </c>
      <c r="BK127" s="20">
        <f t="shared" si="83"/>
        <v>1.7899617731437394E-3</v>
      </c>
      <c r="BL127" s="20">
        <f t="shared" si="83"/>
        <v>2.1758372178055014E-3</v>
      </c>
      <c r="BM127" s="20">
        <f t="shared" si="83"/>
        <v>1.8373403888185896E-2</v>
      </c>
      <c r="BN127" s="20">
        <f t="shared" si="83"/>
        <v>3.7386515745304874E-3</v>
      </c>
      <c r="BO127" s="20">
        <f t="shared" si="83"/>
        <v>5.28385473883391E-3</v>
      </c>
      <c r="BP127" s="20">
        <f t="shared" si="83"/>
        <v>9.2812592812592816E-5</v>
      </c>
      <c r="BQ127" s="20">
        <f t="shared" si="83"/>
        <v>3.6403374797492993E-3</v>
      </c>
      <c r="BR127" s="20">
        <f t="shared" si="83"/>
        <v>0</v>
      </c>
      <c r="BS127" s="20">
        <f t="shared" si="83"/>
        <v>3.2833699788252695E-3</v>
      </c>
      <c r="BT127" s="164">
        <f t="shared" si="69"/>
        <v>6.5113793515005208E-3</v>
      </c>
      <c r="BU127" s="164"/>
      <c r="BV127" s="164">
        <f t="shared" si="70"/>
        <v>0</v>
      </c>
      <c r="BW127" s="162"/>
      <c r="BX127" s="163">
        <f t="shared" si="71"/>
        <v>1.4038445490801323E-3</v>
      </c>
      <c r="BY127" s="164"/>
      <c r="BZ127" s="164"/>
      <c r="CA127" s="164"/>
      <c r="CB127" s="165"/>
      <c r="CC127" s="166"/>
    </row>
    <row r="128" spans="1:81" x14ac:dyDescent="0.3">
      <c r="A128" s="7">
        <v>40</v>
      </c>
      <c r="B128" s="150" t="s">
        <v>146</v>
      </c>
      <c r="C128" s="150"/>
      <c r="D128" s="150"/>
      <c r="E128" s="150"/>
      <c r="F128" s="20">
        <f t="shared" ref="F128:AK128" si="84">IF(F46=".",0,F46/F$83)</f>
        <v>2.353234474186066E-4</v>
      </c>
      <c r="G128" s="20">
        <f t="shared" si="84"/>
        <v>9.8336261907404333E-4</v>
      </c>
      <c r="H128" s="20">
        <f t="shared" si="84"/>
        <v>3.905841325196164E-5</v>
      </c>
      <c r="I128" s="20">
        <f t="shared" si="84"/>
        <v>0</v>
      </c>
      <c r="J128" s="20">
        <f t="shared" si="84"/>
        <v>1.579052237883235E-4</v>
      </c>
      <c r="K128" s="20">
        <f t="shared" si="84"/>
        <v>6.6038166231782483E-5</v>
      </c>
      <c r="L128" s="20">
        <f t="shared" si="84"/>
        <v>0</v>
      </c>
      <c r="M128" s="20">
        <f t="shared" si="84"/>
        <v>0</v>
      </c>
      <c r="N128" s="20">
        <f t="shared" si="84"/>
        <v>5.4239470658431826E-3</v>
      </c>
      <c r="O128" s="20">
        <f t="shared" si="84"/>
        <v>5.7315996813984017E-4</v>
      </c>
      <c r="P128" s="20">
        <f t="shared" si="84"/>
        <v>0</v>
      </c>
      <c r="Q128" s="20">
        <f t="shared" si="84"/>
        <v>1.3703277379518564E-5</v>
      </c>
      <c r="R128" s="20">
        <f t="shared" si="84"/>
        <v>0</v>
      </c>
      <c r="S128" s="20">
        <f t="shared" si="84"/>
        <v>0</v>
      </c>
      <c r="T128" s="20">
        <f t="shared" si="84"/>
        <v>0</v>
      </c>
      <c r="U128" s="20">
        <f t="shared" si="84"/>
        <v>0</v>
      </c>
      <c r="V128" s="20">
        <f t="shared" si="84"/>
        <v>0</v>
      </c>
      <c r="W128" s="20">
        <f t="shared" si="84"/>
        <v>0</v>
      </c>
      <c r="X128" s="20">
        <f t="shared" si="84"/>
        <v>2.2285105148157219E-4</v>
      </c>
      <c r="Y128" s="20">
        <f t="shared" si="84"/>
        <v>0</v>
      </c>
      <c r="Z128" s="20">
        <f t="shared" si="84"/>
        <v>3.4165913948874985E-5</v>
      </c>
      <c r="AA128" s="20">
        <f t="shared" si="84"/>
        <v>0</v>
      </c>
      <c r="AB128" s="20">
        <f t="shared" si="84"/>
        <v>0</v>
      </c>
      <c r="AC128" s="20">
        <f t="shared" si="84"/>
        <v>6.0171487342836885E-4</v>
      </c>
      <c r="AD128" s="20">
        <f t="shared" si="84"/>
        <v>0</v>
      </c>
      <c r="AE128" s="20">
        <f t="shared" si="84"/>
        <v>0</v>
      </c>
      <c r="AF128" s="20">
        <f t="shared" si="84"/>
        <v>1.7745441639678807E-4</v>
      </c>
      <c r="AG128" s="20">
        <f t="shared" si="84"/>
        <v>2.0691746911049365E-4</v>
      </c>
      <c r="AH128" s="20">
        <f t="shared" si="84"/>
        <v>6.6217673244175435E-5</v>
      </c>
      <c r="AI128" s="20">
        <f t="shared" si="84"/>
        <v>3.9626109390544816E-4</v>
      </c>
      <c r="AJ128" s="20">
        <f t="shared" si="84"/>
        <v>1.6196619128299812E-3</v>
      </c>
      <c r="AK128" s="20">
        <f t="shared" si="84"/>
        <v>1.6395331548825826E-4</v>
      </c>
      <c r="AL128" s="20">
        <f t="shared" ref="AL128:BS128" si="85">IF(AL46=".",0,AL46/AL$83)</f>
        <v>0</v>
      </c>
      <c r="AM128" s="20">
        <f t="shared" si="85"/>
        <v>0</v>
      </c>
      <c r="AN128" s="20">
        <f t="shared" si="85"/>
        <v>0</v>
      </c>
      <c r="AO128" s="20">
        <f t="shared" si="85"/>
        <v>8.7913050450820059E-5</v>
      </c>
      <c r="AP128" s="20">
        <f t="shared" si="85"/>
        <v>1.120226337823791E-4</v>
      </c>
      <c r="AQ128" s="20">
        <f t="shared" si="85"/>
        <v>4.6904121443464408E-3</v>
      </c>
      <c r="AR128" s="20">
        <f t="shared" si="85"/>
        <v>8.5531878244140078E-3</v>
      </c>
      <c r="AS128" s="20">
        <f t="shared" si="85"/>
        <v>0.17730155886574697</v>
      </c>
      <c r="AT128" s="20">
        <f t="shared" si="85"/>
        <v>1.2182324255759483E-2</v>
      </c>
      <c r="AU128" s="20">
        <f t="shared" si="85"/>
        <v>1.5744111790557656E-3</v>
      </c>
      <c r="AV128" s="20">
        <f t="shared" si="85"/>
        <v>1.3883534612922916E-3</v>
      </c>
      <c r="AW128" s="20">
        <f t="shared" si="85"/>
        <v>1.8713493474891304E-3</v>
      </c>
      <c r="AX128" s="20">
        <f t="shared" si="85"/>
        <v>1.8771892025711947E-3</v>
      </c>
      <c r="AY128" s="20">
        <f t="shared" si="85"/>
        <v>2.3510326911095701E-5</v>
      </c>
      <c r="AZ128" s="20">
        <f t="shared" si="85"/>
        <v>7.6661189948046618E-3</v>
      </c>
      <c r="BA128" s="20">
        <f t="shared" si="85"/>
        <v>3.2415689514011543E-3</v>
      </c>
      <c r="BB128" s="20">
        <f t="shared" si="85"/>
        <v>4.840937922311604E-4</v>
      </c>
      <c r="BC128" s="20">
        <f t="shared" si="85"/>
        <v>1.1783581827221003E-2</v>
      </c>
      <c r="BD128" s="20">
        <f t="shared" si="85"/>
        <v>3.1576939650605051E-3</v>
      </c>
      <c r="BE128" s="20">
        <f t="shared" si="85"/>
        <v>3.4830794459591412E-3</v>
      </c>
      <c r="BF128" s="20">
        <f t="shared" si="85"/>
        <v>0</v>
      </c>
      <c r="BG128" s="20">
        <f t="shared" si="85"/>
        <v>4.6384449477949339E-3</v>
      </c>
      <c r="BH128" s="20">
        <f t="shared" si="85"/>
        <v>2.2632897536922253E-3</v>
      </c>
      <c r="BI128" s="20">
        <f t="shared" si="85"/>
        <v>9.3329977538946993E-4</v>
      </c>
      <c r="BJ128" s="20">
        <f t="shared" si="85"/>
        <v>7.7869035784153967E-4</v>
      </c>
      <c r="BK128" s="20">
        <f t="shared" si="85"/>
        <v>3.0946965251148813E-4</v>
      </c>
      <c r="BL128" s="20">
        <f t="shared" si="85"/>
        <v>1.3786296421357171E-4</v>
      </c>
      <c r="BM128" s="20">
        <f t="shared" si="85"/>
        <v>8.0400322098239975E-3</v>
      </c>
      <c r="BN128" s="20">
        <f t="shared" si="85"/>
        <v>6.0768560197712951E-3</v>
      </c>
      <c r="BO128" s="20">
        <f t="shared" si="85"/>
        <v>3.5427474789143522E-2</v>
      </c>
      <c r="BP128" s="20">
        <f t="shared" si="85"/>
        <v>8.5789773289773295E-3</v>
      </c>
      <c r="BQ128" s="20">
        <f t="shared" si="85"/>
        <v>4.0274572782050544E-3</v>
      </c>
      <c r="BR128" s="20">
        <f t="shared" si="85"/>
        <v>0</v>
      </c>
      <c r="BS128" s="20">
        <f t="shared" si="85"/>
        <v>2.3699978422387405E-3</v>
      </c>
      <c r="BT128" s="164">
        <f t="shared" si="69"/>
        <v>1.0895172885855928E-3</v>
      </c>
      <c r="BU128" s="164"/>
      <c r="BV128" s="164">
        <f t="shared" si="70"/>
        <v>1.0155839972359835E-2</v>
      </c>
      <c r="BW128" s="162"/>
      <c r="BX128" s="163">
        <f t="shared" si="71"/>
        <v>3.6404117200416084E-3</v>
      </c>
      <c r="BY128" s="164"/>
      <c r="BZ128" s="164"/>
      <c r="CA128" s="164"/>
      <c r="CB128" s="165"/>
      <c r="CC128" s="166"/>
    </row>
    <row r="129" spans="1:81" x14ac:dyDescent="0.3">
      <c r="A129" s="7">
        <v>41</v>
      </c>
      <c r="B129" s="150" t="s">
        <v>147</v>
      </c>
      <c r="C129" s="150"/>
      <c r="D129" s="150"/>
      <c r="E129" s="150"/>
      <c r="F129" s="20">
        <f t="shared" ref="F129:AK129" si="86">IF(F47=".",0,F47/F$83)</f>
        <v>2.5454541218299775E-3</v>
      </c>
      <c r="G129" s="20">
        <f t="shared" si="86"/>
        <v>8.7626206935314307E-3</v>
      </c>
      <c r="H129" s="20">
        <f t="shared" si="86"/>
        <v>4.7023539668700964E-3</v>
      </c>
      <c r="I129" s="20">
        <f t="shared" si="86"/>
        <v>1.7150737527562518E-3</v>
      </c>
      <c r="J129" s="20">
        <f t="shared" si="86"/>
        <v>1.9252820833093784E-3</v>
      </c>
      <c r="K129" s="20">
        <f t="shared" si="86"/>
        <v>1.5028202337963768E-3</v>
      </c>
      <c r="L129" s="20">
        <f t="shared" si="86"/>
        <v>4.702243037788348E-3</v>
      </c>
      <c r="M129" s="20">
        <f t="shared" si="86"/>
        <v>1.2178207083112691E-3</v>
      </c>
      <c r="N129" s="20">
        <f t="shared" si="86"/>
        <v>1.1853576756911994E-2</v>
      </c>
      <c r="O129" s="20">
        <f t="shared" si="86"/>
        <v>8.573181495274793E-4</v>
      </c>
      <c r="P129" s="20">
        <f t="shared" si="86"/>
        <v>1.3138555081613345E-3</v>
      </c>
      <c r="Q129" s="20">
        <f t="shared" si="86"/>
        <v>6.4368367798927739E-4</v>
      </c>
      <c r="R129" s="20">
        <f t="shared" si="86"/>
        <v>3.3326763333847028E-3</v>
      </c>
      <c r="S129" s="20">
        <f t="shared" si="86"/>
        <v>5.2223089035008758E-3</v>
      </c>
      <c r="T129" s="20">
        <f t="shared" si="86"/>
        <v>0</v>
      </c>
      <c r="U129" s="20">
        <f t="shared" si="86"/>
        <v>2.2438570972807669E-3</v>
      </c>
      <c r="V129" s="20">
        <f t="shared" si="86"/>
        <v>8.1117267378126925E-3</v>
      </c>
      <c r="W129" s="20">
        <f t="shared" si="86"/>
        <v>7.5515360749163994E-4</v>
      </c>
      <c r="X129" s="20">
        <f t="shared" si="86"/>
        <v>1.9870686804298048E-3</v>
      </c>
      <c r="Y129" s="20">
        <f t="shared" si="86"/>
        <v>8.6643319137026296E-4</v>
      </c>
      <c r="Z129" s="20">
        <f t="shared" si="86"/>
        <v>1.2828233002991653E-3</v>
      </c>
      <c r="AA129" s="20">
        <f t="shared" si="86"/>
        <v>1.8967943796080434E-3</v>
      </c>
      <c r="AB129" s="20">
        <f t="shared" si="86"/>
        <v>6.8674515811646935E-4</v>
      </c>
      <c r="AC129" s="20">
        <f t="shared" si="86"/>
        <v>5.5952502777870455E-3</v>
      </c>
      <c r="AD129" s="20">
        <f t="shared" si="86"/>
        <v>2.0247027050427752E-3</v>
      </c>
      <c r="AE129" s="20">
        <f t="shared" si="86"/>
        <v>4.7168867188104836E-4</v>
      </c>
      <c r="AF129" s="20">
        <f t="shared" si="86"/>
        <v>3.2849701267870538E-3</v>
      </c>
      <c r="AG129" s="20">
        <f t="shared" si="86"/>
        <v>3.9464643788039875E-3</v>
      </c>
      <c r="AH129" s="20">
        <f t="shared" si="86"/>
        <v>4.8975796857013637E-3</v>
      </c>
      <c r="AI129" s="20">
        <f t="shared" si="86"/>
        <v>4.5655614107610312E-3</v>
      </c>
      <c r="AJ129" s="20">
        <f t="shared" si="86"/>
        <v>1.2842625270884795E-2</v>
      </c>
      <c r="AK129" s="20">
        <f t="shared" si="86"/>
        <v>6.8631813738228064E-3</v>
      </c>
      <c r="AL129" s="20">
        <f t="shared" ref="AL129:BS129" si="87">IF(AL47=".",0,AL47/AL$83)</f>
        <v>5.3982471555027401E-3</v>
      </c>
      <c r="AM129" s="20">
        <f t="shared" si="87"/>
        <v>0</v>
      </c>
      <c r="AN129" s="20">
        <f t="shared" si="87"/>
        <v>9.1907108219158496E-4</v>
      </c>
      <c r="AO129" s="20">
        <f t="shared" si="87"/>
        <v>6.2474083629892284E-3</v>
      </c>
      <c r="AP129" s="20">
        <f t="shared" si="87"/>
        <v>5.2533404888876149E-3</v>
      </c>
      <c r="AQ129" s="20">
        <f t="shared" si="87"/>
        <v>4.7458982304664473E-3</v>
      </c>
      <c r="AR129" s="20">
        <f t="shared" si="87"/>
        <v>8.1935196652963282E-3</v>
      </c>
      <c r="AS129" s="20">
        <f t="shared" si="87"/>
        <v>5.8949373101221836E-2</v>
      </c>
      <c r="AT129" s="20">
        <f t="shared" si="87"/>
        <v>0.31592361429287119</v>
      </c>
      <c r="AU129" s="20">
        <f t="shared" si="87"/>
        <v>3.3201918496711898E-2</v>
      </c>
      <c r="AV129" s="20">
        <f t="shared" si="87"/>
        <v>8.5705998354177956E-3</v>
      </c>
      <c r="AW129" s="20">
        <f t="shared" si="87"/>
        <v>1.4773882608894822E-2</v>
      </c>
      <c r="AX129" s="20">
        <f t="shared" si="87"/>
        <v>1.8380105414537679E-2</v>
      </c>
      <c r="AY129" s="20">
        <f t="shared" si="87"/>
        <v>4.2675783964715944E-3</v>
      </c>
      <c r="AZ129" s="20">
        <f t="shared" si="87"/>
        <v>5.1261021119540706E-3</v>
      </c>
      <c r="BA129" s="20">
        <f t="shared" si="87"/>
        <v>6.7837403755495757E-3</v>
      </c>
      <c r="BB129" s="20">
        <f t="shared" si="87"/>
        <v>7.1289022062781615E-3</v>
      </c>
      <c r="BC129" s="20">
        <f t="shared" si="87"/>
        <v>2.837335563955461E-2</v>
      </c>
      <c r="BD129" s="20">
        <f t="shared" si="87"/>
        <v>2.5832338459582223E-2</v>
      </c>
      <c r="BE129" s="20">
        <f t="shared" si="87"/>
        <v>9.5885616992289315E-4</v>
      </c>
      <c r="BF129" s="20">
        <f t="shared" si="87"/>
        <v>5.1496143502325386E-3</v>
      </c>
      <c r="BG129" s="20">
        <f t="shared" si="87"/>
        <v>8.544800700278847E-3</v>
      </c>
      <c r="BH129" s="20">
        <f t="shared" si="87"/>
        <v>1.2860554889890781E-2</v>
      </c>
      <c r="BI129" s="20">
        <f t="shared" si="87"/>
        <v>2.5735737641766803E-3</v>
      </c>
      <c r="BJ129" s="20">
        <f t="shared" si="87"/>
        <v>4.0629059482631923E-3</v>
      </c>
      <c r="BK129" s="20">
        <f t="shared" si="87"/>
        <v>2.6182350869946975E-3</v>
      </c>
      <c r="BL129" s="20">
        <f t="shared" si="87"/>
        <v>3.3306892948409277E-3</v>
      </c>
      <c r="BM129" s="20">
        <f t="shared" si="87"/>
        <v>4.2696422408834691E-3</v>
      </c>
      <c r="BN129" s="20">
        <f t="shared" si="87"/>
        <v>1.2115400144170608E-2</v>
      </c>
      <c r="BO129" s="20">
        <f t="shared" si="87"/>
        <v>1.7279245266098406E-2</v>
      </c>
      <c r="BP129" s="20">
        <f t="shared" si="87"/>
        <v>2.543065043065043E-3</v>
      </c>
      <c r="BQ129" s="20">
        <f t="shared" si="87"/>
        <v>3.3752007427861131E-3</v>
      </c>
      <c r="BR129" s="20">
        <f t="shared" si="87"/>
        <v>0</v>
      </c>
      <c r="BS129" s="20">
        <f t="shared" si="87"/>
        <v>1.5818439294521383E-2</v>
      </c>
      <c r="BT129" s="164">
        <f t="shared" si="69"/>
        <v>2.9231306074706101E-2</v>
      </c>
      <c r="BU129" s="164"/>
      <c r="BV129" s="164">
        <f t="shared" si="70"/>
        <v>0</v>
      </c>
      <c r="BW129" s="162"/>
      <c r="BX129" s="163">
        <f t="shared" si="71"/>
        <v>0</v>
      </c>
      <c r="BY129" s="164"/>
      <c r="BZ129" s="164"/>
      <c r="CA129" s="164"/>
      <c r="CB129" s="165"/>
      <c r="CC129" s="166"/>
    </row>
    <row r="130" spans="1:81" x14ac:dyDescent="0.3">
      <c r="A130" s="7">
        <v>42</v>
      </c>
      <c r="B130" s="150" t="s">
        <v>148</v>
      </c>
      <c r="C130" s="150"/>
      <c r="D130" s="150"/>
      <c r="E130" s="150"/>
      <c r="F130" s="20">
        <f t="shared" ref="F130:AK130" si="88">IF(F48=".",0,F48/F$83)</f>
        <v>3.6890639446811271E-5</v>
      </c>
      <c r="G130" s="20">
        <f t="shared" si="88"/>
        <v>3.810559918911285E-3</v>
      </c>
      <c r="H130" s="20">
        <f t="shared" si="88"/>
        <v>1.9668700959023539E-4</v>
      </c>
      <c r="I130" s="20">
        <f t="shared" si="88"/>
        <v>2.3549924300305912E-3</v>
      </c>
      <c r="J130" s="20">
        <f t="shared" si="88"/>
        <v>8.4199711911566767E-4</v>
      </c>
      <c r="K130" s="20">
        <f t="shared" si="88"/>
        <v>7.0015344037046027E-4</v>
      </c>
      <c r="L130" s="20">
        <f t="shared" si="88"/>
        <v>4.8415889086732153E-4</v>
      </c>
      <c r="M130" s="20">
        <f t="shared" si="88"/>
        <v>8.8248617127836717E-4</v>
      </c>
      <c r="N130" s="20">
        <f t="shared" si="88"/>
        <v>3.7785673480771245E-3</v>
      </c>
      <c r="O130" s="20">
        <f t="shared" si="88"/>
        <v>5.9361074634576877E-4</v>
      </c>
      <c r="P130" s="20">
        <f t="shared" si="88"/>
        <v>1.865707916186278E-4</v>
      </c>
      <c r="Q130" s="20">
        <f t="shared" si="88"/>
        <v>1.0629298940329264E-4</v>
      </c>
      <c r="R130" s="20">
        <f t="shared" si="88"/>
        <v>8.0278559159428092E-4</v>
      </c>
      <c r="S130" s="20">
        <f t="shared" si="88"/>
        <v>1.8455492021035927E-4</v>
      </c>
      <c r="T130" s="20">
        <f t="shared" si="88"/>
        <v>1.7476304142131534E-5</v>
      </c>
      <c r="U130" s="20">
        <f t="shared" si="88"/>
        <v>1.5328437959058099E-3</v>
      </c>
      <c r="V130" s="20">
        <f t="shared" si="88"/>
        <v>2.0615779456411116E-3</v>
      </c>
      <c r="W130" s="20">
        <f t="shared" si="88"/>
        <v>0</v>
      </c>
      <c r="X130" s="20">
        <f t="shared" si="88"/>
        <v>3.5715754079693684E-4</v>
      </c>
      <c r="Y130" s="20">
        <f t="shared" si="88"/>
        <v>3.7537830625704582E-4</v>
      </c>
      <c r="Z130" s="20">
        <f t="shared" si="88"/>
        <v>1.2443866471066808E-3</v>
      </c>
      <c r="AA130" s="20">
        <f t="shared" si="88"/>
        <v>5.7123595818958965E-4</v>
      </c>
      <c r="AB130" s="20">
        <f t="shared" si="88"/>
        <v>3.2239733101621578E-5</v>
      </c>
      <c r="AC130" s="20">
        <f t="shared" si="88"/>
        <v>5.744073492421533E-3</v>
      </c>
      <c r="AD130" s="20">
        <f t="shared" si="88"/>
        <v>1.8477315099591494E-3</v>
      </c>
      <c r="AE130" s="20">
        <f t="shared" si="88"/>
        <v>2.3346512166282155E-3</v>
      </c>
      <c r="AF130" s="20">
        <f t="shared" si="88"/>
        <v>1.1390097424538025E-3</v>
      </c>
      <c r="AG130" s="20">
        <f t="shared" si="88"/>
        <v>5.7830779828317461E-4</v>
      </c>
      <c r="AH130" s="20">
        <f t="shared" si="88"/>
        <v>1.0170392853119719E-3</v>
      </c>
      <c r="AI130" s="20">
        <f t="shared" si="88"/>
        <v>9.5483338894444322E-3</v>
      </c>
      <c r="AJ130" s="20">
        <f t="shared" si="88"/>
        <v>1.3379584575392827E-2</v>
      </c>
      <c r="AK130" s="20">
        <f t="shared" si="88"/>
        <v>6.9858866118403173E-3</v>
      </c>
      <c r="AL130" s="20">
        <f t="shared" ref="AL130:BS130" si="89">IF(AL48=".",0,AL48/AL$83)</f>
        <v>3.083303267149728E-3</v>
      </c>
      <c r="AM130" s="20">
        <f t="shared" si="89"/>
        <v>3.9750299823640878E-4</v>
      </c>
      <c r="AN130" s="20">
        <f t="shared" si="89"/>
        <v>3.8302206160309381E-3</v>
      </c>
      <c r="AO130" s="20">
        <f t="shared" si="89"/>
        <v>3.0870469083212871E-3</v>
      </c>
      <c r="AP130" s="20">
        <f t="shared" si="89"/>
        <v>2.3798296734931002E-3</v>
      </c>
      <c r="AQ130" s="20">
        <f t="shared" si="89"/>
        <v>2.8837011634924659E-3</v>
      </c>
      <c r="AR130" s="20">
        <f t="shared" si="89"/>
        <v>2.3704739734900913E-2</v>
      </c>
      <c r="AS130" s="20">
        <f t="shared" si="89"/>
        <v>6.516892853718168E-3</v>
      </c>
      <c r="AT130" s="20">
        <f t="shared" si="89"/>
        <v>1.6801278652339817E-2</v>
      </c>
      <c r="AU130" s="20">
        <f t="shared" si="89"/>
        <v>7.6948794080567429E-2</v>
      </c>
      <c r="AV130" s="20">
        <f t="shared" si="89"/>
        <v>1.9787241666481329E-2</v>
      </c>
      <c r="AW130" s="20">
        <f t="shared" si="89"/>
        <v>1.9114155045088097E-2</v>
      </c>
      <c r="AX130" s="20">
        <f t="shared" si="89"/>
        <v>2.3253206840559201E-2</v>
      </c>
      <c r="AY130" s="20">
        <f t="shared" si="89"/>
        <v>1.4449769808169354E-3</v>
      </c>
      <c r="AZ130" s="20">
        <f t="shared" si="89"/>
        <v>2.1657981141270051E-2</v>
      </c>
      <c r="BA130" s="20">
        <f t="shared" si="89"/>
        <v>1.1368178308979305E-2</v>
      </c>
      <c r="BB130" s="20">
        <f t="shared" si="89"/>
        <v>1.4928609340826874E-2</v>
      </c>
      <c r="BC130" s="20">
        <f t="shared" si="89"/>
        <v>2.5316891582151481E-2</v>
      </c>
      <c r="BD130" s="20">
        <f t="shared" si="89"/>
        <v>7.4343559929075514E-3</v>
      </c>
      <c r="BE130" s="20">
        <f t="shared" si="89"/>
        <v>2.8879463246079561E-3</v>
      </c>
      <c r="BF130" s="20">
        <f t="shared" si="89"/>
        <v>3.8999171438999563E-3</v>
      </c>
      <c r="BG130" s="20">
        <f t="shared" si="89"/>
        <v>1.1056915704836074E-2</v>
      </c>
      <c r="BH130" s="20">
        <f t="shared" si="89"/>
        <v>7.2989035571295359E-3</v>
      </c>
      <c r="BI130" s="20">
        <f t="shared" si="89"/>
        <v>1.2105046136553764E-2</v>
      </c>
      <c r="BJ130" s="20">
        <f t="shared" si="89"/>
        <v>3.7106466964084389E-3</v>
      </c>
      <c r="BK130" s="20">
        <f t="shared" si="89"/>
        <v>4.2642333011928624E-3</v>
      </c>
      <c r="BL130" s="20">
        <f t="shared" si="89"/>
        <v>1.0949116578121347E-3</v>
      </c>
      <c r="BM130" s="20">
        <f t="shared" si="89"/>
        <v>5.8548257218451628E-3</v>
      </c>
      <c r="BN130" s="20">
        <f t="shared" si="89"/>
        <v>2.5969570924454246E-3</v>
      </c>
      <c r="BO130" s="20">
        <f t="shared" si="89"/>
        <v>6.7832785547419722E-3</v>
      </c>
      <c r="BP130" s="20">
        <f t="shared" si="89"/>
        <v>8.5294772794772787E-3</v>
      </c>
      <c r="BQ130" s="20">
        <f t="shared" si="89"/>
        <v>7.3099105692778091E-3</v>
      </c>
      <c r="BR130" s="20">
        <f t="shared" si="89"/>
        <v>0</v>
      </c>
      <c r="BS130" s="20">
        <f t="shared" si="89"/>
        <v>7.0151908929166713E-3</v>
      </c>
      <c r="BT130" s="164">
        <f t="shared" si="69"/>
        <v>5.9694726480597108E-6</v>
      </c>
      <c r="BU130" s="164"/>
      <c r="BV130" s="164">
        <f t="shared" si="70"/>
        <v>2.0661279144852818E-3</v>
      </c>
      <c r="BW130" s="162"/>
      <c r="BX130" s="163">
        <f t="shared" si="71"/>
        <v>3.8141477676603024E-2</v>
      </c>
      <c r="BY130" s="164"/>
      <c r="BZ130" s="164"/>
      <c r="CA130" s="164"/>
      <c r="CB130" s="165"/>
      <c r="CC130" s="166"/>
    </row>
    <row r="131" spans="1:81" x14ac:dyDescent="0.3">
      <c r="A131" s="7">
        <v>43</v>
      </c>
      <c r="B131" s="150" t="s">
        <v>149</v>
      </c>
      <c r="C131" s="150"/>
      <c r="D131" s="150"/>
      <c r="E131" s="150"/>
      <c r="F131" s="20">
        <f t="shared" ref="F131:AK131" si="90">IF(F49=".",0,F49/F$83)</f>
        <v>6.3146419465727752E-3</v>
      </c>
      <c r="G131" s="20">
        <f t="shared" si="90"/>
        <v>8.2398595046557898E-3</v>
      </c>
      <c r="H131" s="20">
        <f t="shared" si="90"/>
        <v>1.0357454228421971E-2</v>
      </c>
      <c r="I131" s="20">
        <f t="shared" si="90"/>
        <v>2.7525672888898791E-3</v>
      </c>
      <c r="J131" s="20">
        <f t="shared" si="90"/>
        <v>2.3338766165596509E-3</v>
      </c>
      <c r="K131" s="20">
        <f t="shared" si="90"/>
        <v>2.457555590364723E-3</v>
      </c>
      <c r="L131" s="20">
        <f t="shared" si="90"/>
        <v>3.7082324165196188E-3</v>
      </c>
      <c r="M131" s="20">
        <f t="shared" si="90"/>
        <v>2.0446729914060952E-3</v>
      </c>
      <c r="N131" s="20">
        <f t="shared" si="90"/>
        <v>4.1440344876565423E-3</v>
      </c>
      <c r="O131" s="20">
        <f t="shared" si="90"/>
        <v>3.7807030762275848E-3</v>
      </c>
      <c r="P131" s="20">
        <f t="shared" si="90"/>
        <v>1.1007056181801861E-3</v>
      </c>
      <c r="Q131" s="20">
        <f t="shared" si="90"/>
        <v>3.3813762831082293E-4</v>
      </c>
      <c r="R131" s="20">
        <f t="shared" si="90"/>
        <v>1.6302086812622072E-3</v>
      </c>
      <c r="S131" s="20">
        <f t="shared" si="90"/>
        <v>1.9222287947587356E-3</v>
      </c>
      <c r="T131" s="20">
        <f t="shared" si="90"/>
        <v>4.4386719369838494E-4</v>
      </c>
      <c r="U131" s="20">
        <f t="shared" si="90"/>
        <v>2.3282649823359093E-3</v>
      </c>
      <c r="V131" s="20">
        <f t="shared" si="90"/>
        <v>1.6626652013334942E-3</v>
      </c>
      <c r="W131" s="20">
        <f t="shared" si="90"/>
        <v>1.4473105392900766E-3</v>
      </c>
      <c r="X131" s="20">
        <f t="shared" si="90"/>
        <v>1.2236548644988146E-3</v>
      </c>
      <c r="Y131" s="20">
        <f t="shared" si="90"/>
        <v>1.3331035017090222E-3</v>
      </c>
      <c r="Z131" s="20">
        <f t="shared" si="90"/>
        <v>1.5470752909974952E-3</v>
      </c>
      <c r="AA131" s="20">
        <f t="shared" si="90"/>
        <v>2.9584839224889334E-3</v>
      </c>
      <c r="AB131" s="20">
        <f t="shared" si="90"/>
        <v>3.3851719756702661E-3</v>
      </c>
      <c r="AC131" s="20">
        <f t="shared" si="90"/>
        <v>1.0497900210544361E-2</v>
      </c>
      <c r="AD131" s="20">
        <f t="shared" si="90"/>
        <v>1.0165853407908614E-2</v>
      </c>
      <c r="AE131" s="20">
        <f t="shared" si="90"/>
        <v>1.0706086596601954E-2</v>
      </c>
      <c r="AF131" s="20">
        <f t="shared" si="90"/>
        <v>5.4030742945929029E-3</v>
      </c>
      <c r="AG131" s="20">
        <f t="shared" si="90"/>
        <v>3.9390955230664349E-3</v>
      </c>
      <c r="AH131" s="20">
        <f t="shared" si="90"/>
        <v>7.5006829609140218E-3</v>
      </c>
      <c r="AI131" s="20">
        <f t="shared" si="90"/>
        <v>1.2799156686899573E-2</v>
      </c>
      <c r="AJ131" s="20">
        <f t="shared" si="90"/>
        <v>1.0514745944630687E-2</v>
      </c>
      <c r="AK131" s="20">
        <f t="shared" si="90"/>
        <v>2.9367072667579666E-2</v>
      </c>
      <c r="AL131" s="20">
        <f t="shared" ref="AL131:BS131" si="91">IF(AL49=".",0,AL49/AL$83)</f>
        <v>3.8197999210885995E-3</v>
      </c>
      <c r="AM131" s="20">
        <f t="shared" si="91"/>
        <v>1.3008592062329172E-3</v>
      </c>
      <c r="AN131" s="20">
        <f t="shared" si="91"/>
        <v>3.7529277122989248E-3</v>
      </c>
      <c r="AO131" s="20">
        <f t="shared" si="91"/>
        <v>3.588011751366436E-3</v>
      </c>
      <c r="AP131" s="20">
        <f t="shared" si="91"/>
        <v>1.4757028117681079E-2</v>
      </c>
      <c r="AQ131" s="20">
        <f t="shared" si="91"/>
        <v>8.3920517319360424E-3</v>
      </c>
      <c r="AR131" s="20">
        <f t="shared" si="91"/>
        <v>5.245211197385643E-3</v>
      </c>
      <c r="AS131" s="20">
        <f t="shared" si="91"/>
        <v>1.9921606989808018E-3</v>
      </c>
      <c r="AT131" s="20">
        <f t="shared" si="91"/>
        <v>4.5602111617140612E-3</v>
      </c>
      <c r="AU131" s="20">
        <f t="shared" si="91"/>
        <v>3.4879845685402222E-3</v>
      </c>
      <c r="AV131" s="20">
        <f t="shared" si="91"/>
        <v>8.2938712897956568E-2</v>
      </c>
      <c r="AW131" s="20">
        <f t="shared" si="91"/>
        <v>5.8037127516356354E-2</v>
      </c>
      <c r="AX131" s="20">
        <f t="shared" si="91"/>
        <v>7.2286673357984957E-2</v>
      </c>
      <c r="AY131" s="20">
        <f t="shared" si="91"/>
        <v>3.7695176705080158E-2</v>
      </c>
      <c r="AZ131" s="20">
        <f t="shared" si="91"/>
        <v>5.8597338687558084E-3</v>
      </c>
      <c r="BA131" s="20">
        <f t="shared" si="91"/>
        <v>7.5190654032243525E-3</v>
      </c>
      <c r="BB131" s="20">
        <f t="shared" si="91"/>
        <v>2.7961498356866717E-3</v>
      </c>
      <c r="BC131" s="20">
        <f t="shared" si="91"/>
        <v>8.8799230377974228E-3</v>
      </c>
      <c r="BD131" s="20">
        <f t="shared" si="91"/>
        <v>1.0026914572722328E-2</v>
      </c>
      <c r="BE131" s="20">
        <f t="shared" si="91"/>
        <v>2.4753353748558731E-2</v>
      </c>
      <c r="BF131" s="20">
        <f t="shared" si="91"/>
        <v>3.2511062170803705E-2</v>
      </c>
      <c r="BG131" s="20">
        <f t="shared" si="91"/>
        <v>3.5975020981292807E-2</v>
      </c>
      <c r="BH131" s="20">
        <f t="shared" si="91"/>
        <v>3.3354233140895702E-2</v>
      </c>
      <c r="BI131" s="20">
        <f t="shared" si="91"/>
        <v>6.7962165519329957E-3</v>
      </c>
      <c r="BJ131" s="20">
        <f t="shared" si="91"/>
        <v>1.3993376111094374E-3</v>
      </c>
      <c r="BK131" s="20">
        <f t="shared" si="91"/>
        <v>2.7023252566161582E-3</v>
      </c>
      <c r="BL131" s="20">
        <f t="shared" si="91"/>
        <v>5.2168144864005181E-3</v>
      </c>
      <c r="BM131" s="20">
        <f t="shared" si="91"/>
        <v>5.3997469228114579E-3</v>
      </c>
      <c r="BN131" s="20">
        <f t="shared" si="91"/>
        <v>1.0955433835061985E-2</v>
      </c>
      <c r="BO131" s="20">
        <f t="shared" si="91"/>
        <v>2.9392114573197799E-2</v>
      </c>
      <c r="BP131" s="20">
        <f t="shared" si="91"/>
        <v>4.9138080388080388E-2</v>
      </c>
      <c r="BQ131" s="20">
        <f t="shared" si="91"/>
        <v>4.6153954721097318E-2</v>
      </c>
      <c r="BR131" s="20">
        <f t="shared" si="91"/>
        <v>0</v>
      </c>
      <c r="BS131" s="20">
        <f t="shared" si="91"/>
        <v>1.242152852412921E-2</v>
      </c>
      <c r="BT131" s="164">
        <f t="shared" si="69"/>
        <v>2.7313524456202228E-2</v>
      </c>
      <c r="BU131" s="164"/>
      <c r="BV131" s="164">
        <f t="shared" si="70"/>
        <v>0</v>
      </c>
      <c r="BW131" s="162"/>
      <c r="BX131" s="163">
        <f t="shared" si="71"/>
        <v>0</v>
      </c>
      <c r="BY131" s="164"/>
      <c r="BZ131" s="164"/>
      <c r="CA131" s="164"/>
      <c r="CB131" s="165"/>
      <c r="CC131" s="166"/>
    </row>
    <row r="132" spans="1:81" x14ac:dyDescent="0.3">
      <c r="A132" s="7">
        <v>44</v>
      </c>
      <c r="B132" s="150" t="s">
        <v>150</v>
      </c>
      <c r="C132" s="150"/>
      <c r="D132" s="150"/>
      <c r="E132" s="150"/>
      <c r="F132" s="20">
        <f t="shared" ref="F132:AK132" si="92">IF(F50=".",0,F50/F$83)</f>
        <v>3.8508649948864389E-4</v>
      </c>
      <c r="G132" s="20">
        <f t="shared" si="92"/>
        <v>8.1212558271796746E-5</v>
      </c>
      <c r="H132" s="20">
        <f t="shared" si="92"/>
        <v>3.6687009590235397E-4</v>
      </c>
      <c r="I132" s="20">
        <f t="shared" si="92"/>
        <v>4.9778730269037668E-5</v>
      </c>
      <c r="J132" s="20">
        <f t="shared" si="92"/>
        <v>2.1963002136642752E-4</v>
      </c>
      <c r="K132" s="20">
        <f t="shared" si="92"/>
        <v>4.503568985371961E-4</v>
      </c>
      <c r="L132" s="20">
        <f t="shared" si="92"/>
        <v>1.0047411601329648E-3</v>
      </c>
      <c r="M132" s="20">
        <f t="shared" si="92"/>
        <v>2.6612393852200153E-3</v>
      </c>
      <c r="N132" s="20">
        <f t="shared" si="92"/>
        <v>1.8112655116177079E-3</v>
      </c>
      <c r="O132" s="20">
        <f t="shared" si="92"/>
        <v>5.720836113921598E-4</v>
      </c>
      <c r="P132" s="20">
        <f t="shared" si="92"/>
        <v>1.768492536961494E-4</v>
      </c>
      <c r="Q132" s="20">
        <f t="shared" si="92"/>
        <v>1.5332856311136986E-4</v>
      </c>
      <c r="R132" s="20">
        <f t="shared" si="92"/>
        <v>2.9383110118703134E-4</v>
      </c>
      <c r="S132" s="20">
        <f t="shared" si="92"/>
        <v>5.5128340682191195E-4</v>
      </c>
      <c r="T132" s="20">
        <f t="shared" si="92"/>
        <v>0</v>
      </c>
      <c r="U132" s="20">
        <f t="shared" si="92"/>
        <v>1.1098702793467917E-4</v>
      </c>
      <c r="V132" s="20">
        <f t="shared" si="92"/>
        <v>6.7069883757594413E-5</v>
      </c>
      <c r="W132" s="20">
        <f t="shared" si="92"/>
        <v>1.3782203017944015E-4</v>
      </c>
      <c r="X132" s="20">
        <f t="shared" si="92"/>
        <v>1.7959172972338463E-4</v>
      </c>
      <c r="Y132" s="20">
        <f t="shared" si="92"/>
        <v>1.5231350154685893E-4</v>
      </c>
      <c r="Z132" s="20">
        <f t="shared" si="92"/>
        <v>8.6162164239819087E-4</v>
      </c>
      <c r="AA132" s="20">
        <f t="shared" si="92"/>
        <v>7.368928704478071E-4</v>
      </c>
      <c r="AB132" s="20">
        <f t="shared" si="92"/>
        <v>6.0944748477643692E-4</v>
      </c>
      <c r="AC132" s="20">
        <f t="shared" si="92"/>
        <v>1.2948736545355271E-3</v>
      </c>
      <c r="AD132" s="20">
        <f t="shared" si="92"/>
        <v>1.8601004644542416E-4</v>
      </c>
      <c r="AE132" s="20">
        <f t="shared" si="92"/>
        <v>8.591607113926222E-4</v>
      </c>
      <c r="AF132" s="20">
        <f t="shared" si="92"/>
        <v>2.7061798500510178E-3</v>
      </c>
      <c r="AG132" s="20">
        <f t="shared" si="92"/>
        <v>6.4521700838015758E-4</v>
      </c>
      <c r="AH132" s="20">
        <f t="shared" si="92"/>
        <v>2.2242720638186685E-3</v>
      </c>
      <c r="AI132" s="20">
        <f t="shared" si="92"/>
        <v>2.7812367944904637E-3</v>
      </c>
      <c r="AJ132" s="20">
        <f t="shared" si="92"/>
        <v>5.4448247126048718E-3</v>
      </c>
      <c r="AK132" s="20">
        <f t="shared" si="92"/>
        <v>7.6147899189698664E-4</v>
      </c>
      <c r="AL132" s="20">
        <f t="shared" ref="AL132:BS132" si="93">IF(AL50=".",0,AL50/AL$83)</f>
        <v>8.386985363097307E-3</v>
      </c>
      <c r="AM132" s="20">
        <f t="shared" si="93"/>
        <v>2.2099065364508718E-3</v>
      </c>
      <c r="AN132" s="20">
        <f t="shared" si="93"/>
        <v>4.5921078099607818E-4</v>
      </c>
      <c r="AO132" s="20">
        <f t="shared" si="93"/>
        <v>2.3665141230329724E-3</v>
      </c>
      <c r="AP132" s="20">
        <f t="shared" si="93"/>
        <v>5.7444164532592071E-4</v>
      </c>
      <c r="AQ132" s="20">
        <f t="shared" si="93"/>
        <v>1.8117869950416091E-3</v>
      </c>
      <c r="AR132" s="20">
        <f t="shared" si="93"/>
        <v>4.5004009117254246E-4</v>
      </c>
      <c r="AS132" s="20">
        <f t="shared" si="93"/>
        <v>5.0547361018915863E-4</v>
      </c>
      <c r="AT132" s="20">
        <f t="shared" si="93"/>
        <v>1.3758283955522094E-4</v>
      </c>
      <c r="AU132" s="20">
        <f t="shared" si="93"/>
        <v>1.0267441606029849E-3</v>
      </c>
      <c r="AV132" s="20">
        <f t="shared" si="93"/>
        <v>7.7347149836529848E-3</v>
      </c>
      <c r="AW132" s="20">
        <f t="shared" si="93"/>
        <v>5.129083449053419E-2</v>
      </c>
      <c r="AX132" s="20">
        <f t="shared" si="93"/>
        <v>1.0651807969675367E-2</v>
      </c>
      <c r="AY132" s="20">
        <f t="shared" si="93"/>
        <v>4.6800181443218247E-3</v>
      </c>
      <c r="AZ132" s="20">
        <f t="shared" si="93"/>
        <v>3.8528316055484397E-3</v>
      </c>
      <c r="BA132" s="20">
        <f t="shared" si="93"/>
        <v>3.4033804933350327E-3</v>
      </c>
      <c r="BB132" s="20">
        <f t="shared" si="93"/>
        <v>1.020135440860377E-3</v>
      </c>
      <c r="BC132" s="20">
        <f t="shared" si="93"/>
        <v>3.382520368655263E-3</v>
      </c>
      <c r="BD132" s="20">
        <f t="shared" si="93"/>
        <v>2.1446887870075373E-3</v>
      </c>
      <c r="BE132" s="20">
        <f t="shared" si="93"/>
        <v>7.7681113249447023E-4</v>
      </c>
      <c r="BF132" s="20">
        <f t="shared" si="93"/>
        <v>7.4498668360787701E-4</v>
      </c>
      <c r="BG132" s="20">
        <f t="shared" si="93"/>
        <v>4.5121059803452664E-4</v>
      </c>
      <c r="BH132" s="20">
        <f t="shared" si="93"/>
        <v>2.6950124734656574E-3</v>
      </c>
      <c r="BI132" s="20">
        <f t="shared" si="93"/>
        <v>1.135658867571842E-3</v>
      </c>
      <c r="BJ132" s="20">
        <f t="shared" si="93"/>
        <v>8.734021100409063E-4</v>
      </c>
      <c r="BK132" s="20">
        <f t="shared" si="93"/>
        <v>1.0732639317057083E-3</v>
      </c>
      <c r="BL132" s="20">
        <f t="shared" si="93"/>
        <v>1.3976107748897594E-3</v>
      </c>
      <c r="BM132" s="20">
        <f t="shared" si="93"/>
        <v>1.0615437708501093E-3</v>
      </c>
      <c r="BN132" s="20">
        <f t="shared" si="93"/>
        <v>1.6432856045705501E-3</v>
      </c>
      <c r="BO132" s="20">
        <f t="shared" si="93"/>
        <v>7.3446657011286037E-4</v>
      </c>
      <c r="BP132" s="20">
        <f t="shared" si="93"/>
        <v>1.1292198792198791E-3</v>
      </c>
      <c r="BQ132" s="20">
        <f t="shared" si="93"/>
        <v>1.720868479072848E-3</v>
      </c>
      <c r="BR132" s="20">
        <f t="shared" si="93"/>
        <v>0</v>
      </c>
      <c r="BS132" s="20">
        <f t="shared" si="93"/>
        <v>2.6002993555858797E-3</v>
      </c>
      <c r="BT132" s="164">
        <f t="shared" si="69"/>
        <v>7.9755442846909299E-3</v>
      </c>
      <c r="BU132" s="164"/>
      <c r="BV132" s="164">
        <f t="shared" si="70"/>
        <v>0</v>
      </c>
      <c r="BW132" s="162"/>
      <c r="BX132" s="163">
        <f t="shared" si="71"/>
        <v>0</v>
      </c>
      <c r="BY132" s="164"/>
      <c r="BZ132" s="164"/>
      <c r="CA132" s="164"/>
      <c r="CB132" s="165"/>
      <c r="CC132" s="166"/>
    </row>
    <row r="133" spans="1:81" x14ac:dyDescent="0.3">
      <c r="A133" s="7">
        <v>45</v>
      </c>
      <c r="B133" s="150" t="s">
        <v>151</v>
      </c>
      <c r="C133" s="150"/>
      <c r="D133" s="150"/>
      <c r="E133" s="150"/>
      <c r="F133" s="20">
        <f t="shared" ref="F133:AK133" si="94">IF(F51=".",0,F51/F$83)</f>
        <v>9.0479147274810794E-5</v>
      </c>
      <c r="G133" s="20">
        <f t="shared" si="94"/>
        <v>3.6200319229657207E-4</v>
      </c>
      <c r="H133" s="20">
        <f t="shared" si="94"/>
        <v>3.724498692240628E-4</v>
      </c>
      <c r="I133" s="20">
        <f t="shared" si="94"/>
        <v>1.0970970157978697E-4</v>
      </c>
      <c r="J133" s="20">
        <f t="shared" si="94"/>
        <v>9.6081981556984892E-5</v>
      </c>
      <c r="K133" s="20">
        <f t="shared" si="94"/>
        <v>2.2406186191685295E-4</v>
      </c>
      <c r="L133" s="20">
        <f t="shared" si="94"/>
        <v>4.8060723363760964E-5</v>
      </c>
      <c r="M133" s="20">
        <f t="shared" si="94"/>
        <v>1.2351743982033826E-4</v>
      </c>
      <c r="N133" s="20">
        <f t="shared" si="94"/>
        <v>6.6872710646446575E-5</v>
      </c>
      <c r="O133" s="20">
        <f t="shared" si="94"/>
        <v>1.4530816093686091E-5</v>
      </c>
      <c r="P133" s="20">
        <f t="shared" si="94"/>
        <v>2.5544892200554913E-5</v>
      </c>
      <c r="Q133" s="20">
        <f t="shared" si="94"/>
        <v>0</v>
      </c>
      <c r="R133" s="20">
        <f t="shared" si="94"/>
        <v>6.812516245867019E-5</v>
      </c>
      <c r="S133" s="20">
        <f t="shared" si="94"/>
        <v>0</v>
      </c>
      <c r="T133" s="20">
        <f t="shared" si="94"/>
        <v>0</v>
      </c>
      <c r="U133" s="20">
        <f t="shared" si="94"/>
        <v>0</v>
      </c>
      <c r="V133" s="20">
        <f t="shared" si="94"/>
        <v>8.9612043858694612E-5</v>
      </c>
      <c r="W133" s="20">
        <f t="shared" si="94"/>
        <v>3.4321090740393747E-5</v>
      </c>
      <c r="X133" s="20">
        <f t="shared" si="94"/>
        <v>8.008337251102486E-5</v>
      </c>
      <c r="Y133" s="20">
        <f t="shared" si="94"/>
        <v>1.0570653104198412E-5</v>
      </c>
      <c r="Z133" s="20">
        <f t="shared" si="94"/>
        <v>4.0999096738649973E-4</v>
      </c>
      <c r="AA133" s="20">
        <f t="shared" si="94"/>
        <v>2.156722654560324E-4</v>
      </c>
      <c r="AB133" s="20">
        <f t="shared" si="94"/>
        <v>5.3991842182233726E-5</v>
      </c>
      <c r="AC133" s="20">
        <f t="shared" si="94"/>
        <v>5.6402043820199774E-5</v>
      </c>
      <c r="AD133" s="20">
        <f t="shared" si="94"/>
        <v>0</v>
      </c>
      <c r="AE133" s="20">
        <f t="shared" si="94"/>
        <v>0</v>
      </c>
      <c r="AF133" s="20">
        <f t="shared" si="94"/>
        <v>8.3568649582208332E-5</v>
      </c>
      <c r="AG133" s="20">
        <f t="shared" si="94"/>
        <v>9.4321353440680864E-5</v>
      </c>
      <c r="AH133" s="20">
        <f t="shared" si="94"/>
        <v>1.692877666932591E-4</v>
      </c>
      <c r="AI133" s="20">
        <f t="shared" si="94"/>
        <v>3.9856048129754941E-5</v>
      </c>
      <c r="AJ133" s="20">
        <f t="shared" si="94"/>
        <v>1.0650150995155415E-3</v>
      </c>
      <c r="AK133" s="20">
        <f t="shared" si="94"/>
        <v>4.2073039020161795E-3</v>
      </c>
      <c r="AL133" s="20">
        <f t="shared" ref="AL133:BS133" si="95">IF(AL51=".",0,AL51/AL$83)</f>
        <v>1.1195801486746896E-4</v>
      </c>
      <c r="AM133" s="20">
        <f t="shared" si="95"/>
        <v>2.3421156834413953E-4</v>
      </c>
      <c r="AN133" s="20">
        <f t="shared" si="95"/>
        <v>2.1044454461489296E-4</v>
      </c>
      <c r="AO133" s="20">
        <f t="shared" si="95"/>
        <v>1.0508776116160298E-4</v>
      </c>
      <c r="AP133" s="20">
        <f t="shared" si="95"/>
        <v>0</v>
      </c>
      <c r="AQ133" s="20">
        <f t="shared" si="95"/>
        <v>1.2010899777775601E-3</v>
      </c>
      <c r="AR133" s="20">
        <f t="shared" si="95"/>
        <v>6.4473398506255072E-4</v>
      </c>
      <c r="AS133" s="20">
        <f t="shared" si="95"/>
        <v>2.973374177583286E-5</v>
      </c>
      <c r="AT133" s="20">
        <f t="shared" si="95"/>
        <v>4.7541589675174884E-4</v>
      </c>
      <c r="AU133" s="20">
        <f t="shared" si="95"/>
        <v>1.8935855420956689E-5</v>
      </c>
      <c r="AV133" s="20">
        <f t="shared" si="95"/>
        <v>7.5097736129748113E-2</v>
      </c>
      <c r="AW133" s="20">
        <f t="shared" si="95"/>
        <v>0.19265873137966374</v>
      </c>
      <c r="AX133" s="20">
        <f t="shared" si="95"/>
        <v>0.17107412007121059</v>
      </c>
      <c r="AY133" s="20">
        <f t="shared" si="95"/>
        <v>1.8495463187999319E-4</v>
      </c>
      <c r="AZ133" s="20">
        <f t="shared" si="95"/>
        <v>5.5110257796335306E-3</v>
      </c>
      <c r="BA133" s="20">
        <f t="shared" si="95"/>
        <v>5.1312608555526711E-4</v>
      </c>
      <c r="BB133" s="20">
        <f t="shared" si="95"/>
        <v>4.1633571866847856E-4</v>
      </c>
      <c r="BC133" s="20">
        <f t="shared" si="95"/>
        <v>1.1413764382885523E-3</v>
      </c>
      <c r="BD133" s="20">
        <f t="shared" si="95"/>
        <v>4.5578168820067958E-3</v>
      </c>
      <c r="BE133" s="20">
        <f t="shared" si="95"/>
        <v>2.0957200881376918E-4</v>
      </c>
      <c r="BF133" s="20">
        <f t="shared" si="95"/>
        <v>3.0818029330667655E-4</v>
      </c>
      <c r="BG133" s="20">
        <f t="shared" si="95"/>
        <v>9.8138305072509533E-5</v>
      </c>
      <c r="BH133" s="20">
        <f t="shared" si="95"/>
        <v>1.2306090079941764E-3</v>
      </c>
      <c r="BI133" s="20">
        <f t="shared" si="95"/>
        <v>0</v>
      </c>
      <c r="BJ133" s="20">
        <f t="shared" si="95"/>
        <v>4.4503112479220464E-6</v>
      </c>
      <c r="BK133" s="20">
        <f t="shared" si="95"/>
        <v>9.1072922222535871E-5</v>
      </c>
      <c r="BL133" s="20">
        <f t="shared" si="95"/>
        <v>7.9920558964389403E-6</v>
      </c>
      <c r="BM133" s="20">
        <f t="shared" si="95"/>
        <v>3.1335557344990223E-4</v>
      </c>
      <c r="BN133" s="20">
        <f t="shared" si="95"/>
        <v>6.4658691112406518E-4</v>
      </c>
      <c r="BO133" s="20">
        <f t="shared" si="95"/>
        <v>1.4348553262278102E-5</v>
      </c>
      <c r="BP133" s="20">
        <f t="shared" si="95"/>
        <v>7.1156321156321152E-4</v>
      </c>
      <c r="BQ133" s="20">
        <f t="shared" si="95"/>
        <v>1.4123823896784182E-3</v>
      </c>
      <c r="BR133" s="20">
        <f t="shared" si="95"/>
        <v>0</v>
      </c>
      <c r="BS133" s="20">
        <f t="shared" si="95"/>
        <v>4.143295354035458E-3</v>
      </c>
      <c r="BT133" s="164">
        <f t="shared" si="69"/>
        <v>1.3901156485412779E-3</v>
      </c>
      <c r="BU133" s="164"/>
      <c r="BV133" s="164">
        <f t="shared" si="70"/>
        <v>0</v>
      </c>
      <c r="BW133" s="162"/>
      <c r="BX133" s="163">
        <f t="shared" si="71"/>
        <v>0</v>
      </c>
      <c r="BY133" s="164"/>
      <c r="BZ133" s="164"/>
      <c r="CA133" s="164"/>
      <c r="CB133" s="165"/>
      <c r="CC133" s="166"/>
    </row>
    <row r="134" spans="1:81" x14ac:dyDescent="0.3">
      <c r="A134" s="7">
        <v>46</v>
      </c>
      <c r="B134" s="150" t="s">
        <v>12</v>
      </c>
      <c r="C134" s="150"/>
      <c r="D134" s="150"/>
      <c r="E134" s="150"/>
      <c r="F134" s="20">
        <f t="shared" ref="F134:AK134" si="96">IF(F52=".",0,F52/F$83)</f>
        <v>2.5053274613790599E-3</v>
      </c>
      <c r="G134" s="20">
        <f t="shared" si="96"/>
        <v>1.2040654863774864E-2</v>
      </c>
      <c r="H134" s="20">
        <f t="shared" si="96"/>
        <v>3.4580645161290326E-3</v>
      </c>
      <c r="I134" s="20">
        <f t="shared" si="96"/>
        <v>2.8701367899858295E-3</v>
      </c>
      <c r="J134" s="20">
        <f t="shared" si="96"/>
        <v>3.8646417520313068E-3</v>
      </c>
      <c r="K134" s="20">
        <f t="shared" si="96"/>
        <v>8.5926182091151156E-3</v>
      </c>
      <c r="L134" s="20">
        <f t="shared" si="96"/>
        <v>7.7602199125702889E-3</v>
      </c>
      <c r="M134" s="20">
        <f t="shared" si="96"/>
        <v>3.8951377768136836E-3</v>
      </c>
      <c r="N134" s="20">
        <f t="shared" si="96"/>
        <v>1.6615017433560149E-2</v>
      </c>
      <c r="O134" s="20">
        <f t="shared" si="96"/>
        <v>0</v>
      </c>
      <c r="P134" s="20">
        <f t="shared" si="96"/>
        <v>2.2576720515713107E-4</v>
      </c>
      <c r="Q134" s="20">
        <f t="shared" si="96"/>
        <v>0</v>
      </c>
      <c r="R134" s="20">
        <f t="shared" si="96"/>
        <v>8.8632159177418433E-3</v>
      </c>
      <c r="S134" s="20">
        <f t="shared" si="96"/>
        <v>2.8819143798526035E-3</v>
      </c>
      <c r="T134" s="20">
        <f t="shared" si="96"/>
        <v>1.6358129992152678E-3</v>
      </c>
      <c r="U134" s="20">
        <f t="shared" si="96"/>
        <v>9.1185141902477302E-3</v>
      </c>
      <c r="V134" s="20">
        <f t="shared" si="96"/>
        <v>3.0268276752047651E-3</v>
      </c>
      <c r="W134" s="20">
        <f t="shared" si="96"/>
        <v>3.1299400975991452E-3</v>
      </c>
      <c r="X134" s="20">
        <f t="shared" si="96"/>
        <v>4.8449248652317209E-3</v>
      </c>
      <c r="Y134" s="20">
        <f t="shared" si="96"/>
        <v>6.9862407334111316E-3</v>
      </c>
      <c r="Z134" s="20">
        <f t="shared" si="96"/>
        <v>3.5329690392758538E-3</v>
      </c>
      <c r="AA134" s="20">
        <f t="shared" si="96"/>
        <v>1.1181614234915142E-2</v>
      </c>
      <c r="AB134" s="20">
        <f t="shared" si="96"/>
        <v>2.5310521067888718E-2</v>
      </c>
      <c r="AC134" s="20">
        <f t="shared" si="96"/>
        <v>8.345966786176641E-3</v>
      </c>
      <c r="AD134" s="20">
        <f t="shared" si="96"/>
        <v>1.5974980459430542E-3</v>
      </c>
      <c r="AE134" s="20">
        <f t="shared" si="96"/>
        <v>2.3969639715204277E-3</v>
      </c>
      <c r="AF134" s="20">
        <f t="shared" si="96"/>
        <v>1.0441954350883093E-2</v>
      </c>
      <c r="AG134" s="20">
        <f t="shared" si="96"/>
        <v>1.9360931564847257E-2</v>
      </c>
      <c r="AH134" s="20">
        <f t="shared" si="96"/>
        <v>5.5924276930477334E-3</v>
      </c>
      <c r="AI134" s="20">
        <f t="shared" si="96"/>
        <v>7.5570644078847532E-2</v>
      </c>
      <c r="AJ134" s="20">
        <f t="shared" si="96"/>
        <v>5.1540086049730344E-2</v>
      </c>
      <c r="AK134" s="20">
        <f t="shared" si="96"/>
        <v>0.17461329407873977</v>
      </c>
      <c r="AL134" s="20">
        <f t="shared" ref="AL134:BS134" si="97">IF(AL52=".",0,AL52/AL$83)</f>
        <v>5.8629606127757394E-3</v>
      </c>
      <c r="AM134" s="20">
        <f t="shared" si="97"/>
        <v>0</v>
      </c>
      <c r="AN134" s="20">
        <f t="shared" si="97"/>
        <v>4.4686989720693323E-4</v>
      </c>
      <c r="AO134" s="20">
        <f t="shared" si="97"/>
        <v>2.5978360079188297E-2</v>
      </c>
      <c r="AP134" s="20">
        <f t="shared" si="97"/>
        <v>8.9318511609973658E-3</v>
      </c>
      <c r="AQ134" s="20">
        <f t="shared" si="97"/>
        <v>0.10317261388825488</v>
      </c>
      <c r="AR134" s="20">
        <f t="shared" si="97"/>
        <v>1.8974466593317814E-2</v>
      </c>
      <c r="AS134" s="20">
        <f t="shared" si="97"/>
        <v>6.4351250638346276E-3</v>
      </c>
      <c r="AT134" s="20">
        <f t="shared" si="97"/>
        <v>8.0223757024662293E-3</v>
      </c>
      <c r="AU134" s="20">
        <f t="shared" si="97"/>
        <v>3.0357753012484199E-2</v>
      </c>
      <c r="AV134" s="20">
        <f t="shared" si="97"/>
        <v>2.6841757668764725E-2</v>
      </c>
      <c r="AW134" s="20">
        <f t="shared" si="97"/>
        <v>2.3139231263089016E-2</v>
      </c>
      <c r="AX134" s="20">
        <f t="shared" si="97"/>
        <v>3.3148300282541794E-2</v>
      </c>
      <c r="AY134" s="20">
        <f t="shared" si="97"/>
        <v>3.2609882903941095E-2</v>
      </c>
      <c r="AZ134" s="20">
        <f t="shared" si="97"/>
        <v>2.705050741753633E-2</v>
      </c>
      <c r="BA134" s="20">
        <f t="shared" si="97"/>
        <v>2.8304341820710142E-2</v>
      </c>
      <c r="BB134" s="20">
        <f t="shared" si="97"/>
        <v>2.5522207708610169E-2</v>
      </c>
      <c r="BC134" s="20">
        <f t="shared" si="97"/>
        <v>2.2240699145079635E-2</v>
      </c>
      <c r="BD134" s="20">
        <f t="shared" si="97"/>
        <v>6.2085773423095673E-2</v>
      </c>
      <c r="BE134" s="20">
        <f t="shared" si="97"/>
        <v>1.066266412268514E-2</v>
      </c>
      <c r="BF134" s="20">
        <f t="shared" si="97"/>
        <v>3.9234224205080921E-3</v>
      </c>
      <c r="BG134" s="20">
        <f t="shared" si="97"/>
        <v>3.7307220271989745E-2</v>
      </c>
      <c r="BH134" s="20">
        <f t="shared" si="97"/>
        <v>2.8264155855886972E-2</v>
      </c>
      <c r="BI134" s="20">
        <f t="shared" si="97"/>
        <v>1.5292879789024707E-2</v>
      </c>
      <c r="BJ134" s="20">
        <f t="shared" si="97"/>
        <v>1.6896234260732553E-2</v>
      </c>
      <c r="BK134" s="20">
        <f t="shared" si="97"/>
        <v>1.1897273309393882E-2</v>
      </c>
      <c r="BL134" s="20">
        <f t="shared" si="97"/>
        <v>1.1446622057674671E-2</v>
      </c>
      <c r="BM134" s="20">
        <f t="shared" si="97"/>
        <v>4.9920165650523415E-2</v>
      </c>
      <c r="BN134" s="20">
        <f t="shared" si="97"/>
        <v>6.9660456406662491E-2</v>
      </c>
      <c r="BO134" s="20">
        <f t="shared" si="97"/>
        <v>5.0891628067563748E-2</v>
      </c>
      <c r="BP134" s="20">
        <f t="shared" si="97"/>
        <v>2.3082491832491833E-2</v>
      </c>
      <c r="BQ134" s="20">
        <f t="shared" si="97"/>
        <v>6.3313241412543686E-2</v>
      </c>
      <c r="BR134" s="20">
        <f t="shared" si="97"/>
        <v>0</v>
      </c>
      <c r="BS134" s="20">
        <f t="shared" si="97"/>
        <v>2.6406508273913293E-2</v>
      </c>
      <c r="BT134" s="164">
        <f t="shared" si="69"/>
        <v>0.13684921191768284</v>
      </c>
      <c r="BU134" s="164"/>
      <c r="BV134" s="164">
        <f t="shared" si="70"/>
        <v>1.0060934368173832E-2</v>
      </c>
      <c r="BW134" s="162"/>
      <c r="BX134" s="163">
        <f t="shared" si="71"/>
        <v>1.2282219745409752E-2</v>
      </c>
      <c r="BY134" s="164"/>
      <c r="BZ134" s="164"/>
      <c r="CA134" s="164"/>
      <c r="CB134" s="165"/>
      <c r="CC134" s="166"/>
    </row>
    <row r="135" spans="1:81" x14ac:dyDescent="0.3">
      <c r="A135" s="7">
        <v>47</v>
      </c>
      <c r="B135" s="150" t="s">
        <v>152</v>
      </c>
      <c r="C135" s="150"/>
      <c r="D135" s="150"/>
      <c r="E135" s="150"/>
      <c r="F135" s="20">
        <f t="shared" ref="F135:AK135" si="98">IF(F53=".",0,F53/F$83)</f>
        <v>1.7684207583239845E-3</v>
      </c>
      <c r="G135" s="20">
        <f t="shared" si="98"/>
        <v>1.0201345222915374E-2</v>
      </c>
      <c r="H135" s="20">
        <f t="shared" si="98"/>
        <v>1.7975239755884918E-2</v>
      </c>
      <c r="I135" s="20">
        <f t="shared" si="98"/>
        <v>7.530670411424481E-3</v>
      </c>
      <c r="J135" s="20">
        <f t="shared" si="98"/>
        <v>1.0198570741146478E-2</v>
      </c>
      <c r="K135" s="20">
        <f t="shared" si="98"/>
        <v>8.3870597947414676E-3</v>
      </c>
      <c r="L135" s="20">
        <f t="shared" si="98"/>
        <v>9.7572336489446781E-3</v>
      </c>
      <c r="M135" s="20">
        <f t="shared" si="98"/>
        <v>1.1438123249478432E-2</v>
      </c>
      <c r="N135" s="20">
        <f t="shared" si="98"/>
        <v>3.4129965298765504E-2</v>
      </c>
      <c r="O135" s="20">
        <f t="shared" si="98"/>
        <v>2.7500914903235529E-2</v>
      </c>
      <c r="P135" s="20">
        <f t="shared" si="98"/>
        <v>1.8228917810808943E-3</v>
      </c>
      <c r="Q135" s="20">
        <f t="shared" si="98"/>
        <v>1.276997308231892E-3</v>
      </c>
      <c r="R135" s="20">
        <f t="shared" si="98"/>
        <v>8.6745489022919831E-3</v>
      </c>
      <c r="S135" s="20">
        <f t="shared" si="98"/>
        <v>8.1799503344849572E-3</v>
      </c>
      <c r="T135" s="20">
        <f t="shared" si="98"/>
        <v>1.3362413078585526E-3</v>
      </c>
      <c r="U135" s="20">
        <f t="shared" si="98"/>
        <v>2.4293166757117838E-3</v>
      </c>
      <c r="V135" s="20">
        <f t="shared" si="98"/>
        <v>6.7588631738192571E-3</v>
      </c>
      <c r="W135" s="20">
        <f t="shared" si="98"/>
        <v>7.9855231309365737E-3</v>
      </c>
      <c r="X135" s="20">
        <f t="shared" si="98"/>
        <v>1.0738560560964956E-2</v>
      </c>
      <c r="Y135" s="20">
        <f t="shared" si="98"/>
        <v>6.6520639500488588E-3</v>
      </c>
      <c r="Z135" s="20">
        <f t="shared" si="98"/>
        <v>4.6764594717522631E-3</v>
      </c>
      <c r="AA135" s="20">
        <f t="shared" si="98"/>
        <v>1.2995807500908611E-2</v>
      </c>
      <c r="AB135" s="20">
        <f t="shared" si="98"/>
        <v>8.3598016363024052E-2</v>
      </c>
      <c r="AC135" s="20">
        <f t="shared" si="98"/>
        <v>1.2714193392835627E-2</v>
      </c>
      <c r="AD135" s="20">
        <f t="shared" si="98"/>
        <v>3.2825302313898381E-4</v>
      </c>
      <c r="AE135" s="20">
        <f t="shared" si="98"/>
        <v>1.7816160756333337E-2</v>
      </c>
      <c r="AF135" s="20">
        <f t="shared" si="98"/>
        <v>2.2968998094428449E-2</v>
      </c>
      <c r="AG135" s="20">
        <f t="shared" si="98"/>
        <v>2.0287638862401949E-2</v>
      </c>
      <c r="AH135" s="20">
        <f t="shared" si="98"/>
        <v>7.0962300800635853E-3</v>
      </c>
      <c r="AI135" s="20">
        <f t="shared" si="98"/>
        <v>3.7259017814120596E-2</v>
      </c>
      <c r="AJ135" s="20">
        <f t="shared" si="98"/>
        <v>2.3565438464380049E-2</v>
      </c>
      <c r="AK135" s="20">
        <f t="shared" si="98"/>
        <v>2.7596834017840157E-2</v>
      </c>
      <c r="AL135" s="20">
        <f t="shared" ref="AL135:BS135" si="99">IF(AL53=".",0,AL53/AL$83)</f>
        <v>9.2098621564443706E-3</v>
      </c>
      <c r="AM135" s="20">
        <f t="shared" si="99"/>
        <v>0</v>
      </c>
      <c r="AN135" s="20">
        <f t="shared" si="99"/>
        <v>6.1886284601564822E-3</v>
      </c>
      <c r="AO135" s="20">
        <f t="shared" si="99"/>
        <v>9.0720042232613624E-3</v>
      </c>
      <c r="AP135" s="20">
        <f t="shared" si="99"/>
        <v>1.7302286564317926E-2</v>
      </c>
      <c r="AQ135" s="20">
        <f t="shared" si="99"/>
        <v>1.5586514185534269E-2</v>
      </c>
      <c r="AR135" s="20">
        <f t="shared" si="99"/>
        <v>2.0280310685358897E-2</v>
      </c>
      <c r="AS135" s="20">
        <f t="shared" si="99"/>
        <v>1.883037866663495E-2</v>
      </c>
      <c r="AT135" s="20">
        <f t="shared" si="99"/>
        <v>3.2699053056675691E-2</v>
      </c>
      <c r="AU135" s="20">
        <f t="shared" si="99"/>
        <v>2.9535516090427549E-2</v>
      </c>
      <c r="AV135" s="20">
        <f t="shared" si="99"/>
        <v>3.424780248158335E-2</v>
      </c>
      <c r="AW135" s="20">
        <f t="shared" si="99"/>
        <v>9.7854409430999031E-3</v>
      </c>
      <c r="AX135" s="20">
        <f t="shared" si="99"/>
        <v>5.6055263515908234E-2</v>
      </c>
      <c r="AY135" s="20">
        <f t="shared" si="99"/>
        <v>1.5513940034640902E-2</v>
      </c>
      <c r="AZ135" s="20">
        <f t="shared" si="99"/>
        <v>5.5802747590732005E-2</v>
      </c>
      <c r="BA135" s="20">
        <f t="shared" si="99"/>
        <v>2.597759193731454E-2</v>
      </c>
      <c r="BB135" s="20">
        <f t="shared" si="99"/>
        <v>1.3766934812968895E-2</v>
      </c>
      <c r="BC135" s="20">
        <f t="shared" si="99"/>
        <v>8.4650172784736119E-2</v>
      </c>
      <c r="BD135" s="20">
        <f t="shared" si="99"/>
        <v>5.8016798649326427E-2</v>
      </c>
      <c r="BE135" s="20">
        <f t="shared" si="99"/>
        <v>1.6814575201024883E-2</v>
      </c>
      <c r="BF135" s="20">
        <f t="shared" si="99"/>
        <v>5.5505751937063308E-2</v>
      </c>
      <c r="BG135" s="20">
        <f t="shared" si="99"/>
        <v>3.3423425049407561E-2</v>
      </c>
      <c r="BH135" s="20">
        <f t="shared" si="99"/>
        <v>7.7021989962778856E-2</v>
      </c>
      <c r="BI135" s="20">
        <f t="shared" si="99"/>
        <v>1.3004558319949002E-2</v>
      </c>
      <c r="BJ135" s="20">
        <f t="shared" si="99"/>
        <v>3.3189051960464803E-3</v>
      </c>
      <c r="BK135" s="20">
        <f t="shared" si="99"/>
        <v>3.6472253958255022E-3</v>
      </c>
      <c r="BL135" s="20">
        <f t="shared" si="99"/>
        <v>2.6363794388377954E-3</v>
      </c>
      <c r="BM135" s="20">
        <f t="shared" si="99"/>
        <v>7.101345910502703E-3</v>
      </c>
      <c r="BN135" s="20">
        <f t="shared" si="99"/>
        <v>2.7950590622073192E-2</v>
      </c>
      <c r="BO135" s="20">
        <f t="shared" si="99"/>
        <v>3.4483160627569849E-2</v>
      </c>
      <c r="BP135" s="20">
        <f t="shared" si="99"/>
        <v>2.1003489753489753E-2</v>
      </c>
      <c r="BQ135" s="20">
        <f t="shared" si="99"/>
        <v>1.7215741662054498E-2</v>
      </c>
      <c r="BR135" s="20">
        <f t="shared" si="99"/>
        <v>0</v>
      </c>
      <c r="BS135" s="20">
        <f t="shared" si="99"/>
        <v>1.9822757428345852E-2</v>
      </c>
      <c r="BT135" s="164">
        <f t="shared" si="69"/>
        <v>4.2064546668319066E-4</v>
      </c>
      <c r="BU135" s="164"/>
      <c r="BV135" s="164">
        <f t="shared" si="70"/>
        <v>1.0596784976946603E-3</v>
      </c>
      <c r="BW135" s="162"/>
      <c r="BX135" s="163">
        <f t="shared" si="71"/>
        <v>8.7216411627505409E-3</v>
      </c>
      <c r="BY135" s="164"/>
      <c r="BZ135" s="164"/>
      <c r="CA135" s="164"/>
      <c r="CB135" s="165"/>
      <c r="CC135" s="166"/>
    </row>
    <row r="136" spans="1:81" x14ac:dyDescent="0.3">
      <c r="A136" s="7">
        <v>48</v>
      </c>
      <c r="B136" s="150" t="s">
        <v>153</v>
      </c>
      <c r="C136" s="150"/>
      <c r="D136" s="150"/>
      <c r="E136" s="150"/>
      <c r="F136" s="20">
        <f t="shared" ref="F136:AK136" si="100">IF(F54=".",0,F54/F$83)</f>
        <v>8.6751251078080391E-4</v>
      </c>
      <c r="G136" s="20">
        <f t="shared" si="100"/>
        <v>9.8836397896761453E-3</v>
      </c>
      <c r="H136" s="20">
        <f t="shared" si="100"/>
        <v>8.5091543156059289E-5</v>
      </c>
      <c r="I136" s="20">
        <f t="shared" si="100"/>
        <v>0</v>
      </c>
      <c r="J136" s="20">
        <f t="shared" si="100"/>
        <v>6.4269591864218835E-4</v>
      </c>
      <c r="K136" s="20">
        <f t="shared" si="100"/>
        <v>7.0717198943857245E-4</v>
      </c>
      <c r="L136" s="20">
        <f t="shared" si="100"/>
        <v>5.2065783644074372E-5</v>
      </c>
      <c r="M136" s="20">
        <f t="shared" si="100"/>
        <v>1.1619316188057852E-3</v>
      </c>
      <c r="N136" s="20">
        <f t="shared" si="100"/>
        <v>5.1528274715168909E-4</v>
      </c>
      <c r="O136" s="20">
        <f t="shared" si="100"/>
        <v>1.1581598605041655E-3</v>
      </c>
      <c r="P136" s="20">
        <f t="shared" si="100"/>
        <v>8.5839111443160228E-6</v>
      </c>
      <c r="Q136" s="20">
        <f t="shared" si="100"/>
        <v>0</v>
      </c>
      <c r="R136" s="20">
        <f t="shared" si="100"/>
        <v>1.0658611582732719E-3</v>
      </c>
      <c r="S136" s="20">
        <f t="shared" si="100"/>
        <v>1.9308016684717328E-3</v>
      </c>
      <c r="T136" s="20">
        <f t="shared" si="100"/>
        <v>0</v>
      </c>
      <c r="U136" s="20">
        <f t="shared" si="100"/>
        <v>0</v>
      </c>
      <c r="V136" s="20">
        <f t="shared" si="100"/>
        <v>8.8170458805315616E-4</v>
      </c>
      <c r="W136" s="20">
        <f t="shared" si="100"/>
        <v>0</v>
      </c>
      <c r="X136" s="20">
        <f t="shared" si="100"/>
        <v>2.2273187979628793E-4</v>
      </c>
      <c r="Y136" s="20">
        <f t="shared" si="100"/>
        <v>7.6457053418435095E-4</v>
      </c>
      <c r="Z136" s="20">
        <f t="shared" si="100"/>
        <v>1.468600457396173E-3</v>
      </c>
      <c r="AA136" s="20">
        <f t="shared" si="100"/>
        <v>1.6656628231635952E-4</v>
      </c>
      <c r="AB136" s="20">
        <f t="shared" si="100"/>
        <v>1.905290540201976E-2</v>
      </c>
      <c r="AC136" s="20">
        <f t="shared" si="100"/>
        <v>1.1130049850192541E-2</v>
      </c>
      <c r="AD136" s="20">
        <f t="shared" si="100"/>
        <v>2.0765571681183536E-3</v>
      </c>
      <c r="AE136" s="20">
        <f t="shared" si="100"/>
        <v>8.1421999725823891E-4</v>
      </c>
      <c r="AF136" s="20">
        <f t="shared" si="100"/>
        <v>2.315161106944142E-3</v>
      </c>
      <c r="AG136" s="20">
        <f t="shared" si="100"/>
        <v>3.9261263369683413E-4</v>
      </c>
      <c r="AH136" s="20">
        <f t="shared" si="100"/>
        <v>6.370247125620615E-2</v>
      </c>
      <c r="AI136" s="20">
        <f t="shared" si="100"/>
        <v>3.2124996742534532E-3</v>
      </c>
      <c r="AJ136" s="20">
        <f t="shared" si="100"/>
        <v>3.4964500094233791E-3</v>
      </c>
      <c r="AK136" s="20">
        <f t="shared" si="100"/>
        <v>0</v>
      </c>
      <c r="AL136" s="20">
        <f t="shared" ref="AL136:BS136" si="101">IF(AL54=".",0,AL54/AL$83)</f>
        <v>4.9292950788679167E-3</v>
      </c>
      <c r="AM136" s="20">
        <f t="shared" si="101"/>
        <v>0</v>
      </c>
      <c r="AN136" s="20">
        <f t="shared" si="101"/>
        <v>0</v>
      </c>
      <c r="AO136" s="20">
        <f t="shared" si="101"/>
        <v>1.1647674120169088E-3</v>
      </c>
      <c r="AP136" s="20">
        <f t="shared" si="101"/>
        <v>0</v>
      </c>
      <c r="AQ136" s="20">
        <f t="shared" si="101"/>
        <v>7.2114408458810077E-5</v>
      </c>
      <c r="AR136" s="20">
        <f t="shared" si="101"/>
        <v>1.1930308077309853E-3</v>
      </c>
      <c r="AS136" s="20">
        <f t="shared" si="101"/>
        <v>1.9111362526416571E-3</v>
      </c>
      <c r="AT136" s="20">
        <f t="shared" si="101"/>
        <v>1.2806976508294984E-4</v>
      </c>
      <c r="AU136" s="20">
        <f t="shared" si="101"/>
        <v>2.0036239019307843E-3</v>
      </c>
      <c r="AV136" s="20">
        <f t="shared" si="101"/>
        <v>1.5584032066346895E-4</v>
      </c>
      <c r="AW136" s="20">
        <f t="shared" si="101"/>
        <v>1.018746995892877E-4</v>
      </c>
      <c r="AX136" s="20">
        <f t="shared" si="101"/>
        <v>4.1806142116360042E-4</v>
      </c>
      <c r="AY136" s="20">
        <f t="shared" si="101"/>
        <v>9.4878799976408953E-4</v>
      </c>
      <c r="AZ136" s="20">
        <f t="shared" si="101"/>
        <v>2.1797251344103916E-3</v>
      </c>
      <c r="BA136" s="20">
        <f t="shared" si="101"/>
        <v>0.14371767522521831</v>
      </c>
      <c r="BB136" s="20">
        <f t="shared" si="101"/>
        <v>7.4451065495706771E-3</v>
      </c>
      <c r="BC136" s="20">
        <f t="shared" si="101"/>
        <v>1.8221848857655077E-4</v>
      </c>
      <c r="BD136" s="20">
        <f t="shared" si="101"/>
        <v>2.3961740334418865E-3</v>
      </c>
      <c r="BE136" s="20">
        <f t="shared" si="101"/>
        <v>6.7789754864979281E-4</v>
      </c>
      <c r="BF136" s="20">
        <f t="shared" si="101"/>
        <v>1.8216589371305671E-4</v>
      </c>
      <c r="BG136" s="20">
        <f t="shared" si="101"/>
        <v>8.8211671915749957E-4</v>
      </c>
      <c r="BH136" s="20">
        <f t="shared" si="101"/>
        <v>9.809802895331815E-3</v>
      </c>
      <c r="BI136" s="20">
        <f t="shared" si="101"/>
        <v>6.2848585707101015E-3</v>
      </c>
      <c r="BJ136" s="20">
        <f t="shared" si="101"/>
        <v>1.8693589452168967E-3</v>
      </c>
      <c r="BK136" s="20">
        <f t="shared" si="101"/>
        <v>2.6901425818653458E-3</v>
      </c>
      <c r="BL136" s="20">
        <f t="shared" si="101"/>
        <v>3.2477717149153739E-3</v>
      </c>
      <c r="BM136" s="20">
        <f t="shared" si="101"/>
        <v>1.4880938686299323E-3</v>
      </c>
      <c r="BN136" s="20">
        <f t="shared" si="101"/>
        <v>3.3732150340592751E-3</v>
      </c>
      <c r="BO136" s="20">
        <f t="shared" si="101"/>
        <v>3.0974939354942851E-3</v>
      </c>
      <c r="BP136" s="20">
        <f t="shared" si="101"/>
        <v>8.1087268587268588E-3</v>
      </c>
      <c r="BQ136" s="20">
        <f t="shared" si="101"/>
        <v>1.3781061575234815E-3</v>
      </c>
      <c r="BR136" s="20">
        <f t="shared" si="101"/>
        <v>0</v>
      </c>
      <c r="BS136" s="20">
        <f t="shared" si="101"/>
        <v>8.1784425345804105E-3</v>
      </c>
      <c r="BT136" s="164">
        <f t="shared" si="69"/>
        <v>1.3034444704540888E-3</v>
      </c>
      <c r="BU136" s="164"/>
      <c r="BV136" s="164">
        <f t="shared" si="70"/>
        <v>1.9193365500489708E-3</v>
      </c>
      <c r="BW136" s="162"/>
      <c r="BX136" s="163">
        <f t="shared" si="71"/>
        <v>0</v>
      </c>
      <c r="BY136" s="164"/>
      <c r="BZ136" s="164"/>
      <c r="CA136" s="164"/>
      <c r="CB136" s="165"/>
      <c r="CC136" s="166"/>
    </row>
    <row r="137" spans="1:81" x14ac:dyDescent="0.3">
      <c r="A137" s="7">
        <v>49</v>
      </c>
      <c r="B137" s="150" t="s">
        <v>154</v>
      </c>
      <c r="C137" s="150"/>
      <c r="D137" s="150"/>
      <c r="E137" s="150"/>
      <c r="F137" s="20">
        <f t="shared" ref="F137:AK137" si="102">IF(F55=".",0,F55/F$83)</f>
        <v>1.0445875801254979E-4</v>
      </c>
      <c r="G137" s="20">
        <f t="shared" si="102"/>
        <v>2.8555383392341439E-4</v>
      </c>
      <c r="H137" s="20">
        <f t="shared" si="102"/>
        <v>0</v>
      </c>
      <c r="I137" s="20">
        <f t="shared" si="102"/>
        <v>1.8260934209220659E-3</v>
      </c>
      <c r="J137" s="20">
        <f t="shared" si="102"/>
        <v>1.6430412624857352E-4</v>
      </c>
      <c r="K137" s="20">
        <f t="shared" si="102"/>
        <v>1.4239147276063886E-4</v>
      </c>
      <c r="L137" s="20">
        <f t="shared" si="102"/>
        <v>2.8405701120185134E-4</v>
      </c>
      <c r="M137" s="20">
        <f t="shared" si="102"/>
        <v>0</v>
      </c>
      <c r="N137" s="20">
        <f t="shared" si="102"/>
        <v>0</v>
      </c>
      <c r="O137" s="20">
        <f t="shared" si="102"/>
        <v>2.3335414289712181E-3</v>
      </c>
      <c r="P137" s="20">
        <f t="shared" si="102"/>
        <v>4.1937059867712623E-4</v>
      </c>
      <c r="Q137" s="20">
        <f t="shared" si="102"/>
        <v>6.8775638091259387E-4</v>
      </c>
      <c r="R137" s="20">
        <f t="shared" si="102"/>
        <v>2.761384012281049E-5</v>
      </c>
      <c r="S137" s="20">
        <f t="shared" si="102"/>
        <v>1.0220770548940155E-3</v>
      </c>
      <c r="T137" s="20">
        <f t="shared" si="102"/>
        <v>0</v>
      </c>
      <c r="U137" s="20">
        <f t="shared" si="102"/>
        <v>0</v>
      </c>
      <c r="V137" s="20">
        <f t="shared" si="102"/>
        <v>0</v>
      </c>
      <c r="W137" s="20">
        <f t="shared" si="102"/>
        <v>3.8194983045112337E-3</v>
      </c>
      <c r="X137" s="20">
        <f t="shared" si="102"/>
        <v>2.2285105148157221E-5</v>
      </c>
      <c r="Y137" s="20">
        <f t="shared" si="102"/>
        <v>8.9189885566674093E-4</v>
      </c>
      <c r="Z137" s="20">
        <f t="shared" si="102"/>
        <v>0</v>
      </c>
      <c r="AA137" s="20">
        <f t="shared" si="102"/>
        <v>6.1079355571877066E-5</v>
      </c>
      <c r="AB137" s="20">
        <f t="shared" si="102"/>
        <v>0</v>
      </c>
      <c r="AC137" s="20">
        <f t="shared" si="102"/>
        <v>4.9658928185260048E-4</v>
      </c>
      <c r="AD137" s="20">
        <f t="shared" si="102"/>
        <v>8.0398204218098919E-5</v>
      </c>
      <c r="AE137" s="20">
        <f t="shared" si="102"/>
        <v>1.6718700964110497E-3</v>
      </c>
      <c r="AF137" s="20">
        <f t="shared" si="102"/>
        <v>5.556799341355236E-3</v>
      </c>
      <c r="AG137" s="20">
        <f t="shared" si="102"/>
        <v>7.5604459867295755E-4</v>
      </c>
      <c r="AH137" s="20">
        <f t="shared" si="102"/>
        <v>0</v>
      </c>
      <c r="AI137" s="20">
        <f t="shared" si="102"/>
        <v>4.4199335425946183E-4</v>
      </c>
      <c r="AJ137" s="20">
        <f t="shared" si="102"/>
        <v>4.5342167845614822E-4</v>
      </c>
      <c r="AK137" s="20">
        <f t="shared" si="102"/>
        <v>0</v>
      </c>
      <c r="AL137" s="20">
        <f t="shared" ref="AL137:BS137" si="103">IF(AL55=".",0,AL55/AL$83)</f>
        <v>7.2663090197600769E-4</v>
      </c>
      <c r="AM137" s="20">
        <f t="shared" si="103"/>
        <v>0</v>
      </c>
      <c r="AN137" s="20">
        <f t="shared" si="103"/>
        <v>0</v>
      </c>
      <c r="AO137" s="20">
        <f t="shared" si="103"/>
        <v>0</v>
      </c>
      <c r="AP137" s="20">
        <f t="shared" si="103"/>
        <v>5.6141575767680682E-4</v>
      </c>
      <c r="AQ137" s="20">
        <f t="shared" si="103"/>
        <v>1.690837829398314E-4</v>
      </c>
      <c r="AR137" s="20">
        <f t="shared" si="103"/>
        <v>4.3063135408693418E-5</v>
      </c>
      <c r="AS137" s="20">
        <f t="shared" si="103"/>
        <v>1.5833217495630998E-4</v>
      </c>
      <c r="AT137" s="20">
        <f t="shared" si="103"/>
        <v>4.1144047092572556E-4</v>
      </c>
      <c r="AU137" s="20">
        <f t="shared" si="103"/>
        <v>4.0032502343838108E-3</v>
      </c>
      <c r="AV137" s="20">
        <f t="shared" si="103"/>
        <v>0</v>
      </c>
      <c r="AW137" s="20">
        <f t="shared" si="103"/>
        <v>0</v>
      </c>
      <c r="AX137" s="20">
        <f t="shared" si="103"/>
        <v>0</v>
      </c>
      <c r="AY137" s="20">
        <f t="shared" si="103"/>
        <v>5.8523560551225339E-6</v>
      </c>
      <c r="AZ137" s="20">
        <f t="shared" si="103"/>
        <v>6.7904209794716257E-4</v>
      </c>
      <c r="BA137" s="20">
        <f t="shared" si="103"/>
        <v>4.0442876522112795E-3</v>
      </c>
      <c r="BB137" s="20">
        <f t="shared" si="103"/>
        <v>7.7278082898238662E-2</v>
      </c>
      <c r="BC137" s="20">
        <f t="shared" si="103"/>
        <v>6.2244831343875699E-3</v>
      </c>
      <c r="BD137" s="20">
        <f t="shared" si="103"/>
        <v>2.1480795993190117E-2</v>
      </c>
      <c r="BE137" s="20">
        <f t="shared" si="103"/>
        <v>0</v>
      </c>
      <c r="BF137" s="20">
        <f t="shared" si="103"/>
        <v>5.4636709626912491E-3</v>
      </c>
      <c r="BG137" s="20">
        <f t="shared" si="103"/>
        <v>1.161867289938906E-4</v>
      </c>
      <c r="BH137" s="20">
        <f t="shared" si="103"/>
        <v>2.3273175539786236E-4</v>
      </c>
      <c r="BI137" s="20">
        <f t="shared" si="103"/>
        <v>4.0008613270740056E-3</v>
      </c>
      <c r="BJ137" s="20">
        <f t="shared" si="103"/>
        <v>3.567780294295659E-3</v>
      </c>
      <c r="BK137" s="20">
        <f t="shared" si="103"/>
        <v>4.3515919933084432E-4</v>
      </c>
      <c r="BL137" s="20">
        <f t="shared" si="103"/>
        <v>3.3966237559865495E-4</v>
      </c>
      <c r="BM137" s="20">
        <f t="shared" si="103"/>
        <v>9.7181640400322098E-4</v>
      </c>
      <c r="BN137" s="20">
        <f t="shared" si="103"/>
        <v>5.9353967137824393E-4</v>
      </c>
      <c r="BO137" s="20">
        <f t="shared" si="103"/>
        <v>3.0643129060752669E-3</v>
      </c>
      <c r="BP137" s="20">
        <f t="shared" si="103"/>
        <v>0</v>
      </c>
      <c r="BQ137" s="20">
        <f t="shared" si="103"/>
        <v>0</v>
      </c>
      <c r="BR137" s="20">
        <f t="shared" si="103"/>
        <v>0</v>
      </c>
      <c r="BS137" s="20">
        <f t="shared" si="103"/>
        <v>1.3547575861258315E-3</v>
      </c>
      <c r="BT137" s="164">
        <f t="shared" si="69"/>
        <v>4.4100743906322482E-5</v>
      </c>
      <c r="BU137" s="164"/>
      <c r="BV137" s="164">
        <f t="shared" si="70"/>
        <v>2.6401691294435873E-2</v>
      </c>
      <c r="BW137" s="162"/>
      <c r="BX137" s="163">
        <f t="shared" si="71"/>
        <v>0</v>
      </c>
      <c r="BY137" s="164"/>
      <c r="BZ137" s="164"/>
      <c r="CA137" s="164"/>
      <c r="CB137" s="165"/>
      <c r="CC137" s="166"/>
    </row>
    <row r="138" spans="1:81" x14ac:dyDescent="0.3">
      <c r="A138" s="7">
        <v>50</v>
      </c>
      <c r="B138" s="150" t="s">
        <v>155</v>
      </c>
      <c r="C138" s="150"/>
      <c r="D138" s="150"/>
      <c r="E138" s="150"/>
      <c r="F138" s="20">
        <f t="shared" ref="F138:AK138" si="104">IF(F56=".",0,F56/F$83)</f>
        <v>0</v>
      </c>
      <c r="G138" s="20">
        <f t="shared" si="104"/>
        <v>2.7621796212208174E-3</v>
      </c>
      <c r="H138" s="20">
        <f t="shared" si="104"/>
        <v>2.8596338273757631E-4</v>
      </c>
      <c r="I138" s="20">
        <f t="shared" si="104"/>
        <v>0</v>
      </c>
      <c r="J138" s="20">
        <f t="shared" si="104"/>
        <v>9.7008345743922614E-3</v>
      </c>
      <c r="K138" s="20">
        <f t="shared" si="104"/>
        <v>1.3643634021799824E-3</v>
      </c>
      <c r="L138" s="20">
        <f t="shared" si="104"/>
        <v>1.0550688987497336E-3</v>
      </c>
      <c r="M138" s="20">
        <f t="shared" si="104"/>
        <v>3.3099611455987343E-4</v>
      </c>
      <c r="N138" s="20">
        <f t="shared" si="104"/>
        <v>2.4991731629962705E-3</v>
      </c>
      <c r="O138" s="20">
        <f t="shared" si="104"/>
        <v>0</v>
      </c>
      <c r="P138" s="20">
        <f t="shared" si="104"/>
        <v>2.091164859494819E-3</v>
      </c>
      <c r="Q138" s="20">
        <f t="shared" si="104"/>
        <v>2.3985920438030817E-2</v>
      </c>
      <c r="R138" s="20">
        <f t="shared" si="104"/>
        <v>1.3299288389686512E-3</v>
      </c>
      <c r="S138" s="20">
        <f t="shared" si="104"/>
        <v>2.5256638500013814E-3</v>
      </c>
      <c r="T138" s="20">
        <f t="shared" si="104"/>
        <v>0</v>
      </c>
      <c r="U138" s="20">
        <f t="shared" si="104"/>
        <v>0</v>
      </c>
      <c r="V138" s="20">
        <f t="shared" si="104"/>
        <v>1.6196959480049772E-5</v>
      </c>
      <c r="W138" s="20">
        <f t="shared" si="104"/>
        <v>0</v>
      </c>
      <c r="X138" s="20">
        <f t="shared" si="104"/>
        <v>4.1543249490094154E-3</v>
      </c>
      <c r="Y138" s="20">
        <f t="shared" si="104"/>
        <v>1.2132226858227722E-4</v>
      </c>
      <c r="Z138" s="20">
        <f t="shared" si="104"/>
        <v>9.6518706905571812E-4</v>
      </c>
      <c r="AA138" s="20">
        <f t="shared" si="104"/>
        <v>2.1602085731165354E-3</v>
      </c>
      <c r="AB138" s="20">
        <f t="shared" si="104"/>
        <v>0</v>
      </c>
      <c r="AC138" s="20">
        <f t="shared" si="104"/>
        <v>0</v>
      </c>
      <c r="AD138" s="20">
        <f t="shared" si="104"/>
        <v>0</v>
      </c>
      <c r="AE138" s="20">
        <f t="shared" si="104"/>
        <v>0</v>
      </c>
      <c r="AF138" s="20">
        <f t="shared" si="104"/>
        <v>8.552890185635891E-4</v>
      </c>
      <c r="AG138" s="20">
        <f t="shared" si="104"/>
        <v>7.601711578859874E-4</v>
      </c>
      <c r="AH138" s="20">
        <f t="shared" si="104"/>
        <v>1.8357658766716743E-3</v>
      </c>
      <c r="AI138" s="20">
        <f t="shared" si="104"/>
        <v>3.4917474986497485E-2</v>
      </c>
      <c r="AJ138" s="20">
        <f t="shared" si="104"/>
        <v>1.9543322863841917E-2</v>
      </c>
      <c r="AK138" s="20">
        <f t="shared" si="104"/>
        <v>2.768535634027108E-2</v>
      </c>
      <c r="AL138" s="20">
        <f t="shared" ref="AL138:BS138" si="105">IF(AL56=".",0,AL56/AL$83)</f>
        <v>8.9025622527121853E-4</v>
      </c>
      <c r="AM138" s="20">
        <f t="shared" si="105"/>
        <v>0</v>
      </c>
      <c r="AN138" s="20">
        <f t="shared" si="105"/>
        <v>2.8293099887113388E-3</v>
      </c>
      <c r="AO138" s="20">
        <f t="shared" si="105"/>
        <v>2.2415144316410554E-3</v>
      </c>
      <c r="AP138" s="20">
        <f t="shared" si="105"/>
        <v>5.1204764348666536E-3</v>
      </c>
      <c r="AQ138" s="20">
        <f t="shared" si="105"/>
        <v>1.3071261638075289E-2</v>
      </c>
      <c r="AR138" s="20">
        <f t="shared" si="105"/>
        <v>2.5207703812967708E-2</v>
      </c>
      <c r="AS138" s="20">
        <f t="shared" si="105"/>
        <v>6.759966192735601E-3</v>
      </c>
      <c r="AT138" s="20">
        <f t="shared" si="105"/>
        <v>1.0654048841789129E-2</v>
      </c>
      <c r="AU138" s="20">
        <f t="shared" si="105"/>
        <v>3.8732240271599078E-3</v>
      </c>
      <c r="AV138" s="20">
        <f t="shared" si="105"/>
        <v>3.8237252910460853E-3</v>
      </c>
      <c r="AW138" s="20">
        <f t="shared" si="105"/>
        <v>4.7279432728853984E-3</v>
      </c>
      <c r="AX138" s="20">
        <f t="shared" si="105"/>
        <v>1.4057607228959278E-2</v>
      </c>
      <c r="AY138" s="20">
        <f t="shared" si="105"/>
        <v>1.8730061943657249E-3</v>
      </c>
      <c r="AZ138" s="20">
        <f t="shared" si="105"/>
        <v>1.2824841756562075E-2</v>
      </c>
      <c r="BA138" s="20">
        <f t="shared" si="105"/>
        <v>3.9465334629605045E-3</v>
      </c>
      <c r="BB138" s="20">
        <f t="shared" si="105"/>
        <v>3.5776262841096026E-3</v>
      </c>
      <c r="BC138" s="20">
        <f t="shared" si="105"/>
        <v>5.678007017563997E-2</v>
      </c>
      <c r="BD138" s="20">
        <f t="shared" si="105"/>
        <v>3.494232086974336E-2</v>
      </c>
      <c r="BE138" s="20">
        <f t="shared" si="105"/>
        <v>2.780591136205106E-3</v>
      </c>
      <c r="BF138" s="20">
        <f t="shared" si="105"/>
        <v>2.6593608784705376E-3</v>
      </c>
      <c r="BG138" s="20">
        <f t="shared" si="105"/>
        <v>1.8515426890346798E-2</v>
      </c>
      <c r="BH138" s="20">
        <f t="shared" si="105"/>
        <v>1.0093544350542908E-2</v>
      </c>
      <c r="BI138" s="20">
        <f t="shared" si="105"/>
        <v>2.2054282661571022E-3</v>
      </c>
      <c r="BJ138" s="20">
        <f t="shared" si="105"/>
        <v>1.6218531735055397E-3</v>
      </c>
      <c r="BK138" s="20">
        <f t="shared" si="105"/>
        <v>1.1618111774555147E-3</v>
      </c>
      <c r="BL138" s="20">
        <f t="shared" si="105"/>
        <v>7.6024431714875418E-4</v>
      </c>
      <c r="BM138" s="20">
        <f t="shared" si="105"/>
        <v>2.1214310364661225E-2</v>
      </c>
      <c r="BN138" s="20">
        <f t="shared" si="105"/>
        <v>1.9345149507751083E-2</v>
      </c>
      <c r="BO138" s="20">
        <f t="shared" si="105"/>
        <v>1.9984844340616717E-2</v>
      </c>
      <c r="BP138" s="20">
        <f t="shared" si="105"/>
        <v>7.4466636966636964E-3</v>
      </c>
      <c r="BQ138" s="20">
        <f t="shared" si="105"/>
        <v>4.6010801045626697E-3</v>
      </c>
      <c r="BR138" s="20">
        <f t="shared" si="105"/>
        <v>0</v>
      </c>
      <c r="BS138" s="20">
        <f t="shared" si="105"/>
        <v>7.0997489124260691E-3</v>
      </c>
      <c r="BT138" s="164">
        <f t="shared" si="69"/>
        <v>0</v>
      </c>
      <c r="BU138" s="164"/>
      <c r="BV138" s="164">
        <f t="shared" si="70"/>
        <v>0</v>
      </c>
      <c r="BW138" s="162"/>
      <c r="BX138" s="163">
        <f t="shared" si="71"/>
        <v>0</v>
      </c>
      <c r="BY138" s="164"/>
      <c r="BZ138" s="164"/>
      <c r="CA138" s="164"/>
      <c r="CB138" s="165"/>
      <c r="CC138" s="166"/>
    </row>
    <row r="139" spans="1:81" x14ac:dyDescent="0.3">
      <c r="A139" s="7">
        <v>51</v>
      </c>
      <c r="B139" s="150" t="s">
        <v>156</v>
      </c>
      <c r="C139" s="150"/>
      <c r="D139" s="150"/>
      <c r="E139" s="150"/>
      <c r="F139" s="20">
        <f t="shared" ref="F139:AK139" si="106">IF(F57=".",0,F57/F$83)</f>
        <v>8.6406938443243479E-3</v>
      </c>
      <c r="G139" s="20">
        <f t="shared" si="106"/>
        <v>7.6925678363021568E-4</v>
      </c>
      <c r="H139" s="20">
        <f t="shared" si="106"/>
        <v>4.3382737576285965E-4</v>
      </c>
      <c r="I139" s="20">
        <f t="shared" si="106"/>
        <v>0</v>
      </c>
      <c r="J139" s="20">
        <f t="shared" si="106"/>
        <v>3.9545217204345107E-4</v>
      </c>
      <c r="K139" s="20">
        <f t="shared" si="106"/>
        <v>1.5525881271884445E-4</v>
      </c>
      <c r="L139" s="20">
        <f t="shared" si="106"/>
        <v>1.0730538864235936E-4</v>
      </c>
      <c r="M139" s="20">
        <f t="shared" si="106"/>
        <v>1.1611660148399568E-4</v>
      </c>
      <c r="N139" s="20">
        <f t="shared" si="106"/>
        <v>3.2866122906858236E-4</v>
      </c>
      <c r="O139" s="20">
        <f t="shared" si="106"/>
        <v>0</v>
      </c>
      <c r="P139" s="20">
        <f t="shared" si="106"/>
        <v>9.0493039172006272E-5</v>
      </c>
      <c r="Q139" s="20">
        <f t="shared" si="106"/>
        <v>0</v>
      </c>
      <c r="R139" s="20">
        <f t="shared" si="106"/>
        <v>5.6037906692338172E-4</v>
      </c>
      <c r="S139" s="20">
        <f t="shared" si="106"/>
        <v>9.0705766591130132E-4</v>
      </c>
      <c r="T139" s="20">
        <f t="shared" si="106"/>
        <v>4.0210965282780517E-6</v>
      </c>
      <c r="U139" s="20">
        <f t="shared" si="106"/>
        <v>5.0899483201259903E-4</v>
      </c>
      <c r="V139" s="20">
        <f t="shared" si="106"/>
        <v>2.7384550048743943E-5</v>
      </c>
      <c r="W139" s="20">
        <f t="shared" si="106"/>
        <v>0</v>
      </c>
      <c r="X139" s="20">
        <f t="shared" si="106"/>
        <v>0</v>
      </c>
      <c r="Y139" s="20">
        <f t="shared" si="106"/>
        <v>1.0558640998398186E-4</v>
      </c>
      <c r="Z139" s="20">
        <f t="shared" si="106"/>
        <v>1.5908503682444912E-4</v>
      </c>
      <c r="AA139" s="20">
        <f t="shared" si="106"/>
        <v>2.1262587576125641E-3</v>
      </c>
      <c r="AB139" s="20">
        <f t="shared" si="106"/>
        <v>0</v>
      </c>
      <c r="AC139" s="20">
        <f t="shared" si="106"/>
        <v>6.2070170006091135E-4</v>
      </c>
      <c r="AD139" s="20">
        <f t="shared" si="106"/>
        <v>0</v>
      </c>
      <c r="AE139" s="20">
        <f t="shared" si="106"/>
        <v>5.8536224292684147E-5</v>
      </c>
      <c r="AF139" s="20">
        <f t="shared" si="106"/>
        <v>1.3412252402082819E-5</v>
      </c>
      <c r="AG139" s="20">
        <f t="shared" si="106"/>
        <v>0</v>
      </c>
      <c r="AH139" s="20">
        <f t="shared" si="106"/>
        <v>1.6503369444005396E-3</v>
      </c>
      <c r="AI139" s="20">
        <f t="shared" si="106"/>
        <v>7.5752040195335517E-4</v>
      </c>
      <c r="AJ139" s="20">
        <f t="shared" si="106"/>
        <v>2.0286855539781538E-3</v>
      </c>
      <c r="AK139" s="20">
        <f t="shared" si="106"/>
        <v>1.2142727491199457E-3</v>
      </c>
      <c r="AL139" s="20">
        <f t="shared" ref="AL139:BS139" si="107">IF(AL57=".",0,AL57/AL$83)</f>
        <v>4.0478814905411915E-4</v>
      </c>
      <c r="AM139" s="20">
        <f t="shared" si="107"/>
        <v>0</v>
      </c>
      <c r="AN139" s="20">
        <f t="shared" si="107"/>
        <v>0</v>
      </c>
      <c r="AO139" s="20">
        <f t="shared" si="107"/>
        <v>1.6052450707775194E-3</v>
      </c>
      <c r="AP139" s="20">
        <f t="shared" si="107"/>
        <v>0</v>
      </c>
      <c r="AQ139" s="20">
        <f t="shared" si="107"/>
        <v>1.3201137587289941E-3</v>
      </c>
      <c r="AR139" s="20">
        <f t="shared" si="107"/>
        <v>2.0183873522964781E-2</v>
      </c>
      <c r="AS139" s="20">
        <f t="shared" si="107"/>
        <v>2.0100752784007411E-2</v>
      </c>
      <c r="AT139" s="20">
        <f t="shared" si="107"/>
        <v>0</v>
      </c>
      <c r="AU139" s="20">
        <f t="shared" si="107"/>
        <v>1.4791007067702837E-3</v>
      </c>
      <c r="AV139" s="20">
        <f t="shared" si="107"/>
        <v>3.3501807685939588E-3</v>
      </c>
      <c r="AW139" s="20">
        <f t="shared" si="107"/>
        <v>1.017379550260806E-3</v>
      </c>
      <c r="AX139" s="20">
        <f t="shared" si="107"/>
        <v>1.2728685728165489E-3</v>
      </c>
      <c r="AY139" s="20">
        <f t="shared" si="107"/>
        <v>9.9187344865266401E-5</v>
      </c>
      <c r="AZ139" s="20">
        <f t="shared" si="107"/>
        <v>7.9455914190382105E-3</v>
      </c>
      <c r="BA139" s="20">
        <f t="shared" si="107"/>
        <v>5.2670490979590395E-3</v>
      </c>
      <c r="BB139" s="20">
        <f t="shared" si="107"/>
        <v>9.772219942706785E-4</v>
      </c>
      <c r="BC139" s="20">
        <f t="shared" si="107"/>
        <v>4.6562562996303259E-3</v>
      </c>
      <c r="BD139" s="20">
        <f t="shared" si="107"/>
        <v>2.7301690461221117E-2</v>
      </c>
      <c r="BE139" s="20">
        <f t="shared" si="107"/>
        <v>1.3396459407535158E-4</v>
      </c>
      <c r="BF139" s="20">
        <f t="shared" si="107"/>
        <v>2.6476082401664697E-3</v>
      </c>
      <c r="BG139" s="20">
        <f t="shared" si="107"/>
        <v>6.1432322922400796E-3</v>
      </c>
      <c r="BH139" s="20">
        <f t="shared" si="107"/>
        <v>1.9125980674762684E-3</v>
      </c>
      <c r="BI139" s="20">
        <f t="shared" si="107"/>
        <v>9.7199792847613869E-4</v>
      </c>
      <c r="BJ139" s="20">
        <f t="shared" si="107"/>
        <v>4.2985442233134228E-4</v>
      </c>
      <c r="BK139" s="20">
        <f t="shared" si="107"/>
        <v>2.1839673028895224E-5</v>
      </c>
      <c r="BL139" s="20">
        <f t="shared" si="107"/>
        <v>2.0879246029446727E-4</v>
      </c>
      <c r="BM139" s="20">
        <f t="shared" si="107"/>
        <v>1.2451397676291271E-3</v>
      </c>
      <c r="BN139" s="20">
        <f t="shared" si="107"/>
        <v>3.6307888537139845E-4</v>
      </c>
      <c r="BO139" s="20">
        <f t="shared" si="107"/>
        <v>1.7328568417937482E-2</v>
      </c>
      <c r="BP139" s="20">
        <f t="shared" si="107"/>
        <v>0</v>
      </c>
      <c r="BQ139" s="20">
        <f t="shared" si="107"/>
        <v>5.3430597182695338E-5</v>
      </c>
      <c r="BR139" s="20">
        <f t="shared" si="107"/>
        <v>0</v>
      </c>
      <c r="BS139" s="20">
        <f t="shared" si="107"/>
        <v>1.7119454307308296E-3</v>
      </c>
      <c r="BT139" s="164">
        <f t="shared" si="69"/>
        <v>1.3968692468337861E-3</v>
      </c>
      <c r="BU139" s="164"/>
      <c r="BV139" s="164">
        <f t="shared" si="70"/>
        <v>0</v>
      </c>
      <c r="BW139" s="162"/>
      <c r="BX139" s="163">
        <f t="shared" si="71"/>
        <v>0</v>
      </c>
      <c r="BY139" s="164"/>
      <c r="BZ139" s="164"/>
      <c r="CA139" s="164"/>
      <c r="CB139" s="165"/>
      <c r="CC139" s="166"/>
    </row>
    <row r="140" spans="1:81" x14ac:dyDescent="0.3">
      <c r="A140" s="7">
        <v>52</v>
      </c>
      <c r="B140" s="150" t="s">
        <v>157</v>
      </c>
      <c r="C140" s="150"/>
      <c r="D140" s="150"/>
      <c r="E140" s="150"/>
      <c r="F140" s="20">
        <f t="shared" ref="F140:AK140" si="108">IF(F58=".",0,F58/F$83)</f>
        <v>1.4928412096142959E-3</v>
      </c>
      <c r="G140" s="20">
        <f t="shared" si="108"/>
        <v>5.1909352495368979E-3</v>
      </c>
      <c r="H140" s="20">
        <f t="shared" si="108"/>
        <v>1.214158674803836E-2</v>
      </c>
      <c r="I140" s="20">
        <f t="shared" si="108"/>
        <v>2.522995644688593E-3</v>
      </c>
      <c r="J140" s="20">
        <f t="shared" si="108"/>
        <v>2.833138675439004E-3</v>
      </c>
      <c r="K140" s="20">
        <f t="shared" si="108"/>
        <v>1.6556331885066366E-3</v>
      </c>
      <c r="L140" s="20">
        <f t="shared" si="108"/>
        <v>1.7057022763629125E-3</v>
      </c>
      <c r="M140" s="20">
        <f t="shared" si="108"/>
        <v>6.3417528502797643E-4</v>
      </c>
      <c r="N140" s="20">
        <f t="shared" si="108"/>
        <v>2.3949761487332029E-3</v>
      </c>
      <c r="O140" s="20">
        <f t="shared" si="108"/>
        <v>1.5408046843045657E-3</v>
      </c>
      <c r="P140" s="20">
        <f t="shared" si="108"/>
        <v>3.3204223036073523E-3</v>
      </c>
      <c r="Q140" s="20">
        <f t="shared" si="108"/>
        <v>2.8554667188131926E-4</v>
      </c>
      <c r="R140" s="20">
        <f t="shared" si="108"/>
        <v>1.3770542547471003E-3</v>
      </c>
      <c r="S140" s="20">
        <f t="shared" si="108"/>
        <v>1.7817289200179459E-3</v>
      </c>
      <c r="T140" s="20">
        <f t="shared" si="108"/>
        <v>1.7058728733425736E-4</v>
      </c>
      <c r="U140" s="20">
        <f t="shared" si="108"/>
        <v>8.7444530899782099E-3</v>
      </c>
      <c r="V140" s="20">
        <f t="shared" si="108"/>
        <v>3.0416331433205492E-3</v>
      </c>
      <c r="W140" s="20">
        <f t="shared" si="108"/>
        <v>2.0295145250350849E-3</v>
      </c>
      <c r="X140" s="20">
        <f t="shared" si="108"/>
        <v>1.5897502816920709E-4</v>
      </c>
      <c r="Y140" s="20">
        <f t="shared" si="108"/>
        <v>2.1453620959202685E-4</v>
      </c>
      <c r="Z140" s="20">
        <f t="shared" si="108"/>
        <v>0</v>
      </c>
      <c r="AA140" s="20">
        <f t="shared" si="108"/>
        <v>1.2188590012631149E-3</v>
      </c>
      <c r="AB140" s="20">
        <f t="shared" si="108"/>
        <v>5.5281431506298594E-3</v>
      </c>
      <c r="AC140" s="20">
        <f t="shared" si="108"/>
        <v>7.2219745713339955E-4</v>
      </c>
      <c r="AD140" s="20">
        <f t="shared" si="108"/>
        <v>3.8846128778893992E-2</v>
      </c>
      <c r="AE140" s="20">
        <f t="shared" si="108"/>
        <v>1.2904405058587207E-2</v>
      </c>
      <c r="AF140" s="20">
        <f t="shared" si="108"/>
        <v>6.1366213298145083E-3</v>
      </c>
      <c r="AG140" s="20">
        <f t="shared" si="108"/>
        <v>2.0149104374535945E-2</v>
      </c>
      <c r="AH140" s="20">
        <f t="shared" si="108"/>
        <v>1.5283544611629214E-2</v>
      </c>
      <c r="AI140" s="20">
        <f t="shared" si="108"/>
        <v>3.281225808528479E-3</v>
      </c>
      <c r="AJ140" s="20">
        <f t="shared" si="108"/>
        <v>1.4090012927417754E-2</v>
      </c>
      <c r="AK140" s="20">
        <f t="shared" si="108"/>
        <v>6.3244627801557476E-3</v>
      </c>
      <c r="AL140" s="20">
        <f t="shared" ref="AL140:BS140" si="109">IF(AL58=".",0,AL58/AL$83)</f>
        <v>2.1510554783387915E-2</v>
      </c>
      <c r="AM140" s="20">
        <f t="shared" si="109"/>
        <v>0.25179188266481983</v>
      </c>
      <c r="AN140" s="20">
        <f t="shared" si="109"/>
        <v>6.9916302827101623E-2</v>
      </c>
      <c r="AO140" s="20">
        <f t="shared" si="109"/>
        <v>1.322919662177734E-2</v>
      </c>
      <c r="AP140" s="20">
        <f t="shared" si="109"/>
        <v>7.6110261533772223E-3</v>
      </c>
      <c r="AQ140" s="20">
        <f t="shared" si="109"/>
        <v>8.793581957675144E-3</v>
      </c>
      <c r="AR140" s="20">
        <f t="shared" si="109"/>
        <v>4.3287548931245758E-3</v>
      </c>
      <c r="AS140" s="20">
        <f t="shared" si="109"/>
        <v>7.4118784811707363E-3</v>
      </c>
      <c r="AT140" s="20">
        <f t="shared" si="109"/>
        <v>2.5374937020474159E-3</v>
      </c>
      <c r="AU140" s="20">
        <f t="shared" si="109"/>
        <v>1.5105131869297151E-2</v>
      </c>
      <c r="AV140" s="20">
        <f t="shared" si="109"/>
        <v>7.4926914133064473E-3</v>
      </c>
      <c r="AW140" s="20">
        <f t="shared" si="109"/>
        <v>2.5151427510681456E-2</v>
      </c>
      <c r="AX140" s="20">
        <f t="shared" si="109"/>
        <v>2.3320353577198603E-3</v>
      </c>
      <c r="AY140" s="20">
        <f t="shared" si="109"/>
        <v>3.362632615775621E-3</v>
      </c>
      <c r="AZ140" s="20">
        <f t="shared" si="109"/>
        <v>7.076550679175243E-3</v>
      </c>
      <c r="BA140" s="20">
        <f t="shared" si="109"/>
        <v>1.144057646279302E-2</v>
      </c>
      <c r="BB140" s="20">
        <f t="shared" si="109"/>
        <v>9.7112376765003706E-3</v>
      </c>
      <c r="BC140" s="20">
        <f t="shared" si="109"/>
        <v>1.0647227158302672E-2</v>
      </c>
      <c r="BD140" s="20">
        <f t="shared" si="109"/>
        <v>9.0902026716775334E-3</v>
      </c>
      <c r="BE140" s="20">
        <f t="shared" si="109"/>
        <v>1.4268697374165496E-2</v>
      </c>
      <c r="BF140" s="20">
        <f t="shared" si="109"/>
        <v>4.3073419384409856E-3</v>
      </c>
      <c r="BG140" s="20">
        <f t="shared" si="109"/>
        <v>1.2532374360408978E-3</v>
      </c>
      <c r="BH140" s="20">
        <f t="shared" si="109"/>
        <v>1.603803410742324E-2</v>
      </c>
      <c r="BI140" s="20">
        <f t="shared" si="109"/>
        <v>2.0035089257143513E-3</v>
      </c>
      <c r="BJ140" s="20">
        <f t="shared" si="109"/>
        <v>3.9061180596825533E-3</v>
      </c>
      <c r="BK140" s="20">
        <f t="shared" si="109"/>
        <v>4.2623019015372455E-3</v>
      </c>
      <c r="BL140" s="20">
        <f t="shared" si="109"/>
        <v>3.1908283166532467E-3</v>
      </c>
      <c r="BM140" s="20">
        <f t="shared" si="109"/>
        <v>6.9471988956631781E-3</v>
      </c>
      <c r="BN140" s="20">
        <f t="shared" si="109"/>
        <v>1.2443703616819748E-2</v>
      </c>
      <c r="BO140" s="20">
        <f t="shared" si="109"/>
        <v>2.0708549495782873E-2</v>
      </c>
      <c r="BP140" s="20">
        <f t="shared" si="109"/>
        <v>4.0930353430353433E-3</v>
      </c>
      <c r="BQ140" s="20">
        <f t="shared" si="109"/>
        <v>4.8611762191501304E-3</v>
      </c>
      <c r="BR140" s="20">
        <f t="shared" si="109"/>
        <v>0</v>
      </c>
      <c r="BS140" s="20">
        <f t="shared" si="109"/>
        <v>1.2894242840601625E-2</v>
      </c>
      <c r="BT140" s="164">
        <f t="shared" si="69"/>
        <v>5.8601756509738378E-3</v>
      </c>
      <c r="BU140" s="164"/>
      <c r="BV140" s="164">
        <f t="shared" si="70"/>
        <v>0</v>
      </c>
      <c r="BW140" s="162"/>
      <c r="BX140" s="163">
        <f t="shared" si="71"/>
        <v>0</v>
      </c>
      <c r="BY140" s="164"/>
      <c r="BZ140" s="164"/>
      <c r="CA140" s="164"/>
      <c r="CB140" s="165"/>
      <c r="CC140" s="166"/>
    </row>
    <row r="141" spans="1:81" x14ac:dyDescent="0.3">
      <c r="A141" s="7">
        <v>53</v>
      </c>
      <c r="B141" s="150" t="s">
        <v>158</v>
      </c>
      <c r="C141" s="150"/>
      <c r="D141" s="150"/>
      <c r="E141" s="150"/>
      <c r="F141" s="20">
        <f t="shared" ref="F141:AK141" si="110">IF(F59=".",0,F59/F$83)</f>
        <v>1.2918195848392157E-4</v>
      </c>
      <c r="G141" s="20">
        <f t="shared" si="110"/>
        <v>6.9066398530267033E-6</v>
      </c>
      <c r="H141" s="20">
        <f t="shared" si="110"/>
        <v>5.7778552746294686E-3</v>
      </c>
      <c r="I141" s="20">
        <f t="shared" si="110"/>
        <v>1.4409632446300378E-5</v>
      </c>
      <c r="J141" s="20">
        <f t="shared" si="110"/>
        <v>8.48592910882387E-5</v>
      </c>
      <c r="K141" s="20">
        <f t="shared" si="110"/>
        <v>1.4419928085394047E-4</v>
      </c>
      <c r="L141" s="20">
        <f t="shared" si="110"/>
        <v>2.9191599741227762E-4</v>
      </c>
      <c r="M141" s="20">
        <f t="shared" si="110"/>
        <v>2.6030534838170462E-5</v>
      </c>
      <c r="N141" s="20">
        <f t="shared" si="110"/>
        <v>4.4426289165895127E-4</v>
      </c>
      <c r="O141" s="20">
        <f t="shared" si="110"/>
        <v>0</v>
      </c>
      <c r="P141" s="20">
        <f t="shared" si="110"/>
        <v>3.2370652869529099E-5</v>
      </c>
      <c r="Q141" s="20">
        <f t="shared" si="110"/>
        <v>0</v>
      </c>
      <c r="R141" s="20">
        <f t="shared" si="110"/>
        <v>2.8109897131004692E-5</v>
      </c>
      <c r="S141" s="20">
        <f t="shared" si="110"/>
        <v>0</v>
      </c>
      <c r="T141" s="20">
        <f t="shared" si="110"/>
        <v>0</v>
      </c>
      <c r="U141" s="20">
        <f t="shared" si="110"/>
        <v>9.9039151247296334E-4</v>
      </c>
      <c r="V141" s="20">
        <f t="shared" si="110"/>
        <v>1.8078255804536653E-3</v>
      </c>
      <c r="W141" s="20">
        <f t="shared" si="110"/>
        <v>2.5180748036685751E-5</v>
      </c>
      <c r="X141" s="20">
        <f t="shared" si="110"/>
        <v>9.4145631374567931E-6</v>
      </c>
      <c r="Y141" s="20">
        <f t="shared" si="110"/>
        <v>3.2708964094013942E-4</v>
      </c>
      <c r="Z141" s="20">
        <f t="shared" si="110"/>
        <v>0</v>
      </c>
      <c r="AA141" s="20">
        <f t="shared" si="110"/>
        <v>2.3567840673515837E-4</v>
      </c>
      <c r="AB141" s="20">
        <f t="shared" si="110"/>
        <v>0</v>
      </c>
      <c r="AC141" s="20">
        <f t="shared" si="110"/>
        <v>1.6041076324111272E-4</v>
      </c>
      <c r="AD141" s="20">
        <f t="shared" si="110"/>
        <v>0</v>
      </c>
      <c r="AE141" s="20">
        <f t="shared" si="110"/>
        <v>0</v>
      </c>
      <c r="AF141" s="20">
        <f t="shared" si="110"/>
        <v>1.7539099295031378E-5</v>
      </c>
      <c r="AG141" s="20">
        <f t="shared" si="110"/>
        <v>6.8677735473995758E-5</v>
      </c>
      <c r="AH141" s="20">
        <f t="shared" si="110"/>
        <v>5.8132505064655341E-4</v>
      </c>
      <c r="AI141" s="20">
        <f t="shared" si="110"/>
        <v>2.0004670311280846E-4</v>
      </c>
      <c r="AJ141" s="20">
        <f t="shared" si="110"/>
        <v>3.2130315828396265E-4</v>
      </c>
      <c r="AK141" s="20">
        <f t="shared" si="110"/>
        <v>1.2902232393746458E-3</v>
      </c>
      <c r="AL141" s="20">
        <f t="shared" ref="AL141:BS141" si="111">IF(AL59=".",0,AL59/AL$83)</f>
        <v>1.5088754131649033E-3</v>
      </c>
      <c r="AM141" s="20">
        <f t="shared" si="111"/>
        <v>9.2482268323717171E-2</v>
      </c>
      <c r="AN141" s="20">
        <f t="shared" si="111"/>
        <v>3.7146060205326321E-3</v>
      </c>
      <c r="AO141" s="20">
        <f t="shared" si="111"/>
        <v>3.7768262272431055E-4</v>
      </c>
      <c r="AP141" s="20">
        <f t="shared" si="111"/>
        <v>6.6041250381007209E-4</v>
      </c>
      <c r="AQ141" s="20">
        <f t="shared" si="111"/>
        <v>1.3042030797753392E-2</v>
      </c>
      <c r="AR141" s="20">
        <f t="shared" si="111"/>
        <v>3.6033533445499655E-3</v>
      </c>
      <c r="AS141" s="20">
        <f t="shared" si="111"/>
        <v>0</v>
      </c>
      <c r="AT141" s="20">
        <f t="shared" si="111"/>
        <v>7.323878209339722E-4</v>
      </c>
      <c r="AU141" s="20">
        <f t="shared" si="111"/>
        <v>5.3420152126454486E-4</v>
      </c>
      <c r="AV141" s="20">
        <f t="shared" si="111"/>
        <v>0</v>
      </c>
      <c r="AW141" s="20">
        <f t="shared" si="111"/>
        <v>6.8372281603548789E-6</v>
      </c>
      <c r="AX141" s="20">
        <f t="shared" si="111"/>
        <v>7.1409094704341246E-4</v>
      </c>
      <c r="AY141" s="20">
        <f t="shared" si="111"/>
        <v>1.0380364296047081E-3</v>
      </c>
      <c r="AZ141" s="20">
        <f t="shared" si="111"/>
        <v>5.4682860711156801E-4</v>
      </c>
      <c r="BA141" s="20">
        <f t="shared" si="111"/>
        <v>2.4762170396561722E-3</v>
      </c>
      <c r="BB141" s="20">
        <f t="shared" si="111"/>
        <v>5.3604164862921654E-4</v>
      </c>
      <c r="BC141" s="20">
        <f t="shared" si="111"/>
        <v>4.8280725516542782E-4</v>
      </c>
      <c r="BD141" s="20">
        <f t="shared" si="111"/>
        <v>2.3862841642000861E-3</v>
      </c>
      <c r="BE141" s="20">
        <f t="shared" si="111"/>
        <v>0</v>
      </c>
      <c r="BF141" s="20">
        <f t="shared" si="111"/>
        <v>6.9541013769521626E-2</v>
      </c>
      <c r="BG141" s="20">
        <f t="shared" si="111"/>
        <v>4.1398572369667823E-4</v>
      </c>
      <c r="BH141" s="20">
        <f t="shared" si="111"/>
        <v>3.249211607894814E-3</v>
      </c>
      <c r="BI141" s="20">
        <f t="shared" si="111"/>
        <v>2.4113053722564441E-4</v>
      </c>
      <c r="BJ141" s="20">
        <f t="shared" si="111"/>
        <v>0</v>
      </c>
      <c r="BK141" s="20">
        <f t="shared" si="111"/>
        <v>3.3279501758316534E-5</v>
      </c>
      <c r="BL141" s="20">
        <f t="shared" si="111"/>
        <v>1.2187885242069383E-4</v>
      </c>
      <c r="BM141" s="20">
        <f t="shared" si="111"/>
        <v>4.3345220292189123E-4</v>
      </c>
      <c r="BN141" s="20">
        <f t="shared" si="111"/>
        <v>6.4246101469939013E-5</v>
      </c>
      <c r="BO141" s="20">
        <f t="shared" si="111"/>
        <v>8.223514588443137E-4</v>
      </c>
      <c r="BP141" s="20">
        <f t="shared" si="111"/>
        <v>0</v>
      </c>
      <c r="BQ141" s="20">
        <f t="shared" si="111"/>
        <v>1.6069504133814408E-3</v>
      </c>
      <c r="BR141" s="20">
        <f t="shared" si="111"/>
        <v>0</v>
      </c>
      <c r="BS141" s="20">
        <f t="shared" si="111"/>
        <v>2.7312148497822823E-3</v>
      </c>
      <c r="BT141" s="164">
        <f t="shared" si="69"/>
        <v>1.4111732162510647E-4</v>
      </c>
      <c r="BU141" s="164"/>
      <c r="BV141" s="164">
        <f t="shared" si="70"/>
        <v>0</v>
      </c>
      <c r="BW141" s="162"/>
      <c r="BX141" s="163">
        <f t="shared" si="71"/>
        <v>0</v>
      </c>
      <c r="BY141" s="164"/>
      <c r="BZ141" s="164"/>
      <c r="CA141" s="164"/>
      <c r="CB141" s="165"/>
      <c r="CC141" s="166"/>
    </row>
    <row r="142" spans="1:81" x14ac:dyDescent="0.3">
      <c r="A142" s="7">
        <v>54</v>
      </c>
      <c r="B142" s="150" t="s">
        <v>159</v>
      </c>
      <c r="C142" s="150"/>
      <c r="D142" s="150"/>
      <c r="E142" s="150"/>
      <c r="F142" s="20">
        <f t="shared" ref="F142:AK142" si="112">IF(F60=".",0,F60/F$83)</f>
        <v>0</v>
      </c>
      <c r="G142" s="20">
        <f t="shared" si="112"/>
        <v>8.0974398276864804E-5</v>
      </c>
      <c r="H142" s="20">
        <f t="shared" si="112"/>
        <v>5.8587619877942453E-5</v>
      </c>
      <c r="I142" s="20">
        <f t="shared" si="112"/>
        <v>2.5871840074039317E-5</v>
      </c>
      <c r="J142" s="20">
        <f t="shared" si="112"/>
        <v>9.189808379451372E-5</v>
      </c>
      <c r="K142" s="20">
        <f t="shared" si="112"/>
        <v>1.6674371119393706E-4</v>
      </c>
      <c r="L142" s="20">
        <f t="shared" si="112"/>
        <v>1.4206628918847579E-5</v>
      </c>
      <c r="M142" s="20">
        <f t="shared" si="112"/>
        <v>0</v>
      </c>
      <c r="N142" s="20">
        <f t="shared" si="112"/>
        <v>3.7324303616621343E-5</v>
      </c>
      <c r="O142" s="20">
        <f t="shared" si="112"/>
        <v>0</v>
      </c>
      <c r="P142" s="20">
        <f t="shared" si="112"/>
        <v>1.8801868024537988E-4</v>
      </c>
      <c r="Q142" s="20">
        <f t="shared" si="112"/>
        <v>0</v>
      </c>
      <c r="R142" s="20">
        <f t="shared" si="112"/>
        <v>3.3731876557205631E-5</v>
      </c>
      <c r="S142" s="20">
        <f t="shared" si="112"/>
        <v>7.9537217226141935E-5</v>
      </c>
      <c r="T142" s="20">
        <f t="shared" si="112"/>
        <v>4.3304116458379026E-6</v>
      </c>
      <c r="U142" s="20">
        <f t="shared" si="112"/>
        <v>3.5665303544426356E-6</v>
      </c>
      <c r="V142" s="20">
        <f t="shared" si="112"/>
        <v>1.4799902150327266E-4</v>
      </c>
      <c r="W142" s="20">
        <f t="shared" si="112"/>
        <v>2.4311519367803714E-4</v>
      </c>
      <c r="X142" s="20">
        <f t="shared" si="112"/>
        <v>6.196927634781686E-6</v>
      </c>
      <c r="Y142" s="20">
        <f t="shared" si="112"/>
        <v>7.9039656165483561E-5</v>
      </c>
      <c r="Z142" s="20">
        <f t="shared" si="112"/>
        <v>8.5414784872187444E-5</v>
      </c>
      <c r="AA142" s="20">
        <f t="shared" si="112"/>
        <v>3.244935490803692E-4</v>
      </c>
      <c r="AB142" s="20">
        <f t="shared" si="112"/>
        <v>1.2860934493911934E-3</v>
      </c>
      <c r="AC142" s="20">
        <f t="shared" si="112"/>
        <v>0</v>
      </c>
      <c r="AD142" s="20">
        <f t="shared" si="112"/>
        <v>0</v>
      </c>
      <c r="AE142" s="20">
        <f t="shared" si="112"/>
        <v>0</v>
      </c>
      <c r="AF142" s="20">
        <f t="shared" si="112"/>
        <v>1.3092421767879308E-3</v>
      </c>
      <c r="AG142" s="20">
        <f t="shared" si="112"/>
        <v>0</v>
      </c>
      <c r="AH142" s="20">
        <f t="shared" si="112"/>
        <v>5.6542697491171829E-5</v>
      </c>
      <c r="AI142" s="20">
        <f t="shared" si="112"/>
        <v>4.9794511413392547E-4</v>
      </c>
      <c r="AJ142" s="20">
        <f t="shared" si="112"/>
        <v>1.6402774214050169E-4</v>
      </c>
      <c r="AK142" s="20">
        <f t="shared" si="112"/>
        <v>4.1559775789165598E-4</v>
      </c>
      <c r="AL142" s="20">
        <f t="shared" ref="AL142:BS142" si="113">IF(AL60=".",0,AL60/AL$83)</f>
        <v>4.6208259008290224E-4</v>
      </c>
      <c r="AM142" s="20">
        <f t="shared" si="113"/>
        <v>2.4325169710359088E-3</v>
      </c>
      <c r="AN142" s="20">
        <f t="shared" si="113"/>
        <v>2.1642013044963684E-3</v>
      </c>
      <c r="AO142" s="20">
        <f t="shared" si="113"/>
        <v>5.2704893493715073E-5</v>
      </c>
      <c r="AP142" s="20">
        <f t="shared" si="113"/>
        <v>0</v>
      </c>
      <c r="AQ142" s="20">
        <f t="shared" si="113"/>
        <v>9.09306679474559E-4</v>
      </c>
      <c r="AR142" s="20">
        <f t="shared" si="113"/>
        <v>5.1918371704002197E-4</v>
      </c>
      <c r="AS142" s="20">
        <f t="shared" si="113"/>
        <v>3.9620210916297289E-4</v>
      </c>
      <c r="AT142" s="20">
        <f t="shared" si="113"/>
        <v>4.6138411190514896E-5</v>
      </c>
      <c r="AU142" s="20">
        <f t="shared" si="113"/>
        <v>2.9813452368328475E-4</v>
      </c>
      <c r="AV142" s="20">
        <f t="shared" si="113"/>
        <v>2.2117278413289149E-4</v>
      </c>
      <c r="AW142" s="20">
        <f t="shared" si="113"/>
        <v>3.5211725025827622E-4</v>
      </c>
      <c r="AX142" s="20">
        <f t="shared" si="113"/>
        <v>6.0840782241965315E-4</v>
      </c>
      <c r="AY142" s="20">
        <f t="shared" si="113"/>
        <v>5.438655023639735E-5</v>
      </c>
      <c r="AZ142" s="20">
        <f t="shared" si="113"/>
        <v>4.0369718450505821E-4</v>
      </c>
      <c r="BA142" s="20">
        <f t="shared" si="113"/>
        <v>3.9401944541012383E-4</v>
      </c>
      <c r="BB142" s="20">
        <f t="shared" si="113"/>
        <v>0</v>
      </c>
      <c r="BC142" s="20">
        <f t="shared" si="113"/>
        <v>2.5227217129111844E-3</v>
      </c>
      <c r="BD142" s="20">
        <f t="shared" si="113"/>
        <v>0</v>
      </c>
      <c r="BE142" s="20">
        <f t="shared" si="113"/>
        <v>2.9472210696577345E-4</v>
      </c>
      <c r="BF142" s="20">
        <f t="shared" si="113"/>
        <v>7.9330308552460181E-4</v>
      </c>
      <c r="BG142" s="20">
        <f t="shared" si="113"/>
        <v>2.877144378367159E-2</v>
      </c>
      <c r="BH142" s="20">
        <f t="shared" si="113"/>
        <v>5.085029450131376E-4</v>
      </c>
      <c r="BI142" s="20">
        <f t="shared" si="113"/>
        <v>0</v>
      </c>
      <c r="BJ142" s="20">
        <f t="shared" si="113"/>
        <v>1.7356213866895985E-4</v>
      </c>
      <c r="BK142" s="20">
        <f t="shared" si="113"/>
        <v>2.4484204865047162E-4</v>
      </c>
      <c r="BL142" s="20">
        <f t="shared" si="113"/>
        <v>0</v>
      </c>
      <c r="BM142" s="20">
        <f t="shared" si="113"/>
        <v>1.9970090877717705E-4</v>
      </c>
      <c r="BN142" s="20">
        <f t="shared" si="113"/>
        <v>3.595424027216771E-5</v>
      </c>
      <c r="BO142" s="20">
        <f t="shared" si="113"/>
        <v>1.24653056466041E-4</v>
      </c>
      <c r="BP142" s="20">
        <f t="shared" si="113"/>
        <v>0</v>
      </c>
      <c r="BQ142" s="20">
        <f t="shared" si="113"/>
        <v>5.5446846132985723E-5</v>
      </c>
      <c r="BR142" s="20">
        <f t="shared" si="113"/>
        <v>0</v>
      </c>
      <c r="BS142" s="20">
        <f t="shared" si="113"/>
        <v>3.7045518113343399E-4</v>
      </c>
      <c r="BT142" s="164">
        <f t="shared" si="69"/>
        <v>9.7748470477561997E-3</v>
      </c>
      <c r="BU142" s="164"/>
      <c r="BV142" s="164">
        <f t="shared" si="70"/>
        <v>0</v>
      </c>
      <c r="BW142" s="162"/>
      <c r="BX142" s="163">
        <f t="shared" si="71"/>
        <v>0</v>
      </c>
      <c r="BY142" s="164"/>
      <c r="BZ142" s="164"/>
      <c r="CA142" s="164"/>
      <c r="CB142" s="165"/>
      <c r="CC142" s="166"/>
    </row>
    <row r="143" spans="1:81" x14ac:dyDescent="0.3">
      <c r="A143" s="7">
        <v>55</v>
      </c>
      <c r="B143" s="150" t="s">
        <v>160</v>
      </c>
      <c r="C143" s="150"/>
      <c r="D143" s="150"/>
      <c r="E143" s="150"/>
      <c r="F143" s="20">
        <f t="shared" ref="F143:AK143" si="114">IF(F61=".",0,F61/F$83)</f>
        <v>2.6651868989819086E-4</v>
      </c>
      <c r="G143" s="20">
        <f t="shared" si="114"/>
        <v>2.2053615530699061E-3</v>
      </c>
      <c r="H143" s="20">
        <f t="shared" si="114"/>
        <v>1.9152571926765475E-3</v>
      </c>
      <c r="I143" s="20">
        <f t="shared" si="114"/>
        <v>2.7227655490577578E-3</v>
      </c>
      <c r="J143" s="20">
        <f t="shared" si="114"/>
        <v>3.0416936733165373E-3</v>
      </c>
      <c r="K143" s="20">
        <f t="shared" si="114"/>
        <v>1.5637540007058957E-3</v>
      </c>
      <c r="L143" s="20">
        <f t="shared" si="114"/>
        <v>1.4134084430751336E-3</v>
      </c>
      <c r="M143" s="20">
        <f t="shared" si="114"/>
        <v>9.3046401980362249E-4</v>
      </c>
      <c r="N143" s="20">
        <f t="shared" si="114"/>
        <v>4.9781289948668721E-3</v>
      </c>
      <c r="O143" s="20">
        <f t="shared" si="114"/>
        <v>2.1710115600714697E-3</v>
      </c>
      <c r="P143" s="20">
        <f t="shared" si="114"/>
        <v>5.1534493050755116E-4</v>
      </c>
      <c r="Q143" s="20">
        <f t="shared" si="114"/>
        <v>6.5553516112832052E-5</v>
      </c>
      <c r="R143" s="20">
        <f t="shared" si="114"/>
        <v>4.2627832237488285E-4</v>
      </c>
      <c r="S143" s="20">
        <f t="shared" si="114"/>
        <v>2.220612427047226E-3</v>
      </c>
      <c r="T143" s="20">
        <f t="shared" si="114"/>
        <v>1.3486139125609467E-4</v>
      </c>
      <c r="U143" s="20">
        <f t="shared" si="114"/>
        <v>3.7343271158802225E-3</v>
      </c>
      <c r="V143" s="20">
        <f t="shared" si="114"/>
        <v>9.663072630004951E-4</v>
      </c>
      <c r="W143" s="20">
        <f t="shared" si="114"/>
        <v>1.1728314245699042E-3</v>
      </c>
      <c r="X143" s="20">
        <f t="shared" si="114"/>
        <v>8.1215503521225375E-4</v>
      </c>
      <c r="Y143" s="20">
        <f t="shared" si="114"/>
        <v>1.2073367539806618E-3</v>
      </c>
      <c r="Z143" s="20">
        <f t="shared" si="114"/>
        <v>8.8991528988710295E-4</v>
      </c>
      <c r="AA143" s="20">
        <f t="shared" si="114"/>
        <v>2.1756678641049508E-3</v>
      </c>
      <c r="AB143" s="20">
        <f t="shared" si="114"/>
        <v>2.5038231273861768E-3</v>
      </c>
      <c r="AC143" s="20">
        <f t="shared" si="114"/>
        <v>5.6456491337748974E-3</v>
      </c>
      <c r="AD143" s="20">
        <f t="shared" si="114"/>
        <v>1.5784688851813739E-3</v>
      </c>
      <c r="AE143" s="20">
        <f t="shared" si="114"/>
        <v>3.363000498879692E-3</v>
      </c>
      <c r="AF143" s="20">
        <f t="shared" si="114"/>
        <v>1.0404812728846557E-2</v>
      </c>
      <c r="AG143" s="20">
        <f t="shared" si="114"/>
        <v>2.4131528769339196E-3</v>
      </c>
      <c r="AH143" s="20">
        <f t="shared" si="114"/>
        <v>7.5684077911850473E-3</v>
      </c>
      <c r="AI143" s="20">
        <f t="shared" si="114"/>
        <v>1.1908271816204345E-2</v>
      </c>
      <c r="AJ143" s="20">
        <f t="shared" si="114"/>
        <v>9.8148942448312137E-3</v>
      </c>
      <c r="AK143" s="20">
        <f t="shared" si="114"/>
        <v>2.1601732460813546E-2</v>
      </c>
      <c r="AL143" s="20">
        <f t="shared" ref="AL143:BS143" si="115">IF(AL61=".",0,AL61/AL$83)</f>
        <v>1.496232634723603E-3</v>
      </c>
      <c r="AM143" s="20">
        <f t="shared" si="115"/>
        <v>0</v>
      </c>
      <c r="AN143" s="20">
        <f t="shared" si="115"/>
        <v>0</v>
      </c>
      <c r="AO143" s="20">
        <f t="shared" si="115"/>
        <v>9.657447174615176E-3</v>
      </c>
      <c r="AP143" s="20">
        <f t="shared" si="115"/>
        <v>1.6421736559237829E-2</v>
      </c>
      <c r="AQ143" s="20">
        <f t="shared" si="115"/>
        <v>1.7428932300673675E-2</v>
      </c>
      <c r="AR143" s="20">
        <f t="shared" si="115"/>
        <v>9.219150115663942E-5</v>
      </c>
      <c r="AS143" s="20">
        <f t="shared" si="115"/>
        <v>0</v>
      </c>
      <c r="AT143" s="20">
        <f t="shared" si="115"/>
        <v>3.4311281352863835E-3</v>
      </c>
      <c r="AU143" s="20">
        <f t="shared" si="115"/>
        <v>7.2444374872708975E-3</v>
      </c>
      <c r="AV143" s="20">
        <f t="shared" si="115"/>
        <v>1.3363809460264272E-2</v>
      </c>
      <c r="AW143" s="20">
        <f t="shared" si="115"/>
        <v>1.2524434544138067E-2</v>
      </c>
      <c r="AX143" s="20">
        <f t="shared" si="115"/>
        <v>7.3592823356787981E-3</v>
      </c>
      <c r="AY143" s="20">
        <f t="shared" si="115"/>
        <v>2.3140770806752833E-2</v>
      </c>
      <c r="AZ143" s="20">
        <f t="shared" si="115"/>
        <v>3.2050121295559064E-2</v>
      </c>
      <c r="BA143" s="20">
        <f t="shared" si="115"/>
        <v>2.9029324254982964E-2</v>
      </c>
      <c r="BB143" s="20">
        <f t="shared" si="115"/>
        <v>1.1270426235926084E-2</v>
      </c>
      <c r="BC143" s="20">
        <f t="shared" si="115"/>
        <v>5.5798314263761979E-2</v>
      </c>
      <c r="BD143" s="20">
        <f t="shared" si="115"/>
        <v>1.9201887552186721E-2</v>
      </c>
      <c r="BE143" s="20">
        <f t="shared" si="115"/>
        <v>4.461204495851777E-3</v>
      </c>
      <c r="BF143" s="20">
        <f t="shared" si="115"/>
        <v>9.4491211964708131E-3</v>
      </c>
      <c r="BG143" s="20">
        <f t="shared" si="115"/>
        <v>5.4066309909487154E-3</v>
      </c>
      <c r="BH143" s="20">
        <f t="shared" si="115"/>
        <v>5.543983910690517E-2</v>
      </c>
      <c r="BI143" s="20">
        <f t="shared" si="115"/>
        <v>2.7225689827560153E-2</v>
      </c>
      <c r="BJ143" s="20">
        <f t="shared" si="115"/>
        <v>1.2137482210166061E-2</v>
      </c>
      <c r="BK143" s="20">
        <f t="shared" si="115"/>
        <v>9.8736121779205363E-3</v>
      </c>
      <c r="BL143" s="20">
        <f t="shared" si="115"/>
        <v>1.4281803886936385E-2</v>
      </c>
      <c r="BM143" s="20">
        <f t="shared" si="115"/>
        <v>2.4836075002875879E-2</v>
      </c>
      <c r="BN143" s="20">
        <f t="shared" si="115"/>
        <v>3.2069414081448734E-2</v>
      </c>
      <c r="BO143" s="20">
        <f t="shared" si="115"/>
        <v>3.1149812347826867E-2</v>
      </c>
      <c r="BP143" s="20">
        <f t="shared" si="115"/>
        <v>2.2788585288585291E-2</v>
      </c>
      <c r="BQ143" s="20">
        <f t="shared" si="115"/>
        <v>1.1606537082346631E-2</v>
      </c>
      <c r="BR143" s="20">
        <f t="shared" si="115"/>
        <v>0</v>
      </c>
      <c r="BS143" s="20">
        <f t="shared" si="115"/>
        <v>1.138161347017241E-2</v>
      </c>
      <c r="BT143" s="164">
        <f t="shared" si="69"/>
        <v>8.7027828783534913E-4</v>
      </c>
      <c r="BU143" s="164"/>
      <c r="BV143" s="164">
        <f t="shared" si="70"/>
        <v>0</v>
      </c>
      <c r="BW143" s="162"/>
      <c r="BX143" s="163">
        <f t="shared" si="71"/>
        <v>0</v>
      </c>
      <c r="BY143" s="164"/>
      <c r="BZ143" s="164"/>
      <c r="CA143" s="164"/>
      <c r="CB143" s="165"/>
      <c r="CC143" s="166"/>
    </row>
    <row r="144" spans="1:81" x14ac:dyDescent="0.3">
      <c r="A144" s="7">
        <v>56</v>
      </c>
      <c r="B144" s="150" t="s">
        <v>161</v>
      </c>
      <c r="C144" s="150"/>
      <c r="D144" s="150"/>
      <c r="E144" s="150"/>
      <c r="F144" s="20">
        <f t="shared" ref="F144:AK144" si="116">IF(F62=".",0,F62/F$83)</f>
        <v>4.4734754360764822E-4</v>
      </c>
      <c r="G144" s="20">
        <f t="shared" si="116"/>
        <v>2.9222231378150915E-4</v>
      </c>
      <c r="H144" s="20">
        <f t="shared" si="116"/>
        <v>1.1551525719267654E-2</v>
      </c>
      <c r="I144" s="20">
        <f t="shared" si="116"/>
        <v>5.3446636709914128E-4</v>
      </c>
      <c r="J144" s="20">
        <f t="shared" si="116"/>
        <v>4.8503680648695138E-4</v>
      </c>
      <c r="K144" s="20">
        <f t="shared" si="116"/>
        <v>1.7078469399072889E-4</v>
      </c>
      <c r="L144" s="20">
        <f t="shared" si="116"/>
        <v>3.7776030832616515E-4</v>
      </c>
      <c r="M144" s="20">
        <f t="shared" si="116"/>
        <v>1.9829142714959262E-4</v>
      </c>
      <c r="N144" s="20">
        <f t="shared" si="116"/>
        <v>4.665537952077668E-4</v>
      </c>
      <c r="O144" s="20">
        <f t="shared" si="116"/>
        <v>4.0847738574473116E-4</v>
      </c>
      <c r="P144" s="20">
        <f t="shared" si="116"/>
        <v>1.7219532596730338E-4</v>
      </c>
      <c r="Q144" s="20">
        <f t="shared" si="116"/>
        <v>1.2295913756757198E-4</v>
      </c>
      <c r="R144" s="20">
        <f t="shared" si="116"/>
        <v>1.9379293786786763E-4</v>
      </c>
      <c r="S144" s="20">
        <f t="shared" si="116"/>
        <v>2.3265826715551096E-4</v>
      </c>
      <c r="T144" s="20">
        <f t="shared" si="116"/>
        <v>2.6446442551367189E-5</v>
      </c>
      <c r="U144" s="20">
        <f t="shared" si="116"/>
        <v>3.0052264105648779E-4</v>
      </c>
      <c r="V144" s="20">
        <f t="shared" si="116"/>
        <v>6.9852866486125304E-5</v>
      </c>
      <c r="W144" s="20">
        <f t="shared" si="116"/>
        <v>1.278751866489344E-4</v>
      </c>
      <c r="X144" s="20">
        <f t="shared" si="116"/>
        <v>1.3394897425951185E-4</v>
      </c>
      <c r="Y144" s="20">
        <f t="shared" si="116"/>
        <v>9.8379146503846572E-5</v>
      </c>
      <c r="Z144" s="20">
        <f t="shared" si="116"/>
        <v>1.0890385071203901E-4</v>
      </c>
      <c r="AA144" s="20">
        <f t="shared" si="116"/>
        <v>2.564423563960694E-4</v>
      </c>
      <c r="AB144" s="20">
        <f t="shared" si="116"/>
        <v>4.7388523354190755E-4</v>
      </c>
      <c r="AC144" s="20">
        <f t="shared" si="116"/>
        <v>9.9736683428590898E-4</v>
      </c>
      <c r="AD144" s="20">
        <f t="shared" si="116"/>
        <v>4.8952516059422367E-4</v>
      </c>
      <c r="AE144" s="20">
        <f t="shared" si="116"/>
        <v>1.1612831593548628E-3</v>
      </c>
      <c r="AF144" s="20">
        <f t="shared" si="116"/>
        <v>1.9262057872837404E-3</v>
      </c>
      <c r="AG144" s="20">
        <f t="shared" si="116"/>
        <v>4.4537364077771501E-4</v>
      </c>
      <c r="AH144" s="20">
        <f t="shared" si="116"/>
        <v>1.5597616688837273E-3</v>
      </c>
      <c r="AI144" s="20">
        <f t="shared" si="116"/>
        <v>5.7326282559964185E-3</v>
      </c>
      <c r="AJ144" s="20">
        <f t="shared" si="116"/>
        <v>9.6534359718754271E-4</v>
      </c>
      <c r="AK144" s="20">
        <f t="shared" si="116"/>
        <v>1.1644010181729471E-3</v>
      </c>
      <c r="AL144" s="20">
        <f t="shared" ref="AL144:BS144" si="117">IF(AL62=".",0,AL62/AL$83)</f>
        <v>7.379582468222595E-4</v>
      </c>
      <c r="AM144" s="20">
        <f t="shared" si="117"/>
        <v>2.9134167987481283E-4</v>
      </c>
      <c r="AN144" s="20">
        <f t="shared" si="117"/>
        <v>4.7220118498465184E-4</v>
      </c>
      <c r="AO144" s="20">
        <f t="shared" si="117"/>
        <v>6.0224196526779722E-4</v>
      </c>
      <c r="AP144" s="20">
        <f t="shared" si="117"/>
        <v>4.2464393736111141E-4</v>
      </c>
      <c r="AQ144" s="20">
        <f t="shared" si="117"/>
        <v>6.8526191533068315E-4</v>
      </c>
      <c r="AR144" s="20">
        <f t="shared" si="117"/>
        <v>2.9234410235197503E-4</v>
      </c>
      <c r="AS144" s="20">
        <f t="shared" si="117"/>
        <v>1.9448840495572276E-2</v>
      </c>
      <c r="AT144" s="20">
        <f t="shared" si="117"/>
        <v>3.470488480915405E-3</v>
      </c>
      <c r="AU144" s="20">
        <f t="shared" si="117"/>
        <v>3.9176180882023731E-4</v>
      </c>
      <c r="AV144" s="20">
        <f t="shared" si="117"/>
        <v>1.1738220386941169E-5</v>
      </c>
      <c r="AW144" s="20">
        <f t="shared" si="117"/>
        <v>4.7176874306448661E-5</v>
      </c>
      <c r="AX144" s="20">
        <f t="shared" si="117"/>
        <v>0</v>
      </c>
      <c r="AY144" s="20">
        <f t="shared" si="117"/>
        <v>1.0259785580773435E-3</v>
      </c>
      <c r="AZ144" s="20">
        <f t="shared" si="117"/>
        <v>5.7940931326209161E-3</v>
      </c>
      <c r="BA144" s="20">
        <f t="shared" si="117"/>
        <v>8.4775902691543159E-4</v>
      </c>
      <c r="BB144" s="20">
        <f t="shared" si="117"/>
        <v>2.507048721819229E-3</v>
      </c>
      <c r="BC144" s="20">
        <f t="shared" si="117"/>
        <v>7.2277609149950758E-4</v>
      </c>
      <c r="BD144" s="20">
        <f t="shared" si="117"/>
        <v>1.3803431784626904E-3</v>
      </c>
      <c r="BE144" s="20">
        <f t="shared" si="117"/>
        <v>6.0944714647156529E-4</v>
      </c>
      <c r="BF144" s="20">
        <f t="shared" si="117"/>
        <v>8.2268468128477218E-5</v>
      </c>
      <c r="BG144" s="20">
        <f t="shared" si="117"/>
        <v>6.0011009538592035E-4</v>
      </c>
      <c r="BH144" s="20">
        <f t="shared" si="117"/>
        <v>2.8283815844356653E-3</v>
      </c>
      <c r="BI144" s="20">
        <f t="shared" si="117"/>
        <v>4.128535915477371E-3</v>
      </c>
      <c r="BJ144" s="20">
        <f t="shared" si="117"/>
        <v>1.406983017612278E-4</v>
      </c>
      <c r="BK144" s="20">
        <f t="shared" si="117"/>
        <v>4.5685030315546131E-4</v>
      </c>
      <c r="BL144" s="20">
        <f t="shared" si="117"/>
        <v>1.6983118779932747E-4</v>
      </c>
      <c r="BM144" s="20">
        <f t="shared" si="117"/>
        <v>8.0294489819394911E-4</v>
      </c>
      <c r="BN144" s="20">
        <f t="shared" si="117"/>
        <v>3.6720478179607345E-4</v>
      </c>
      <c r="BO144" s="20">
        <f t="shared" si="117"/>
        <v>1.2510144875548721E-3</v>
      </c>
      <c r="BP144" s="20">
        <f t="shared" si="117"/>
        <v>3.5578160578160576E-4</v>
      </c>
      <c r="BQ144" s="20">
        <f t="shared" si="117"/>
        <v>4.3752602221301467E-4</v>
      </c>
      <c r="BR144" s="20">
        <f t="shared" si="117"/>
        <v>0</v>
      </c>
      <c r="BS144" s="20">
        <f t="shared" si="117"/>
        <v>1.3039969333751864E-3</v>
      </c>
      <c r="BT144" s="164">
        <f t="shared" si="69"/>
        <v>2.9436835523866316E-3</v>
      </c>
      <c r="BU144" s="164"/>
      <c r="BV144" s="164">
        <f t="shared" si="70"/>
        <v>0.43224068974679619</v>
      </c>
      <c r="BW144" s="162"/>
      <c r="BX144" s="163">
        <f t="shared" si="71"/>
        <v>1.5952168693512635E-3</v>
      </c>
      <c r="BY144" s="164"/>
      <c r="BZ144" s="164"/>
      <c r="CA144" s="164"/>
      <c r="CB144" s="165"/>
      <c r="CC144" s="166"/>
    </row>
    <row r="145" spans="1:81" x14ac:dyDescent="0.3">
      <c r="A145" s="7">
        <v>57</v>
      </c>
      <c r="B145" s="150" t="s">
        <v>162</v>
      </c>
      <c r="C145" s="150"/>
      <c r="D145" s="150"/>
      <c r="E145" s="150"/>
      <c r="F145" s="20">
        <f t="shared" ref="F145:AK145" si="118">IF(F63=".",0,F63/F$83)</f>
        <v>2.6548316317687691E-4</v>
      </c>
      <c r="G145" s="20">
        <f t="shared" si="118"/>
        <v>1.7385679630032736E-4</v>
      </c>
      <c r="H145" s="20">
        <f t="shared" si="118"/>
        <v>1.8692240627724498E-4</v>
      </c>
      <c r="I145" s="20">
        <f t="shared" si="118"/>
        <v>5.8653753889372677E-4</v>
      </c>
      <c r="J145" s="20">
        <f t="shared" si="118"/>
        <v>5.334715758783823E-4</v>
      </c>
      <c r="K145" s="20">
        <f t="shared" si="118"/>
        <v>2.2597601166270169E-4</v>
      </c>
      <c r="L145" s="20">
        <f t="shared" si="118"/>
        <v>2.2594585354975669E-4</v>
      </c>
      <c r="M145" s="20">
        <f t="shared" si="118"/>
        <v>4.3639426052226953E-5</v>
      </c>
      <c r="N145" s="20">
        <f t="shared" si="118"/>
        <v>6.5628567192559193E-4</v>
      </c>
      <c r="O145" s="20">
        <f t="shared" si="118"/>
        <v>3.7833939680967859E-4</v>
      </c>
      <c r="P145" s="20">
        <f t="shared" si="118"/>
        <v>1.2296711265773197E-4</v>
      </c>
      <c r="Q145" s="20">
        <f t="shared" si="118"/>
        <v>1.2295913756757198E-4</v>
      </c>
      <c r="R145" s="20">
        <f t="shared" si="118"/>
        <v>1.8469855938430728E-4</v>
      </c>
      <c r="S145" s="20">
        <f t="shared" si="118"/>
        <v>5.203258073027549E-4</v>
      </c>
      <c r="T145" s="20">
        <f t="shared" si="118"/>
        <v>1.472339959584887E-4</v>
      </c>
      <c r="U145" s="20">
        <f t="shared" si="118"/>
        <v>2.4430732927932058E-4</v>
      </c>
      <c r="V145" s="20">
        <f t="shared" si="118"/>
        <v>1.2968699514953941E-4</v>
      </c>
      <c r="W145" s="20">
        <f t="shared" si="118"/>
        <v>6.0281456242984002E-4</v>
      </c>
      <c r="X145" s="20">
        <f t="shared" si="118"/>
        <v>1.4312519402640011E-4</v>
      </c>
      <c r="Y145" s="20">
        <f t="shared" si="118"/>
        <v>3.5315591052662871E-5</v>
      </c>
      <c r="Z145" s="20">
        <f t="shared" si="118"/>
        <v>8.2745572844931587E-5</v>
      </c>
      <c r="AA145" s="20">
        <f t="shared" si="118"/>
        <v>2.4265024384758106E-4</v>
      </c>
      <c r="AB145" s="20">
        <f t="shared" si="118"/>
        <v>8.9960508269103104E-4</v>
      </c>
      <c r="AC145" s="20">
        <f t="shared" si="118"/>
        <v>1.2127835511536521E-3</v>
      </c>
      <c r="AD145" s="20">
        <f t="shared" si="118"/>
        <v>4.1102987245229274E-4</v>
      </c>
      <c r="AE145" s="20">
        <f t="shared" si="118"/>
        <v>4.6186969232227558E-4</v>
      </c>
      <c r="AF145" s="20">
        <f t="shared" si="118"/>
        <v>9.7703100190557157E-4</v>
      </c>
      <c r="AG145" s="20">
        <f t="shared" si="118"/>
        <v>4.5156347959725962E-4</v>
      </c>
      <c r="AH145" s="20">
        <f t="shared" si="118"/>
        <v>4.7105949784347707E-4</v>
      </c>
      <c r="AI145" s="20">
        <f t="shared" si="118"/>
        <v>1.2207192177177508E-3</v>
      </c>
      <c r="AJ145" s="20">
        <f t="shared" si="118"/>
        <v>7.8123814234787575E-4</v>
      </c>
      <c r="AK145" s="20">
        <f t="shared" si="118"/>
        <v>1.4219677286263009E-3</v>
      </c>
      <c r="AL145" s="20">
        <f t="shared" ref="AL145:BS145" si="119">IF(AL63=".",0,AL63/AL$83)</f>
        <v>1.1997485183284843E-3</v>
      </c>
      <c r="AM145" s="20">
        <f t="shared" si="119"/>
        <v>0</v>
      </c>
      <c r="AN145" s="20">
        <f t="shared" si="119"/>
        <v>3.6041875866297561E-3</v>
      </c>
      <c r="AO145" s="20">
        <f t="shared" si="119"/>
        <v>5.5093251701933323E-4</v>
      </c>
      <c r="AP145" s="20">
        <f t="shared" si="119"/>
        <v>6.3175555098202163E-4</v>
      </c>
      <c r="AQ145" s="20">
        <f t="shared" si="119"/>
        <v>9.3871255476844274E-4</v>
      </c>
      <c r="AR145" s="20">
        <f t="shared" si="119"/>
        <v>1.8383713158274611E-3</v>
      </c>
      <c r="AS145" s="20">
        <f t="shared" si="119"/>
        <v>5.8501136943951162E-4</v>
      </c>
      <c r="AT145" s="20">
        <f t="shared" si="119"/>
        <v>1.7688372846879101E-3</v>
      </c>
      <c r="AU145" s="20">
        <f t="shared" si="119"/>
        <v>2.1208158071471493E-3</v>
      </c>
      <c r="AV145" s="20">
        <f t="shared" si="119"/>
        <v>4.3660001828691175E-3</v>
      </c>
      <c r="AW145" s="20">
        <f t="shared" si="119"/>
        <v>1.1564487710424242E-2</v>
      </c>
      <c r="AX145" s="20">
        <f t="shared" si="119"/>
        <v>3.0140126481096445E-3</v>
      </c>
      <c r="AY145" s="20">
        <f t="shared" si="119"/>
        <v>1.2945815204693469E-4</v>
      </c>
      <c r="AZ145" s="20">
        <f t="shared" si="119"/>
        <v>1.0615691464573975E-3</v>
      </c>
      <c r="BA145" s="20">
        <f t="shared" si="119"/>
        <v>1.2311022468783717E-3</v>
      </c>
      <c r="BB145" s="20">
        <f t="shared" si="119"/>
        <v>1.44189180541387E-2</v>
      </c>
      <c r="BC145" s="20">
        <f t="shared" si="119"/>
        <v>1.6654339418522149E-3</v>
      </c>
      <c r="BD145" s="20">
        <f t="shared" si="119"/>
        <v>7.4032735467190365E-4</v>
      </c>
      <c r="BE145" s="20">
        <f t="shared" si="119"/>
        <v>3.2096448635313688E-4</v>
      </c>
      <c r="BF145" s="20">
        <f t="shared" si="119"/>
        <v>1.8882572208536201E-3</v>
      </c>
      <c r="BG145" s="20">
        <f t="shared" si="119"/>
        <v>1.04116845496467E-3</v>
      </c>
      <c r="BH145" s="20">
        <f t="shared" si="119"/>
        <v>1.050215330008847E-3</v>
      </c>
      <c r="BI145" s="20">
        <f t="shared" si="119"/>
        <v>7.3042763951087298E-3</v>
      </c>
      <c r="BJ145" s="20">
        <f t="shared" si="119"/>
        <v>1.5219722136258945E-2</v>
      </c>
      <c r="BK145" s="20">
        <f t="shared" si="119"/>
        <v>1.946702283657239E-3</v>
      </c>
      <c r="BL145" s="20">
        <f t="shared" si="119"/>
        <v>6.8471938892740612E-3</v>
      </c>
      <c r="BM145" s="20">
        <f t="shared" si="119"/>
        <v>1.1471298746117567E-3</v>
      </c>
      <c r="BN145" s="20">
        <f t="shared" si="119"/>
        <v>3.6920878863091556E-3</v>
      </c>
      <c r="BO145" s="20">
        <f t="shared" si="119"/>
        <v>2.1338989054744215E-2</v>
      </c>
      <c r="BP145" s="20">
        <f t="shared" si="119"/>
        <v>7.5796950796950798E-4</v>
      </c>
      <c r="BQ145" s="20">
        <f t="shared" si="119"/>
        <v>2.7622610618978344E-4</v>
      </c>
      <c r="BR145" s="20">
        <f t="shared" si="119"/>
        <v>0</v>
      </c>
      <c r="BS145" s="20">
        <f t="shared" si="119"/>
        <v>1.8764712841234357E-3</v>
      </c>
      <c r="BT145" s="164">
        <f t="shared" si="69"/>
        <v>1.2705516643882548E-2</v>
      </c>
      <c r="BU145" s="164"/>
      <c r="BV145" s="164">
        <f t="shared" si="70"/>
        <v>0.23621061199136673</v>
      </c>
      <c r="BW145" s="162"/>
      <c r="BX145" s="163">
        <f t="shared" si="71"/>
        <v>0</v>
      </c>
      <c r="BY145" s="164"/>
      <c r="BZ145" s="164"/>
      <c r="CA145" s="164"/>
      <c r="CB145" s="165"/>
      <c r="CC145" s="166"/>
    </row>
    <row r="146" spans="1:81" x14ac:dyDescent="0.3">
      <c r="A146" s="7">
        <v>58</v>
      </c>
      <c r="B146" s="150" t="s">
        <v>163</v>
      </c>
      <c r="C146" s="150"/>
      <c r="D146" s="150"/>
      <c r="E146" s="150"/>
      <c r="F146" s="20">
        <f t="shared" ref="F146:AK146" si="120">IF(F64=".",0,F64/F$83)</f>
        <v>0</v>
      </c>
      <c r="G146" s="20">
        <f t="shared" si="120"/>
        <v>5.1204398910370387E-5</v>
      </c>
      <c r="H146" s="20">
        <f t="shared" si="120"/>
        <v>1.6878814298169136E-4</v>
      </c>
      <c r="I146" s="20">
        <f t="shared" si="120"/>
        <v>4.8829004494167869E-4</v>
      </c>
      <c r="J146" s="20">
        <f t="shared" si="120"/>
        <v>1.8384538991564475E-4</v>
      </c>
      <c r="K146" s="20">
        <f t="shared" si="120"/>
        <v>8.4222588817345773E-5</v>
      </c>
      <c r="L146" s="20">
        <f t="shared" si="120"/>
        <v>4.1788647830439955E-5</v>
      </c>
      <c r="M146" s="20">
        <f t="shared" si="120"/>
        <v>5.2571472320226613E-5</v>
      </c>
      <c r="N146" s="20">
        <f t="shared" si="120"/>
        <v>5.52088657662524E-4</v>
      </c>
      <c r="O146" s="20">
        <f t="shared" si="120"/>
        <v>3.2882698641637783E-4</v>
      </c>
      <c r="P146" s="20">
        <f t="shared" si="120"/>
        <v>4.5401650510298007E-5</v>
      </c>
      <c r="Q146" s="20">
        <f t="shared" si="120"/>
        <v>1.1110765442852888E-6</v>
      </c>
      <c r="R146" s="20">
        <f t="shared" si="120"/>
        <v>6.8455867130799654E-5</v>
      </c>
      <c r="S146" s="20">
        <f t="shared" si="120"/>
        <v>1.0525583836513394E-4</v>
      </c>
      <c r="T146" s="20">
        <f t="shared" si="120"/>
        <v>1.0671371555814831E-5</v>
      </c>
      <c r="U146" s="20">
        <f t="shared" si="120"/>
        <v>8.9502928418631861E-5</v>
      </c>
      <c r="V146" s="20">
        <f t="shared" si="120"/>
        <v>5.810867937172496E-5</v>
      </c>
      <c r="W146" s="20">
        <f t="shared" si="120"/>
        <v>8.4503364407810189E-5</v>
      </c>
      <c r="X146" s="20">
        <f t="shared" si="120"/>
        <v>4.0160857940796702E-5</v>
      </c>
      <c r="Y146" s="20">
        <f t="shared" si="120"/>
        <v>1.1591682097217576E-4</v>
      </c>
      <c r="Z146" s="20">
        <f t="shared" si="120"/>
        <v>0</v>
      </c>
      <c r="AA146" s="20">
        <f t="shared" si="120"/>
        <v>1.4261953745195116E-4</v>
      </c>
      <c r="AB146" s="20">
        <f t="shared" si="120"/>
        <v>2.5403355962000618E-4</v>
      </c>
      <c r="AC146" s="20">
        <f t="shared" si="120"/>
        <v>7.5025887002414253E-4</v>
      </c>
      <c r="AD146" s="20">
        <f t="shared" si="120"/>
        <v>0</v>
      </c>
      <c r="AE146" s="20">
        <f t="shared" si="120"/>
        <v>1.1556183634555709E-4</v>
      </c>
      <c r="AF146" s="20">
        <f t="shared" si="120"/>
        <v>2.9919639973877057E-5</v>
      </c>
      <c r="AG146" s="20">
        <f t="shared" si="120"/>
        <v>2.7117389114195747E-4</v>
      </c>
      <c r="AH146" s="20">
        <f t="shared" si="120"/>
        <v>2.5067424614314872E-4</v>
      </c>
      <c r="AI146" s="20">
        <f t="shared" si="120"/>
        <v>3.1067278542167958E-4</v>
      </c>
      <c r="AJ146" s="20">
        <f t="shared" si="120"/>
        <v>4.1362478364173139E-4</v>
      </c>
      <c r="AK146" s="20">
        <f t="shared" si="120"/>
        <v>9.3062727935889057E-4</v>
      </c>
      <c r="AL146" s="20">
        <f t="shared" ref="AL146:BS146" si="121">IF(AL64=".",0,AL64/AL$83)</f>
        <v>1.7663349995735803E-4</v>
      </c>
      <c r="AM146" s="20">
        <f t="shared" si="121"/>
        <v>0</v>
      </c>
      <c r="AN146" s="20">
        <f t="shared" si="121"/>
        <v>2.1823878700803716E-4</v>
      </c>
      <c r="AO146" s="20">
        <f t="shared" si="121"/>
        <v>1.4931264124186898E-4</v>
      </c>
      <c r="AP146" s="20">
        <f t="shared" si="121"/>
        <v>1.8679122888829258E-3</v>
      </c>
      <c r="AQ146" s="20">
        <f t="shared" si="121"/>
        <v>1.0138025577510388E-3</v>
      </c>
      <c r="AR146" s="20">
        <f t="shared" si="121"/>
        <v>1.5708946578664218E-4</v>
      </c>
      <c r="AS146" s="20">
        <f t="shared" si="121"/>
        <v>8.3997820516727834E-5</v>
      </c>
      <c r="AT146" s="20">
        <f t="shared" si="121"/>
        <v>1.4388525139310057E-5</v>
      </c>
      <c r="AU146" s="20">
        <f t="shared" si="121"/>
        <v>5.1821124335351472E-4</v>
      </c>
      <c r="AV146" s="20">
        <f t="shared" si="121"/>
        <v>5.3130892277733709E-5</v>
      </c>
      <c r="AW146" s="20">
        <f t="shared" si="121"/>
        <v>7.8559751562477559E-4</v>
      </c>
      <c r="AX146" s="20">
        <f t="shared" si="121"/>
        <v>4.4135841935414189E-3</v>
      </c>
      <c r="AY146" s="20">
        <f t="shared" si="121"/>
        <v>2.5578832068509699E-5</v>
      </c>
      <c r="AZ146" s="20">
        <f t="shared" si="121"/>
        <v>4.1088704201273403E-4</v>
      </c>
      <c r="BA146" s="20">
        <f t="shared" si="121"/>
        <v>6.5892328931836978E-4</v>
      </c>
      <c r="BB146" s="20">
        <f t="shared" si="121"/>
        <v>7.530180575266044E-3</v>
      </c>
      <c r="BC146" s="20">
        <f t="shared" si="121"/>
        <v>7.220586958751904E-4</v>
      </c>
      <c r="BD146" s="20">
        <f t="shared" si="121"/>
        <v>5.5383267754081336E-4</v>
      </c>
      <c r="BE146" s="20">
        <f t="shared" si="121"/>
        <v>4.6795851355088566E-4</v>
      </c>
      <c r="BF146" s="20">
        <f t="shared" si="121"/>
        <v>1.5637538187912932E-3</v>
      </c>
      <c r="BG146" s="20">
        <f t="shared" si="121"/>
        <v>7.4449748675696896E-5</v>
      </c>
      <c r="BH146" s="20">
        <f t="shared" si="121"/>
        <v>1.0640304570415969E-3</v>
      </c>
      <c r="BI146" s="20">
        <f t="shared" si="121"/>
        <v>4.5495249142081008E-3</v>
      </c>
      <c r="BJ146" s="20">
        <f t="shared" si="121"/>
        <v>3.8926530153939689E-3</v>
      </c>
      <c r="BK146" s="20">
        <f t="shared" si="121"/>
        <v>3.5883622770904802E-2</v>
      </c>
      <c r="BL146" s="20">
        <f t="shared" si="121"/>
        <v>1.0576486971949881E-2</v>
      </c>
      <c r="BM146" s="20">
        <f t="shared" si="121"/>
        <v>2.2684918900264581E-4</v>
      </c>
      <c r="BN146" s="20">
        <f t="shared" si="121"/>
        <v>3.247669899994165E-3</v>
      </c>
      <c r="BO146" s="20">
        <f t="shared" si="121"/>
        <v>1.7290006681045112E-3</v>
      </c>
      <c r="BP146" s="20">
        <f t="shared" si="121"/>
        <v>4.145629145629146E-4</v>
      </c>
      <c r="BQ146" s="20">
        <f t="shared" si="121"/>
        <v>3.992172921574973E-4</v>
      </c>
      <c r="BR146" s="20">
        <f t="shared" si="121"/>
        <v>0</v>
      </c>
      <c r="BS146" s="20">
        <f t="shared" si="121"/>
        <v>1.5419521562368076E-3</v>
      </c>
      <c r="BT146" s="164">
        <f t="shared" si="69"/>
        <v>1.1365749450027553E-2</v>
      </c>
      <c r="BU146" s="164"/>
      <c r="BV146" s="164">
        <f t="shared" si="70"/>
        <v>0.17967189124368521</v>
      </c>
      <c r="BW146" s="162"/>
      <c r="BX146" s="163">
        <f t="shared" si="71"/>
        <v>0</v>
      </c>
      <c r="BY146" s="164"/>
      <c r="BZ146" s="164"/>
      <c r="CA146" s="164"/>
      <c r="CB146" s="165"/>
      <c r="CC146" s="166"/>
    </row>
    <row r="147" spans="1:81" x14ac:dyDescent="0.3">
      <c r="A147" s="7">
        <v>59</v>
      </c>
      <c r="B147" s="150" t="s">
        <v>164</v>
      </c>
      <c r="C147" s="150"/>
      <c r="D147" s="150"/>
      <c r="E147" s="150"/>
      <c r="F147" s="20">
        <f t="shared" ref="F147:AK147" si="122">IF(F65=".",0,F65/F$83)</f>
        <v>0</v>
      </c>
      <c r="G147" s="20">
        <f t="shared" si="122"/>
        <v>0</v>
      </c>
      <c r="H147" s="20">
        <f t="shared" si="122"/>
        <v>0</v>
      </c>
      <c r="I147" s="20">
        <f t="shared" si="122"/>
        <v>0</v>
      </c>
      <c r="J147" s="20">
        <f t="shared" si="122"/>
        <v>0</v>
      </c>
      <c r="K147" s="20">
        <f t="shared" si="122"/>
        <v>0</v>
      </c>
      <c r="L147" s="20">
        <f t="shared" si="122"/>
        <v>0</v>
      </c>
      <c r="M147" s="20">
        <f t="shared" si="122"/>
        <v>0</v>
      </c>
      <c r="N147" s="20">
        <f t="shared" si="122"/>
        <v>0</v>
      </c>
      <c r="O147" s="20">
        <f t="shared" si="122"/>
        <v>0</v>
      </c>
      <c r="P147" s="20">
        <f t="shared" si="122"/>
        <v>0</v>
      </c>
      <c r="Q147" s="20">
        <f t="shared" si="122"/>
        <v>0</v>
      </c>
      <c r="R147" s="20">
        <f t="shared" si="122"/>
        <v>0</v>
      </c>
      <c r="S147" s="20">
        <f t="shared" si="122"/>
        <v>0</v>
      </c>
      <c r="T147" s="20">
        <f t="shared" si="122"/>
        <v>0</v>
      </c>
      <c r="U147" s="20">
        <f t="shared" si="122"/>
        <v>0</v>
      </c>
      <c r="V147" s="20">
        <f t="shared" si="122"/>
        <v>0</v>
      </c>
      <c r="W147" s="20">
        <f t="shared" si="122"/>
        <v>0</v>
      </c>
      <c r="X147" s="20">
        <f t="shared" si="122"/>
        <v>0</v>
      </c>
      <c r="Y147" s="20">
        <f t="shared" si="122"/>
        <v>0</v>
      </c>
      <c r="Z147" s="20">
        <f t="shared" si="122"/>
        <v>0</v>
      </c>
      <c r="AA147" s="20">
        <f t="shared" si="122"/>
        <v>0</v>
      </c>
      <c r="AB147" s="20">
        <f t="shared" si="122"/>
        <v>0</v>
      </c>
      <c r="AC147" s="20">
        <f t="shared" si="122"/>
        <v>0</v>
      </c>
      <c r="AD147" s="20">
        <f t="shared" si="122"/>
        <v>0</v>
      </c>
      <c r="AE147" s="20">
        <f t="shared" si="122"/>
        <v>0</v>
      </c>
      <c r="AF147" s="20">
        <f t="shared" si="122"/>
        <v>0</v>
      </c>
      <c r="AG147" s="20">
        <f t="shared" si="122"/>
        <v>0</v>
      </c>
      <c r="AH147" s="20">
        <f t="shared" si="122"/>
        <v>0</v>
      </c>
      <c r="AI147" s="20">
        <f t="shared" si="122"/>
        <v>0</v>
      </c>
      <c r="AJ147" s="20">
        <f t="shared" si="122"/>
        <v>0</v>
      </c>
      <c r="AK147" s="20">
        <f t="shared" si="122"/>
        <v>0</v>
      </c>
      <c r="AL147" s="20">
        <f t="shared" ref="AL147:BS147" si="123">IF(AL65=".",0,AL65/AL$83)</f>
        <v>0</v>
      </c>
      <c r="AM147" s="20">
        <f t="shared" si="123"/>
        <v>0</v>
      </c>
      <c r="AN147" s="20">
        <f t="shared" si="123"/>
        <v>0</v>
      </c>
      <c r="AO147" s="20">
        <f t="shared" si="123"/>
        <v>0</v>
      </c>
      <c r="AP147" s="20">
        <f t="shared" si="123"/>
        <v>0</v>
      </c>
      <c r="AQ147" s="20">
        <f t="shared" si="123"/>
        <v>0</v>
      </c>
      <c r="AR147" s="20">
        <f t="shared" si="123"/>
        <v>0</v>
      </c>
      <c r="AS147" s="20">
        <f t="shared" si="123"/>
        <v>0</v>
      </c>
      <c r="AT147" s="20">
        <f t="shared" si="123"/>
        <v>0</v>
      </c>
      <c r="AU147" s="20">
        <f t="shared" si="123"/>
        <v>0</v>
      </c>
      <c r="AV147" s="20">
        <f t="shared" si="123"/>
        <v>0</v>
      </c>
      <c r="AW147" s="20">
        <f t="shared" si="123"/>
        <v>0</v>
      </c>
      <c r="AX147" s="20">
        <f t="shared" si="123"/>
        <v>0</v>
      </c>
      <c r="AY147" s="20">
        <f t="shared" si="123"/>
        <v>0</v>
      </c>
      <c r="AZ147" s="20">
        <f t="shared" si="123"/>
        <v>0</v>
      </c>
      <c r="BA147" s="20">
        <f t="shared" si="123"/>
        <v>0</v>
      </c>
      <c r="BB147" s="20">
        <f t="shared" si="123"/>
        <v>1.7315952132685363E-5</v>
      </c>
      <c r="BC147" s="20">
        <f t="shared" si="123"/>
        <v>0</v>
      </c>
      <c r="BD147" s="20">
        <f t="shared" si="123"/>
        <v>0</v>
      </c>
      <c r="BE147" s="20">
        <f t="shared" si="123"/>
        <v>0</v>
      </c>
      <c r="BF147" s="20">
        <f t="shared" si="123"/>
        <v>0</v>
      </c>
      <c r="BG147" s="20">
        <f t="shared" si="123"/>
        <v>0</v>
      </c>
      <c r="BH147" s="20">
        <f t="shared" si="123"/>
        <v>0</v>
      </c>
      <c r="BI147" s="20">
        <f t="shared" si="123"/>
        <v>1.303644032107154E-3</v>
      </c>
      <c r="BJ147" s="20">
        <f t="shared" si="123"/>
        <v>2.0311676977695496E-5</v>
      </c>
      <c r="BK147" s="20">
        <f t="shared" si="123"/>
        <v>3.5656609026767711E-6</v>
      </c>
      <c r="BL147" s="20">
        <f t="shared" si="123"/>
        <v>3.3067131271516115E-3</v>
      </c>
      <c r="BM147" s="20">
        <f t="shared" si="123"/>
        <v>1.012308754170022E-5</v>
      </c>
      <c r="BN147" s="20">
        <f t="shared" si="123"/>
        <v>0</v>
      </c>
      <c r="BO147" s="20">
        <f t="shared" si="123"/>
        <v>0</v>
      </c>
      <c r="BP147" s="20">
        <f t="shared" si="123"/>
        <v>0</v>
      </c>
      <c r="BQ147" s="20">
        <f t="shared" si="123"/>
        <v>6.4519966409292486E-5</v>
      </c>
      <c r="BR147" s="20">
        <f t="shared" si="123"/>
        <v>0</v>
      </c>
      <c r="BS147" s="20">
        <f t="shared" si="123"/>
        <v>7.2790143618849912E-5</v>
      </c>
      <c r="BT147" s="164">
        <f t="shared" si="69"/>
        <v>3.2926068169784098E-3</v>
      </c>
      <c r="BU147" s="164"/>
      <c r="BV147" s="164">
        <f t="shared" si="70"/>
        <v>1.8961004610410816E-2</v>
      </c>
      <c r="BW147" s="162"/>
      <c r="BX147" s="163">
        <f t="shared" si="71"/>
        <v>0</v>
      </c>
      <c r="BY147" s="164"/>
      <c r="BZ147" s="164"/>
      <c r="CA147" s="164"/>
      <c r="CB147" s="165"/>
      <c r="CC147" s="166"/>
    </row>
    <row r="148" spans="1:81" x14ac:dyDescent="0.3">
      <c r="A148" s="7">
        <v>60</v>
      </c>
      <c r="B148" s="150" t="s">
        <v>165</v>
      </c>
      <c r="C148" s="150"/>
      <c r="D148" s="150"/>
      <c r="E148" s="150"/>
      <c r="F148" s="20">
        <f t="shared" ref="F148:AK148" si="124">IF(F66=".",0,F66/F$83)</f>
        <v>0</v>
      </c>
      <c r="G148" s="20">
        <f t="shared" si="124"/>
        <v>0</v>
      </c>
      <c r="H148" s="20">
        <f t="shared" si="124"/>
        <v>0</v>
      </c>
      <c r="I148" s="20">
        <f t="shared" si="124"/>
        <v>0</v>
      </c>
      <c r="J148" s="20">
        <f t="shared" si="124"/>
        <v>0</v>
      </c>
      <c r="K148" s="20">
        <f t="shared" si="124"/>
        <v>0</v>
      </c>
      <c r="L148" s="20">
        <f t="shared" si="124"/>
        <v>1.4516454336758615E-4</v>
      </c>
      <c r="M148" s="20">
        <f t="shared" si="124"/>
        <v>0</v>
      </c>
      <c r="N148" s="20">
        <f t="shared" si="124"/>
        <v>1.3789256613918442E-4</v>
      </c>
      <c r="O148" s="20">
        <f t="shared" si="124"/>
        <v>0</v>
      </c>
      <c r="P148" s="20">
        <f t="shared" si="124"/>
        <v>0</v>
      </c>
      <c r="Q148" s="20">
        <f t="shared" si="124"/>
        <v>0</v>
      </c>
      <c r="R148" s="20">
        <f t="shared" si="124"/>
        <v>8.1022644671719404E-6</v>
      </c>
      <c r="S148" s="20">
        <f t="shared" si="124"/>
        <v>0</v>
      </c>
      <c r="T148" s="20">
        <f t="shared" si="124"/>
        <v>0</v>
      </c>
      <c r="U148" s="20">
        <f t="shared" si="124"/>
        <v>0</v>
      </c>
      <c r="V148" s="20">
        <f t="shared" si="124"/>
        <v>1.7254492916891509E-6</v>
      </c>
      <c r="W148" s="20">
        <f t="shared" si="124"/>
        <v>0</v>
      </c>
      <c r="X148" s="20">
        <f t="shared" si="124"/>
        <v>0</v>
      </c>
      <c r="Y148" s="20">
        <f t="shared" si="124"/>
        <v>0</v>
      </c>
      <c r="Z148" s="20">
        <f t="shared" si="124"/>
        <v>0</v>
      </c>
      <c r="AA148" s="20">
        <f t="shared" si="124"/>
        <v>4.8802859786958844E-5</v>
      </c>
      <c r="AB148" s="20">
        <f t="shared" si="124"/>
        <v>0</v>
      </c>
      <c r="AC148" s="20">
        <f t="shared" si="124"/>
        <v>0</v>
      </c>
      <c r="AD148" s="20">
        <f t="shared" si="124"/>
        <v>0</v>
      </c>
      <c r="AE148" s="20">
        <f t="shared" si="124"/>
        <v>0</v>
      </c>
      <c r="AF148" s="20">
        <f t="shared" si="124"/>
        <v>0</v>
      </c>
      <c r="AG148" s="20">
        <f t="shared" si="124"/>
        <v>0</v>
      </c>
      <c r="AH148" s="20">
        <f t="shared" si="124"/>
        <v>0</v>
      </c>
      <c r="AI148" s="20">
        <f t="shared" si="124"/>
        <v>2.0336804045695473E-4</v>
      </c>
      <c r="AJ148" s="20">
        <f t="shared" si="124"/>
        <v>1.5458643676410851E-4</v>
      </c>
      <c r="AK148" s="20">
        <f t="shared" si="124"/>
        <v>3.314392119185956E-5</v>
      </c>
      <c r="AL148" s="20">
        <f t="shared" ref="AL148:BS148" si="125">IF(AL66=".",0,AL66/AL$83)</f>
        <v>0</v>
      </c>
      <c r="AM148" s="20">
        <f t="shared" si="125"/>
        <v>0</v>
      </c>
      <c r="AN148" s="20">
        <f t="shared" si="125"/>
        <v>0</v>
      </c>
      <c r="AO148" s="20">
        <f t="shared" si="125"/>
        <v>0</v>
      </c>
      <c r="AP148" s="20">
        <f t="shared" si="125"/>
        <v>2.2795303385949236E-4</v>
      </c>
      <c r="AQ148" s="20">
        <f t="shared" si="125"/>
        <v>2.5472839473326772E-3</v>
      </c>
      <c r="AR148" s="20">
        <f t="shared" si="125"/>
        <v>1.3058440920410833E-3</v>
      </c>
      <c r="AS148" s="20">
        <f t="shared" si="125"/>
        <v>5.6598177470297845E-3</v>
      </c>
      <c r="AT148" s="20">
        <f t="shared" si="125"/>
        <v>1.4245829022225992E-4</v>
      </c>
      <c r="AU148" s="20">
        <f t="shared" si="125"/>
        <v>3.4294938151288232E-4</v>
      </c>
      <c r="AV148" s="20">
        <f t="shared" si="125"/>
        <v>8.3248694586332772E-5</v>
      </c>
      <c r="AW148" s="20">
        <f t="shared" si="125"/>
        <v>0</v>
      </c>
      <c r="AX148" s="20">
        <f t="shared" si="125"/>
        <v>0</v>
      </c>
      <c r="AY148" s="20">
        <f t="shared" si="125"/>
        <v>2.2198591933223407E-6</v>
      </c>
      <c r="AZ148" s="20">
        <f t="shared" si="125"/>
        <v>3.1036218241467371E-4</v>
      </c>
      <c r="BA148" s="20">
        <f t="shared" si="125"/>
        <v>0</v>
      </c>
      <c r="BB148" s="20">
        <f t="shared" si="125"/>
        <v>7.1974131473248734E-4</v>
      </c>
      <c r="BC148" s="20">
        <f t="shared" si="125"/>
        <v>0</v>
      </c>
      <c r="BD148" s="20">
        <f t="shared" si="125"/>
        <v>0</v>
      </c>
      <c r="BE148" s="20">
        <f t="shared" si="125"/>
        <v>2.2021577108276974E-5</v>
      </c>
      <c r="BF148" s="20">
        <f t="shared" si="125"/>
        <v>9.1409409031641353E-6</v>
      </c>
      <c r="BG148" s="20">
        <f t="shared" si="125"/>
        <v>5.7597032839107332E-3</v>
      </c>
      <c r="BH148" s="20">
        <f t="shared" si="125"/>
        <v>1.5188669470428985E-3</v>
      </c>
      <c r="BI148" s="20">
        <f t="shared" si="125"/>
        <v>1.1193147612492526E-3</v>
      </c>
      <c r="BJ148" s="20">
        <f t="shared" si="125"/>
        <v>1.2056920165524191E-3</v>
      </c>
      <c r="BK148" s="20">
        <f t="shared" si="125"/>
        <v>1.1083262639153631E-4</v>
      </c>
      <c r="BL148" s="20">
        <f t="shared" si="125"/>
        <v>1.9410705758476075E-3</v>
      </c>
      <c r="BM148" s="20">
        <f t="shared" si="125"/>
        <v>0.13410698262970205</v>
      </c>
      <c r="BN148" s="20">
        <f t="shared" si="125"/>
        <v>1.3527635548959362E-2</v>
      </c>
      <c r="BO148" s="20">
        <f t="shared" si="125"/>
        <v>2.7351929656217631E-3</v>
      </c>
      <c r="BP148" s="20">
        <f t="shared" si="125"/>
        <v>0</v>
      </c>
      <c r="BQ148" s="20">
        <f t="shared" si="125"/>
        <v>0</v>
      </c>
      <c r="BR148" s="20">
        <f t="shared" si="125"/>
        <v>0</v>
      </c>
      <c r="BS148" s="20">
        <f t="shared" si="125"/>
        <v>1.3410720326847872E-3</v>
      </c>
      <c r="BT148" s="164">
        <f t="shared" si="69"/>
        <v>9.4808252254636304E-3</v>
      </c>
      <c r="BU148" s="164"/>
      <c r="BV148" s="164">
        <f t="shared" si="70"/>
        <v>2.9532199328903868E-2</v>
      </c>
      <c r="BW148" s="162"/>
      <c r="BX148" s="163">
        <f t="shared" si="71"/>
        <v>1.438407925506147E-3</v>
      </c>
      <c r="BY148" s="164"/>
      <c r="BZ148" s="164"/>
      <c r="CA148" s="164"/>
      <c r="CB148" s="165"/>
      <c r="CC148" s="166"/>
    </row>
    <row r="149" spans="1:81" x14ac:dyDescent="0.3">
      <c r="A149" s="7">
        <v>61</v>
      </c>
      <c r="B149" s="150" t="s">
        <v>166</v>
      </c>
      <c r="C149" s="150"/>
      <c r="D149" s="150"/>
      <c r="E149" s="150"/>
      <c r="F149" s="20">
        <f t="shared" ref="F149:AK149" si="126">IF(F67=".",0,F67/F$83)</f>
        <v>5.1776336065700027E-7</v>
      </c>
      <c r="G149" s="20">
        <f t="shared" si="126"/>
        <v>0</v>
      </c>
      <c r="H149" s="20">
        <f t="shared" si="126"/>
        <v>6.9747166521360074E-6</v>
      </c>
      <c r="I149" s="20">
        <f t="shared" si="126"/>
        <v>0</v>
      </c>
      <c r="J149" s="20">
        <f t="shared" si="126"/>
        <v>0</v>
      </c>
      <c r="K149" s="20">
        <f t="shared" si="126"/>
        <v>0</v>
      </c>
      <c r="L149" s="20">
        <f t="shared" si="126"/>
        <v>0</v>
      </c>
      <c r="M149" s="20">
        <f t="shared" si="126"/>
        <v>0</v>
      </c>
      <c r="N149" s="20">
        <f t="shared" si="126"/>
        <v>7.2575034810097059E-6</v>
      </c>
      <c r="O149" s="20">
        <f t="shared" si="126"/>
        <v>1.6145351215206766E-6</v>
      </c>
      <c r="P149" s="20">
        <f t="shared" si="126"/>
        <v>0</v>
      </c>
      <c r="Q149" s="20">
        <f t="shared" si="126"/>
        <v>0</v>
      </c>
      <c r="R149" s="20">
        <f t="shared" si="126"/>
        <v>0</v>
      </c>
      <c r="S149" s="20">
        <f t="shared" si="126"/>
        <v>0</v>
      </c>
      <c r="T149" s="20">
        <f t="shared" si="126"/>
        <v>0</v>
      </c>
      <c r="U149" s="20">
        <f t="shared" si="126"/>
        <v>0</v>
      </c>
      <c r="V149" s="20">
        <f t="shared" si="126"/>
        <v>2.1651605627970313E-5</v>
      </c>
      <c r="W149" s="20">
        <f t="shared" si="126"/>
        <v>0</v>
      </c>
      <c r="X149" s="20">
        <f t="shared" si="126"/>
        <v>3.0865466488624167E-5</v>
      </c>
      <c r="Y149" s="20">
        <f t="shared" si="126"/>
        <v>0</v>
      </c>
      <c r="Z149" s="20">
        <f t="shared" si="126"/>
        <v>2.6692120272558576E-6</v>
      </c>
      <c r="AA149" s="20">
        <f t="shared" si="126"/>
        <v>1.3185865843060308E-5</v>
      </c>
      <c r="AB149" s="20">
        <f t="shared" si="126"/>
        <v>0</v>
      </c>
      <c r="AC149" s="20">
        <f t="shared" si="126"/>
        <v>4.1882705807079038E-7</v>
      </c>
      <c r="AD149" s="20">
        <f t="shared" si="126"/>
        <v>8.5631223427560982E-6</v>
      </c>
      <c r="AE149" s="20">
        <f t="shared" si="126"/>
        <v>0</v>
      </c>
      <c r="AF149" s="20">
        <f t="shared" si="126"/>
        <v>9.2854055091342603E-6</v>
      </c>
      <c r="AG149" s="20">
        <f t="shared" si="126"/>
        <v>0</v>
      </c>
      <c r="AH149" s="20">
        <f t="shared" si="126"/>
        <v>0</v>
      </c>
      <c r="AI149" s="20">
        <f t="shared" si="126"/>
        <v>1.2467789414948981E-3</v>
      </c>
      <c r="AJ149" s="20">
        <f t="shared" si="126"/>
        <v>4.2724894583045066E-4</v>
      </c>
      <c r="AK149" s="20">
        <f t="shared" si="126"/>
        <v>5.5752439221165638E-4</v>
      </c>
      <c r="AL149" s="20">
        <f t="shared" ref="AL149:BS149" si="127">IF(AL67=".",0,AL67/AL$83)</f>
        <v>0</v>
      </c>
      <c r="AM149" s="20">
        <f t="shared" si="127"/>
        <v>1.084377672501745E-2</v>
      </c>
      <c r="AN149" s="20">
        <f t="shared" si="127"/>
        <v>5.1961615954294567E-6</v>
      </c>
      <c r="AO149" s="20">
        <f t="shared" si="127"/>
        <v>0</v>
      </c>
      <c r="AP149" s="20">
        <f t="shared" si="127"/>
        <v>0</v>
      </c>
      <c r="AQ149" s="20">
        <f t="shared" si="127"/>
        <v>0</v>
      </c>
      <c r="AR149" s="20">
        <f t="shared" si="127"/>
        <v>5.6285337548264063E-4</v>
      </c>
      <c r="AS149" s="20">
        <f t="shared" si="127"/>
        <v>1.0570345201308582E-3</v>
      </c>
      <c r="AT149" s="20">
        <f t="shared" si="127"/>
        <v>6.0170196037114786E-5</v>
      </c>
      <c r="AU149" s="20">
        <f t="shared" si="127"/>
        <v>2.9708253171545384E-4</v>
      </c>
      <c r="AV149" s="20">
        <f t="shared" si="127"/>
        <v>1.0935078992045194E-4</v>
      </c>
      <c r="AW149" s="20">
        <f t="shared" si="127"/>
        <v>1.41530622919346E-4</v>
      </c>
      <c r="AX149" s="20">
        <f t="shared" si="127"/>
        <v>1.3079016528023255E-4</v>
      </c>
      <c r="AY149" s="20">
        <f t="shared" si="127"/>
        <v>0</v>
      </c>
      <c r="AZ149" s="20">
        <f t="shared" si="127"/>
        <v>7.509406730239209E-5</v>
      </c>
      <c r="BA149" s="20">
        <f t="shared" si="127"/>
        <v>1.5680706125551076E-5</v>
      </c>
      <c r="BB149" s="20">
        <f t="shared" si="127"/>
        <v>6.7306353072263978E-4</v>
      </c>
      <c r="BC149" s="20">
        <f t="shared" si="127"/>
        <v>1.0090169456020419E-3</v>
      </c>
      <c r="BD149" s="20">
        <f t="shared" si="127"/>
        <v>0</v>
      </c>
      <c r="BE149" s="20">
        <f t="shared" si="127"/>
        <v>4.3859641073984975E-5</v>
      </c>
      <c r="BF149" s="20">
        <f t="shared" si="127"/>
        <v>3.2646217511300486E-6</v>
      </c>
      <c r="BG149" s="20">
        <f t="shared" si="127"/>
        <v>0</v>
      </c>
      <c r="BH149" s="20">
        <f t="shared" si="127"/>
        <v>0</v>
      </c>
      <c r="BI149" s="20">
        <f t="shared" si="127"/>
        <v>8.097295365559026E-4</v>
      </c>
      <c r="BJ149" s="20">
        <f t="shared" si="127"/>
        <v>5.0496198293088828E-3</v>
      </c>
      <c r="BK149" s="20">
        <f t="shared" si="127"/>
        <v>7.0124664419309835E-5</v>
      </c>
      <c r="BL149" s="20">
        <f t="shared" si="127"/>
        <v>3.9660577386078238E-4</v>
      </c>
      <c r="BM149" s="20">
        <f t="shared" si="127"/>
        <v>1.8405613712182219E-3</v>
      </c>
      <c r="BN149" s="20">
        <f t="shared" si="127"/>
        <v>0.10025751487827721</v>
      </c>
      <c r="BO149" s="20">
        <f t="shared" si="127"/>
        <v>1.2788148095005359E-3</v>
      </c>
      <c r="BP149" s="20">
        <f t="shared" si="127"/>
        <v>1.9305019305019303E-3</v>
      </c>
      <c r="BQ149" s="20">
        <f t="shared" si="127"/>
        <v>1.2601555939314939E-4</v>
      </c>
      <c r="BR149" s="20">
        <f t="shared" si="127"/>
        <v>0</v>
      </c>
      <c r="BS149" s="20">
        <f t="shared" si="127"/>
        <v>1.0545526458980896E-3</v>
      </c>
      <c r="BT149" s="164">
        <f t="shared" si="69"/>
        <v>6.1378699537989381E-3</v>
      </c>
      <c r="BU149" s="164"/>
      <c r="BV149" s="164">
        <f t="shared" si="70"/>
        <v>1.4097344268500784E-2</v>
      </c>
      <c r="BW149" s="162"/>
      <c r="BX149" s="163">
        <f t="shared" si="71"/>
        <v>0</v>
      </c>
      <c r="BY149" s="164"/>
      <c r="BZ149" s="164"/>
      <c r="CA149" s="164"/>
      <c r="CB149" s="165"/>
      <c r="CC149" s="166"/>
    </row>
    <row r="150" spans="1:81" x14ac:dyDescent="0.3">
      <c r="A150" s="7">
        <v>62</v>
      </c>
      <c r="B150" s="150" t="s">
        <v>167</v>
      </c>
      <c r="C150" s="150"/>
      <c r="D150" s="150"/>
      <c r="E150" s="150"/>
      <c r="F150" s="20">
        <f t="shared" ref="F150:AK150" si="128">IF(F68=".",0,F68/F$83)</f>
        <v>1.5828025935284498E-3</v>
      </c>
      <c r="G150" s="20">
        <f t="shared" si="128"/>
        <v>1.4889762883145844E-3</v>
      </c>
      <c r="H150" s="20">
        <f t="shared" si="128"/>
        <v>1.212205754141238E-3</v>
      </c>
      <c r="I150" s="20">
        <f t="shared" si="128"/>
        <v>1.8339532204382299E-4</v>
      </c>
      <c r="J150" s="20">
        <f t="shared" si="128"/>
        <v>3.4385732928318906E-3</v>
      </c>
      <c r="K150" s="20">
        <f t="shared" si="128"/>
        <v>4.9767893392067952E-5</v>
      </c>
      <c r="L150" s="20">
        <f t="shared" si="128"/>
        <v>3.2493885293108822E-5</v>
      </c>
      <c r="M150" s="20">
        <f t="shared" si="128"/>
        <v>1.7864092535999334E-5</v>
      </c>
      <c r="N150" s="20">
        <f t="shared" si="128"/>
        <v>1.6744097316900966E-4</v>
      </c>
      <c r="O150" s="20">
        <f t="shared" si="128"/>
        <v>7.3192258842270669E-5</v>
      </c>
      <c r="P150" s="20">
        <f t="shared" si="128"/>
        <v>4.3022976337776694E-5</v>
      </c>
      <c r="Q150" s="20">
        <f t="shared" si="128"/>
        <v>1.1110765442852888E-6</v>
      </c>
      <c r="R150" s="20">
        <f t="shared" si="128"/>
        <v>2.9928772827716761E-5</v>
      </c>
      <c r="S150" s="20">
        <f t="shared" si="128"/>
        <v>1.3097445950412595E-4</v>
      </c>
      <c r="T150" s="20">
        <f t="shared" si="128"/>
        <v>0</v>
      </c>
      <c r="U150" s="20">
        <f t="shared" si="128"/>
        <v>0</v>
      </c>
      <c r="V150" s="20">
        <f t="shared" si="128"/>
        <v>0</v>
      </c>
      <c r="W150" s="20">
        <f t="shared" si="128"/>
        <v>3.0467809012359981E-6</v>
      </c>
      <c r="X150" s="20">
        <f t="shared" si="128"/>
        <v>3.5155647158857642E-5</v>
      </c>
      <c r="Y150" s="20">
        <f t="shared" si="128"/>
        <v>1.4774890134277323E-5</v>
      </c>
      <c r="Z150" s="20">
        <f t="shared" si="128"/>
        <v>5.3384240545117153E-6</v>
      </c>
      <c r="AA150" s="20">
        <f t="shared" si="128"/>
        <v>5.1682531637742128E-5</v>
      </c>
      <c r="AB150" s="20">
        <f t="shared" si="128"/>
        <v>0</v>
      </c>
      <c r="AC150" s="20">
        <f t="shared" si="128"/>
        <v>3.0853593277881559E-4</v>
      </c>
      <c r="AD150" s="20">
        <f t="shared" si="128"/>
        <v>1.2559246102708944E-4</v>
      </c>
      <c r="AE150" s="20">
        <f t="shared" si="128"/>
        <v>2.5680408076790463E-5</v>
      </c>
      <c r="AF150" s="20">
        <f t="shared" si="128"/>
        <v>5.3442667263683854E-4</v>
      </c>
      <c r="AG150" s="20">
        <f t="shared" si="128"/>
        <v>3.8309207208391538E-3</v>
      </c>
      <c r="AH150" s="20">
        <f t="shared" si="128"/>
        <v>5.7223349051684648E-5</v>
      </c>
      <c r="AI150" s="20">
        <f t="shared" si="128"/>
        <v>1.1877613317642995E-3</v>
      </c>
      <c r="AJ150" s="20">
        <f t="shared" si="128"/>
        <v>1.0649553444182227E-3</v>
      </c>
      <c r="AK150" s="20">
        <f t="shared" si="128"/>
        <v>2.5144703346839914E-3</v>
      </c>
      <c r="AL150" s="20">
        <f t="shared" ref="AL150:BS150" si="129">IF(AL68=".",0,AL68/AL$83)</f>
        <v>2.6156666241099538E-3</v>
      </c>
      <c r="AM150" s="20">
        <f t="shared" si="129"/>
        <v>0</v>
      </c>
      <c r="AN150" s="20">
        <f t="shared" si="129"/>
        <v>1.909589386320325E-4</v>
      </c>
      <c r="AO150" s="20">
        <f t="shared" si="129"/>
        <v>1.885997919927849E-4</v>
      </c>
      <c r="AP150" s="20">
        <f t="shared" si="129"/>
        <v>3.6602744294009915E-4</v>
      </c>
      <c r="AQ150" s="20">
        <f t="shared" si="129"/>
        <v>2.8198133987170635E-4</v>
      </c>
      <c r="AR150" s="20">
        <f t="shared" si="129"/>
        <v>3.2509634618393902E-4</v>
      </c>
      <c r="AS150" s="20">
        <f t="shared" si="129"/>
        <v>9.239760256840061E-4</v>
      </c>
      <c r="AT150" s="20">
        <f t="shared" si="129"/>
        <v>8.3239401632372227E-6</v>
      </c>
      <c r="AU150" s="20">
        <f t="shared" si="129"/>
        <v>1.8052182167978712E-4</v>
      </c>
      <c r="AV150" s="20">
        <f t="shared" si="129"/>
        <v>2.4403142383377695E-5</v>
      </c>
      <c r="AW150" s="20">
        <f t="shared" si="129"/>
        <v>1.5041901952780732E-4</v>
      </c>
      <c r="AX150" s="20">
        <f t="shared" si="129"/>
        <v>4.8345650380371668E-4</v>
      </c>
      <c r="AY150" s="20">
        <f t="shared" si="129"/>
        <v>9.2628669975904949E-5</v>
      </c>
      <c r="AZ150" s="20">
        <f t="shared" si="129"/>
        <v>6.1087159713364345E-4</v>
      </c>
      <c r="BA150" s="20">
        <f t="shared" si="129"/>
        <v>3.0527332138040927E-4</v>
      </c>
      <c r="BB150" s="20">
        <f t="shared" si="129"/>
        <v>3.1695721077654512E-4</v>
      </c>
      <c r="BC150" s="20">
        <f t="shared" si="129"/>
        <v>4.9428558515450191E-4</v>
      </c>
      <c r="BD150" s="20">
        <f t="shared" si="129"/>
        <v>0</v>
      </c>
      <c r="BE150" s="20">
        <f t="shared" si="129"/>
        <v>0</v>
      </c>
      <c r="BF150" s="20">
        <f t="shared" si="129"/>
        <v>9.7938652533901455E-6</v>
      </c>
      <c r="BG150" s="20">
        <f t="shared" si="129"/>
        <v>4.6643895571819183E-3</v>
      </c>
      <c r="BH150" s="20">
        <f t="shared" si="129"/>
        <v>6.9235040475665451E-4</v>
      </c>
      <c r="BI150" s="20">
        <f t="shared" si="129"/>
        <v>0</v>
      </c>
      <c r="BJ150" s="20">
        <f t="shared" si="129"/>
        <v>7.0668660406105724E-4</v>
      </c>
      <c r="BK150" s="20">
        <f t="shared" si="129"/>
        <v>2.778244120002318E-5</v>
      </c>
      <c r="BL150" s="20">
        <f t="shared" si="129"/>
        <v>0</v>
      </c>
      <c r="BM150" s="20">
        <f t="shared" si="129"/>
        <v>1.6841136546646729E-4</v>
      </c>
      <c r="BN150" s="20">
        <f t="shared" si="129"/>
        <v>9.5485031542478168E-5</v>
      </c>
      <c r="BO150" s="20">
        <f t="shared" si="129"/>
        <v>5.4703859312435263E-5</v>
      </c>
      <c r="BP150" s="20">
        <f t="shared" si="129"/>
        <v>0</v>
      </c>
      <c r="BQ150" s="20">
        <f t="shared" si="129"/>
        <v>0</v>
      </c>
      <c r="BR150" s="20">
        <f t="shared" si="129"/>
        <v>0</v>
      </c>
      <c r="BS150" s="20">
        <f t="shared" si="129"/>
        <v>7.6612238183589693E-4</v>
      </c>
      <c r="BT150" s="164">
        <f t="shared" si="69"/>
        <v>0</v>
      </c>
      <c r="BU150" s="164"/>
      <c r="BV150" s="164">
        <f t="shared" si="70"/>
        <v>0</v>
      </c>
      <c r="BW150" s="162"/>
      <c r="BX150" s="163">
        <f t="shared" si="71"/>
        <v>0</v>
      </c>
      <c r="BY150" s="164"/>
      <c r="BZ150" s="164"/>
      <c r="CA150" s="164"/>
      <c r="CB150" s="165"/>
      <c r="CC150" s="166"/>
    </row>
    <row r="151" spans="1:81" x14ac:dyDescent="0.3">
      <c r="A151" s="7">
        <v>63</v>
      </c>
      <c r="B151" s="150" t="s">
        <v>168</v>
      </c>
      <c r="C151" s="150"/>
      <c r="D151" s="150"/>
      <c r="E151" s="150"/>
      <c r="F151" s="20">
        <f t="shared" ref="F151:AK151" si="130">IF(F69=".",0,F69/F$83)</f>
        <v>1.7228575825861683E-4</v>
      </c>
      <c r="G151" s="20">
        <f t="shared" si="130"/>
        <v>3.7653095198742132E-4</v>
      </c>
      <c r="H151" s="20">
        <f t="shared" si="130"/>
        <v>2.4690496948561466E-4</v>
      </c>
      <c r="I151" s="20">
        <f t="shared" si="130"/>
        <v>1.6374582325341338E-6</v>
      </c>
      <c r="J151" s="20">
        <f t="shared" si="130"/>
        <v>5.2766334133753993E-5</v>
      </c>
      <c r="K151" s="20">
        <f t="shared" si="130"/>
        <v>1.3952024814186572E-4</v>
      </c>
      <c r="L151" s="20">
        <f t="shared" si="130"/>
        <v>1.0564291079015382E-4</v>
      </c>
      <c r="M151" s="20">
        <f t="shared" si="130"/>
        <v>9.9528515557710581E-6</v>
      </c>
      <c r="N151" s="20">
        <f t="shared" si="130"/>
        <v>2.6438048395106785E-4</v>
      </c>
      <c r="O151" s="20">
        <f t="shared" si="130"/>
        <v>0</v>
      </c>
      <c r="P151" s="20">
        <f t="shared" si="130"/>
        <v>8.6252793907946545E-5</v>
      </c>
      <c r="Q151" s="20">
        <f t="shared" si="130"/>
        <v>0</v>
      </c>
      <c r="R151" s="20">
        <f t="shared" si="130"/>
        <v>2.6456373770357356E-5</v>
      </c>
      <c r="S151" s="20">
        <f t="shared" si="130"/>
        <v>1.1382871207813128E-4</v>
      </c>
      <c r="T151" s="20">
        <f t="shared" si="130"/>
        <v>1.4692468084092883E-5</v>
      </c>
      <c r="U151" s="20">
        <f t="shared" si="130"/>
        <v>9.2984541383683004E-5</v>
      </c>
      <c r="V151" s="20">
        <f t="shared" si="130"/>
        <v>1.6917195410193567E-3</v>
      </c>
      <c r="W151" s="20">
        <f t="shared" si="130"/>
        <v>4.255636029402869E-4</v>
      </c>
      <c r="X151" s="20">
        <f t="shared" si="130"/>
        <v>2.046177836330799E-4</v>
      </c>
      <c r="Y151" s="20">
        <f t="shared" si="130"/>
        <v>4.6366728388870306E-5</v>
      </c>
      <c r="Z151" s="20">
        <f t="shared" si="130"/>
        <v>6.6089689794855038E-4</v>
      </c>
      <c r="AA151" s="20">
        <f t="shared" si="130"/>
        <v>2.1067073013625091E-5</v>
      </c>
      <c r="AB151" s="20">
        <f t="shared" si="130"/>
        <v>0</v>
      </c>
      <c r="AC151" s="20">
        <f t="shared" si="130"/>
        <v>0</v>
      </c>
      <c r="AD151" s="20">
        <f t="shared" si="130"/>
        <v>0</v>
      </c>
      <c r="AE151" s="20">
        <f t="shared" si="130"/>
        <v>0</v>
      </c>
      <c r="AF151" s="20">
        <f t="shared" si="130"/>
        <v>1.2071027161874539E-4</v>
      </c>
      <c r="AG151" s="20">
        <f t="shared" si="130"/>
        <v>6.5435438949472351E-5</v>
      </c>
      <c r="AH151" s="20">
        <f t="shared" si="130"/>
        <v>1.5936970109721517E-4</v>
      </c>
      <c r="AI151" s="20">
        <f t="shared" si="130"/>
        <v>4.4965797889979934E-4</v>
      </c>
      <c r="AJ151" s="20">
        <f t="shared" si="130"/>
        <v>4.6662755496363489E-4</v>
      </c>
      <c r="AK151" s="20">
        <f t="shared" si="130"/>
        <v>1.1058017343102235E-3</v>
      </c>
      <c r="AL151" s="20">
        <f t="shared" ref="AL151:BS151" si="131">IF(AL69=".",0,AL69/AL$83)</f>
        <v>3.1599638138833929E-4</v>
      </c>
      <c r="AM151" s="20">
        <f t="shared" si="131"/>
        <v>0</v>
      </c>
      <c r="AN151" s="20">
        <f t="shared" si="131"/>
        <v>7.7942423931441834E-6</v>
      </c>
      <c r="AO151" s="20">
        <f t="shared" si="131"/>
        <v>1.6825849399470139E-4</v>
      </c>
      <c r="AP151" s="20">
        <f t="shared" si="131"/>
        <v>2.0450643609108739E-4</v>
      </c>
      <c r="AQ151" s="20">
        <f t="shared" si="131"/>
        <v>7.0066499286557452E-4</v>
      </c>
      <c r="AR151" s="20">
        <f t="shared" si="131"/>
        <v>1.6539883135141824E-3</v>
      </c>
      <c r="AS151" s="20">
        <f t="shared" si="131"/>
        <v>1.5862951237406832E-3</v>
      </c>
      <c r="AT151" s="20">
        <f t="shared" si="131"/>
        <v>5.0179089572612049E-3</v>
      </c>
      <c r="AU151" s="20">
        <f t="shared" si="131"/>
        <v>2.5439269766087485E-3</v>
      </c>
      <c r="AV151" s="20">
        <f t="shared" si="131"/>
        <v>8.4854977376124712E-4</v>
      </c>
      <c r="AW151" s="20">
        <f t="shared" si="131"/>
        <v>1.1732683523168973E-3</v>
      </c>
      <c r="AX151" s="20">
        <f t="shared" si="131"/>
        <v>5.4377178984589538E-3</v>
      </c>
      <c r="AY151" s="20">
        <f t="shared" si="131"/>
        <v>3.0775320634696086E-4</v>
      </c>
      <c r="AZ151" s="20">
        <f t="shared" si="131"/>
        <v>8.6717670273134696E-4</v>
      </c>
      <c r="BA151" s="20">
        <f t="shared" si="131"/>
        <v>6.31231829564737E-4</v>
      </c>
      <c r="BB151" s="20">
        <f t="shared" si="131"/>
        <v>2.0334950743644857E-3</v>
      </c>
      <c r="BC151" s="20">
        <f t="shared" si="131"/>
        <v>1.1004848877024761E-3</v>
      </c>
      <c r="BD151" s="20">
        <f t="shared" si="131"/>
        <v>1.0878856165980264E-3</v>
      </c>
      <c r="BE151" s="20">
        <f t="shared" si="131"/>
        <v>1.1482417330540753E-3</v>
      </c>
      <c r="BF151" s="20">
        <f t="shared" si="131"/>
        <v>1.1360883693932568E-4</v>
      </c>
      <c r="BG151" s="20">
        <f t="shared" si="131"/>
        <v>6.0349417487117938E-4</v>
      </c>
      <c r="BH151" s="20">
        <f t="shared" si="131"/>
        <v>9.5430646733917998E-4</v>
      </c>
      <c r="BI151" s="20">
        <f t="shared" si="131"/>
        <v>4.7125995176509755E-3</v>
      </c>
      <c r="BJ151" s="20">
        <f t="shared" si="131"/>
        <v>1.5315917325540952E-3</v>
      </c>
      <c r="BK151" s="20">
        <f t="shared" si="131"/>
        <v>1.04919572061264E-3</v>
      </c>
      <c r="BL151" s="20">
        <f t="shared" si="131"/>
        <v>1.7342761295272499E-3</v>
      </c>
      <c r="BM151" s="20">
        <f t="shared" si="131"/>
        <v>2.3586793972161508E-3</v>
      </c>
      <c r="BN151" s="20">
        <f t="shared" si="131"/>
        <v>1.2943526497980373E-3</v>
      </c>
      <c r="BO151" s="20">
        <f t="shared" si="131"/>
        <v>1.1568521067711719E-3</v>
      </c>
      <c r="BP151" s="20">
        <f t="shared" si="131"/>
        <v>2.6606276606276607E-2</v>
      </c>
      <c r="BQ151" s="20">
        <f t="shared" si="131"/>
        <v>1.2480581002297514E-3</v>
      </c>
      <c r="BR151" s="20">
        <f t="shared" si="131"/>
        <v>0</v>
      </c>
      <c r="BS151" s="20">
        <f t="shared" si="131"/>
        <v>1.007848357185995E-3</v>
      </c>
      <c r="BT151" s="164">
        <f t="shared" si="69"/>
        <v>2.5824292796765091E-4</v>
      </c>
      <c r="BU151" s="164"/>
      <c r="BV151" s="164">
        <f t="shared" si="70"/>
        <v>0</v>
      </c>
      <c r="BW151" s="162"/>
      <c r="BX151" s="163">
        <f t="shared" si="71"/>
        <v>0</v>
      </c>
      <c r="BY151" s="164"/>
      <c r="BZ151" s="164"/>
      <c r="CA151" s="164"/>
      <c r="CB151" s="165"/>
      <c r="CC151" s="166"/>
    </row>
    <row r="152" spans="1:81" x14ac:dyDescent="0.3">
      <c r="A152" s="7">
        <v>64</v>
      </c>
      <c r="B152" s="150" t="s">
        <v>169</v>
      </c>
      <c r="C152" s="150"/>
      <c r="D152" s="150"/>
      <c r="E152" s="150"/>
      <c r="F152" s="20">
        <f t="shared" ref="F152:AK152" si="132">IF(F70=".",0,F70/F$83)</f>
        <v>5.345906698783528E-5</v>
      </c>
      <c r="G152" s="20">
        <f t="shared" si="132"/>
        <v>2.4673375474950569E-4</v>
      </c>
      <c r="H152" s="20">
        <f t="shared" si="132"/>
        <v>1.4646904969485615E-4</v>
      </c>
      <c r="I152" s="20">
        <f t="shared" si="132"/>
        <v>0</v>
      </c>
      <c r="J152" s="20">
        <f t="shared" si="132"/>
        <v>8.2890398023546385E-4</v>
      </c>
      <c r="K152" s="20">
        <f t="shared" si="132"/>
        <v>2.8169903759741032E-4</v>
      </c>
      <c r="L152" s="20">
        <f t="shared" si="132"/>
        <v>1.6496314324385247E-4</v>
      </c>
      <c r="M152" s="20">
        <f t="shared" si="132"/>
        <v>9.3658885153025099E-5</v>
      </c>
      <c r="N152" s="20">
        <f t="shared" si="132"/>
        <v>8.8489703157739765E-4</v>
      </c>
      <c r="O152" s="20">
        <f t="shared" si="132"/>
        <v>8.4440186855531398E-4</v>
      </c>
      <c r="P152" s="20">
        <f t="shared" si="132"/>
        <v>4.167850832722118E-5</v>
      </c>
      <c r="Q152" s="20">
        <f t="shared" si="132"/>
        <v>5.6664903758549732E-5</v>
      </c>
      <c r="R152" s="20">
        <f t="shared" si="132"/>
        <v>2.944925105312903E-4</v>
      </c>
      <c r="S152" s="20">
        <f t="shared" si="132"/>
        <v>4.7079364807210358E-4</v>
      </c>
      <c r="T152" s="20">
        <f t="shared" si="132"/>
        <v>3.155014199110472E-5</v>
      </c>
      <c r="U152" s="20">
        <f t="shared" si="132"/>
        <v>1.8520482626284258E-4</v>
      </c>
      <c r="V152" s="20">
        <f t="shared" si="132"/>
        <v>1.4510471946560052E-4</v>
      </c>
      <c r="W152" s="20">
        <f t="shared" si="132"/>
        <v>5.9582488859759276E-4</v>
      </c>
      <c r="X152" s="20">
        <f t="shared" si="132"/>
        <v>3.2784130621700807E-4</v>
      </c>
      <c r="Y152" s="20">
        <f t="shared" si="132"/>
        <v>2.9802034490359383E-4</v>
      </c>
      <c r="Z152" s="20">
        <f t="shared" si="132"/>
        <v>6.2993403843238246E-4</v>
      </c>
      <c r="AA152" s="20">
        <f t="shared" si="132"/>
        <v>1.6050381526207892E-4</v>
      </c>
      <c r="AB152" s="20">
        <f t="shared" si="132"/>
        <v>1.1990850130687448E-3</v>
      </c>
      <c r="AC152" s="20">
        <f t="shared" si="132"/>
        <v>6.9246073601037341E-5</v>
      </c>
      <c r="AD152" s="20">
        <f t="shared" si="132"/>
        <v>0</v>
      </c>
      <c r="AE152" s="20">
        <f t="shared" si="132"/>
        <v>2.7795265212526149E-4</v>
      </c>
      <c r="AF152" s="20">
        <f t="shared" si="132"/>
        <v>6.1902703394228406E-5</v>
      </c>
      <c r="AG152" s="20">
        <f t="shared" si="132"/>
        <v>1.1731218334184684E-4</v>
      </c>
      <c r="AH152" s="20">
        <f t="shared" si="132"/>
        <v>4.0936329567985108E-5</v>
      </c>
      <c r="AI152" s="20">
        <f t="shared" si="132"/>
        <v>0</v>
      </c>
      <c r="AJ152" s="20">
        <f t="shared" si="132"/>
        <v>0</v>
      </c>
      <c r="AK152" s="20">
        <f t="shared" si="132"/>
        <v>3.3278990463174349E-4</v>
      </c>
      <c r="AL152" s="20">
        <f t="shared" ref="AL152:BS152" si="133">IF(AL70=".",0,AL70/AL$83)</f>
        <v>0</v>
      </c>
      <c r="AM152" s="20">
        <f t="shared" si="133"/>
        <v>0</v>
      </c>
      <c r="AN152" s="20">
        <f t="shared" si="133"/>
        <v>0</v>
      </c>
      <c r="AO152" s="20">
        <f t="shared" si="133"/>
        <v>0</v>
      </c>
      <c r="AP152" s="20">
        <f t="shared" si="133"/>
        <v>6.7734615775392006E-5</v>
      </c>
      <c r="AQ152" s="20">
        <f t="shared" si="133"/>
        <v>6.6635813835604356E-4</v>
      </c>
      <c r="AR152" s="20">
        <f t="shared" si="133"/>
        <v>0</v>
      </c>
      <c r="AS152" s="20">
        <f t="shared" si="133"/>
        <v>1.2190834128091474E-4</v>
      </c>
      <c r="AT152" s="20">
        <f t="shared" si="133"/>
        <v>4.4592536588770835E-5</v>
      </c>
      <c r="AU152" s="20">
        <f t="shared" si="133"/>
        <v>1.0751357911232076E-4</v>
      </c>
      <c r="AV152" s="20">
        <f t="shared" si="133"/>
        <v>8.8654453975055663E-5</v>
      </c>
      <c r="AW152" s="20">
        <f t="shared" si="133"/>
        <v>2.1400524141910771E-4</v>
      </c>
      <c r="AX152" s="20">
        <f t="shared" si="133"/>
        <v>1.09186432622337E-4</v>
      </c>
      <c r="AY152" s="20">
        <f t="shared" si="133"/>
        <v>0</v>
      </c>
      <c r="AZ152" s="20">
        <f t="shared" si="133"/>
        <v>0</v>
      </c>
      <c r="BA152" s="20">
        <f t="shared" si="133"/>
        <v>0</v>
      </c>
      <c r="BB152" s="20">
        <f t="shared" si="133"/>
        <v>9.252741378726223E-4</v>
      </c>
      <c r="BC152" s="20">
        <f t="shared" si="133"/>
        <v>2.8695824972685164E-4</v>
      </c>
      <c r="BD152" s="20">
        <f t="shared" si="133"/>
        <v>0</v>
      </c>
      <c r="BE152" s="20">
        <f t="shared" si="133"/>
        <v>2.0072667534194464E-3</v>
      </c>
      <c r="BF152" s="20">
        <f t="shared" si="133"/>
        <v>0</v>
      </c>
      <c r="BG152" s="20">
        <f t="shared" si="133"/>
        <v>0</v>
      </c>
      <c r="BH152" s="20">
        <f t="shared" si="133"/>
        <v>3.265152139086448E-4</v>
      </c>
      <c r="BI152" s="20">
        <f t="shared" si="133"/>
        <v>1.0562103866136054E-3</v>
      </c>
      <c r="BJ152" s="20">
        <f t="shared" si="133"/>
        <v>2.2320022566501343E-4</v>
      </c>
      <c r="BK152" s="20">
        <f t="shared" si="133"/>
        <v>1.3561396966513986E-3</v>
      </c>
      <c r="BL152" s="20">
        <f t="shared" si="133"/>
        <v>2.5274876772488145E-3</v>
      </c>
      <c r="BM152" s="20">
        <f t="shared" si="133"/>
        <v>1.2801104336822731E-3</v>
      </c>
      <c r="BN152" s="20">
        <f t="shared" si="133"/>
        <v>1.8425074605048564E-3</v>
      </c>
      <c r="BO152" s="20">
        <f t="shared" si="133"/>
        <v>6.1609100569906593E-4</v>
      </c>
      <c r="BP152" s="20">
        <f t="shared" si="133"/>
        <v>0</v>
      </c>
      <c r="BQ152" s="20">
        <f t="shared" si="133"/>
        <v>5.7716134326537563E-2</v>
      </c>
      <c r="BR152" s="20">
        <f t="shared" si="133"/>
        <v>0</v>
      </c>
      <c r="BS152" s="20">
        <f t="shared" si="133"/>
        <v>5.81991335613214E-4</v>
      </c>
      <c r="BT152" s="164">
        <f t="shared" si="69"/>
        <v>9.5754261903100001E-3</v>
      </c>
      <c r="BU152" s="164"/>
      <c r="BV152" s="164">
        <f t="shared" si="70"/>
        <v>4.1364201229971255E-4</v>
      </c>
      <c r="BW152" s="162"/>
      <c r="BX152" s="163">
        <f t="shared" si="71"/>
        <v>0</v>
      </c>
      <c r="BY152" s="164"/>
      <c r="BZ152" s="164"/>
      <c r="CA152" s="164"/>
      <c r="CB152" s="165"/>
      <c r="CC152" s="166"/>
    </row>
    <row r="153" spans="1:81" x14ac:dyDescent="0.3">
      <c r="A153" s="7">
        <v>65</v>
      </c>
      <c r="B153" s="150" t="s">
        <v>170</v>
      </c>
      <c r="C153" s="150"/>
      <c r="D153" s="150"/>
      <c r="E153" s="150"/>
      <c r="F153" s="20">
        <f t="shared" ref="F153:AK153" si="134">IF(F71=".",0,F71/F$83)</f>
        <v>0</v>
      </c>
      <c r="G153" s="20">
        <f t="shared" si="134"/>
        <v>0</v>
      </c>
      <c r="H153" s="20">
        <f t="shared" si="134"/>
        <v>0</v>
      </c>
      <c r="I153" s="20">
        <f t="shared" si="134"/>
        <v>0</v>
      </c>
      <c r="J153" s="20">
        <f t="shared" si="134"/>
        <v>0</v>
      </c>
      <c r="K153" s="20">
        <f t="shared" si="134"/>
        <v>0</v>
      </c>
      <c r="L153" s="20">
        <f t="shared" si="134"/>
        <v>0</v>
      </c>
      <c r="M153" s="20">
        <f t="shared" si="134"/>
        <v>0</v>
      </c>
      <c r="N153" s="20">
        <f t="shared" si="134"/>
        <v>0</v>
      </c>
      <c r="O153" s="20">
        <f t="shared" si="134"/>
        <v>0</v>
      </c>
      <c r="P153" s="20">
        <f t="shared" si="134"/>
        <v>0</v>
      </c>
      <c r="Q153" s="20">
        <f t="shared" si="134"/>
        <v>0</v>
      </c>
      <c r="R153" s="20">
        <f t="shared" si="134"/>
        <v>0</v>
      </c>
      <c r="S153" s="20">
        <f t="shared" si="134"/>
        <v>0</v>
      </c>
      <c r="T153" s="20">
        <f t="shared" si="134"/>
        <v>0</v>
      </c>
      <c r="U153" s="20">
        <f t="shared" si="134"/>
        <v>0</v>
      </c>
      <c r="V153" s="20">
        <f t="shared" si="134"/>
        <v>0</v>
      </c>
      <c r="W153" s="20">
        <f t="shared" si="134"/>
        <v>0</v>
      </c>
      <c r="X153" s="20">
        <f t="shared" si="134"/>
        <v>0</v>
      </c>
      <c r="Y153" s="20">
        <f t="shared" si="134"/>
        <v>0</v>
      </c>
      <c r="Z153" s="20">
        <f t="shared" si="134"/>
        <v>0</v>
      </c>
      <c r="AA153" s="20">
        <f t="shared" si="134"/>
        <v>0</v>
      </c>
      <c r="AB153" s="20">
        <f t="shared" si="134"/>
        <v>0</v>
      </c>
      <c r="AC153" s="20">
        <f t="shared" si="134"/>
        <v>0</v>
      </c>
      <c r="AD153" s="20">
        <f t="shared" si="134"/>
        <v>0</v>
      </c>
      <c r="AE153" s="20">
        <f t="shared" si="134"/>
        <v>0</v>
      </c>
      <c r="AF153" s="20">
        <f t="shared" si="134"/>
        <v>0</v>
      </c>
      <c r="AG153" s="20">
        <f t="shared" si="134"/>
        <v>0</v>
      </c>
      <c r="AH153" s="20">
        <f t="shared" si="134"/>
        <v>0</v>
      </c>
      <c r="AI153" s="20">
        <f t="shared" si="134"/>
        <v>0</v>
      </c>
      <c r="AJ153" s="20">
        <f t="shared" si="134"/>
        <v>0</v>
      </c>
      <c r="AK153" s="20">
        <f t="shared" si="134"/>
        <v>0</v>
      </c>
      <c r="AL153" s="20">
        <f t="shared" ref="AL153:BS153" si="135">IF(AL71=".",0,AL71/AL$83)</f>
        <v>0</v>
      </c>
      <c r="AM153" s="20">
        <f t="shared" si="135"/>
        <v>0</v>
      </c>
      <c r="AN153" s="20">
        <f t="shared" si="135"/>
        <v>0</v>
      </c>
      <c r="AO153" s="20">
        <f t="shared" si="135"/>
        <v>0</v>
      </c>
      <c r="AP153" s="20">
        <f t="shared" si="135"/>
        <v>0</v>
      </c>
      <c r="AQ153" s="20">
        <f t="shared" si="135"/>
        <v>0</v>
      </c>
      <c r="AR153" s="20">
        <f t="shared" si="135"/>
        <v>0</v>
      </c>
      <c r="AS153" s="20">
        <f t="shared" si="135"/>
        <v>0</v>
      </c>
      <c r="AT153" s="20">
        <f t="shared" si="135"/>
        <v>0</v>
      </c>
      <c r="AU153" s="20">
        <f t="shared" si="135"/>
        <v>0</v>
      </c>
      <c r="AV153" s="20">
        <f t="shared" si="135"/>
        <v>0</v>
      </c>
      <c r="AW153" s="20">
        <f t="shared" si="135"/>
        <v>0</v>
      </c>
      <c r="AX153" s="20">
        <f t="shared" si="135"/>
        <v>0</v>
      </c>
      <c r="AY153" s="20">
        <f t="shared" si="135"/>
        <v>0</v>
      </c>
      <c r="AZ153" s="20">
        <f t="shared" si="135"/>
        <v>0</v>
      </c>
      <c r="BA153" s="20">
        <f t="shared" si="135"/>
        <v>0</v>
      </c>
      <c r="BB153" s="20">
        <f t="shared" si="135"/>
        <v>0</v>
      </c>
      <c r="BC153" s="20">
        <f t="shared" si="135"/>
        <v>0</v>
      </c>
      <c r="BD153" s="20">
        <f t="shared" si="135"/>
        <v>0</v>
      </c>
      <c r="BE153" s="20">
        <f t="shared" si="135"/>
        <v>0</v>
      </c>
      <c r="BF153" s="20">
        <f t="shared" si="135"/>
        <v>0</v>
      </c>
      <c r="BG153" s="20">
        <f t="shared" si="135"/>
        <v>0</v>
      </c>
      <c r="BH153" s="20">
        <f t="shared" si="135"/>
        <v>0</v>
      </c>
      <c r="BI153" s="20">
        <f t="shared" si="135"/>
        <v>0</v>
      </c>
      <c r="BJ153" s="20">
        <f t="shared" si="135"/>
        <v>0</v>
      </c>
      <c r="BK153" s="20">
        <f t="shared" si="135"/>
        <v>0</v>
      </c>
      <c r="BL153" s="20">
        <f t="shared" si="135"/>
        <v>0</v>
      </c>
      <c r="BM153" s="20">
        <f t="shared" si="135"/>
        <v>0</v>
      </c>
      <c r="BN153" s="20">
        <f t="shared" si="135"/>
        <v>0</v>
      </c>
      <c r="BO153" s="20">
        <f t="shared" si="135"/>
        <v>0</v>
      </c>
      <c r="BP153" s="20">
        <f t="shared" si="135"/>
        <v>0</v>
      </c>
      <c r="BQ153" s="20">
        <f t="shared" si="135"/>
        <v>0</v>
      </c>
      <c r="BR153" s="20">
        <f t="shared" si="135"/>
        <v>0</v>
      </c>
      <c r="BS153" s="20">
        <f t="shared" si="135"/>
        <v>0</v>
      </c>
      <c r="BT153" s="164">
        <f t="shared" ref="BT153:BT156" si="136">IF(BT71=".",0,BT71/BT$74)</f>
        <v>5.4829353328672168E-4</v>
      </c>
      <c r="BU153" s="164"/>
      <c r="BV153" s="164">
        <f t="shared" ref="BV153:BV156" si="137">IF(BV71=".",0,BV71/BV$74)</f>
        <v>0</v>
      </c>
      <c r="BW153" s="162"/>
      <c r="BX153" s="163">
        <f t="shared" ref="BX153:BX156" si="138">IF(BX71=".",0,BX71/BX$74)</f>
        <v>0</v>
      </c>
      <c r="BY153" s="164"/>
      <c r="BZ153" s="164"/>
      <c r="CA153" s="164"/>
      <c r="CB153" s="165"/>
      <c r="CC153" s="166"/>
    </row>
    <row r="154" spans="1:81" s="7" customFormat="1" x14ac:dyDescent="0.3">
      <c r="A154" s="7">
        <v>66</v>
      </c>
      <c r="B154" s="4" t="s">
        <v>13</v>
      </c>
      <c r="C154" s="4"/>
      <c r="D154" s="4"/>
      <c r="E154" s="4"/>
      <c r="F154" s="22">
        <f t="shared" ref="F154:AK154" si="139">IF(F72=".",0,F72/F$83)</f>
        <v>0.48934203538213589</v>
      </c>
      <c r="G154" s="22">
        <f t="shared" si="139"/>
        <v>0.5589496001055525</v>
      </c>
      <c r="H154" s="22">
        <f t="shared" si="139"/>
        <v>0.42928823016564949</v>
      </c>
      <c r="I154" s="22">
        <f t="shared" si="139"/>
        <v>0.42857390815103785</v>
      </c>
      <c r="J154" s="22">
        <f t="shared" si="139"/>
        <v>0.47422482711149994</v>
      </c>
      <c r="K154" s="22">
        <f t="shared" si="139"/>
        <v>0.29577027140410217</v>
      </c>
      <c r="L154" s="22">
        <f t="shared" si="139"/>
        <v>0.62452779016869542</v>
      </c>
      <c r="M154" s="22">
        <f t="shared" si="139"/>
        <v>0.31632025213890602</v>
      </c>
      <c r="N154" s="22">
        <f t="shared" si="139"/>
        <v>0.66254163992622228</v>
      </c>
      <c r="O154" s="22">
        <f t="shared" si="139"/>
        <v>0.58150388564785904</v>
      </c>
      <c r="P154" s="22">
        <f t="shared" si="139"/>
        <v>0.24036254303848942</v>
      </c>
      <c r="Q154" s="22">
        <f t="shared" si="139"/>
        <v>8.6075099885781325E-2</v>
      </c>
      <c r="R154" s="22">
        <f t="shared" si="139"/>
        <v>0.31195801638046383</v>
      </c>
      <c r="S154" s="22">
        <f t="shared" si="139"/>
        <v>0.43401506730182132</v>
      </c>
      <c r="T154" s="22">
        <f t="shared" si="139"/>
        <v>8.0006984335354497E-2</v>
      </c>
      <c r="U154" s="22">
        <f t="shared" si="139"/>
        <v>0.50325772826792048</v>
      </c>
      <c r="V154" s="22">
        <f t="shared" si="139"/>
        <v>0.38802215365571224</v>
      </c>
      <c r="W154" s="22">
        <f t="shared" si="139"/>
        <v>0.34434699823528658</v>
      </c>
      <c r="X154" s="22">
        <f t="shared" si="139"/>
        <v>0.21086762349612781</v>
      </c>
      <c r="Y154" s="22">
        <f t="shared" si="139"/>
        <v>0.22000724329979751</v>
      </c>
      <c r="Z154" s="22">
        <f t="shared" si="139"/>
        <v>0.2020193122828596</v>
      </c>
      <c r="AA154" s="22">
        <f t="shared" si="139"/>
        <v>0.44428229029092869</v>
      </c>
      <c r="AB154" s="22">
        <f t="shared" si="139"/>
        <v>0.57866281240010053</v>
      </c>
      <c r="AC154" s="22">
        <f t="shared" si="139"/>
        <v>0.41372281271408173</v>
      </c>
      <c r="AD154" s="22">
        <f t="shared" si="139"/>
        <v>0.89696898770097766</v>
      </c>
      <c r="AE154" s="22">
        <f t="shared" si="139"/>
        <v>0.65401805861402085</v>
      </c>
      <c r="AF154" s="22">
        <f t="shared" si="139"/>
        <v>0.27405771189037448</v>
      </c>
      <c r="AG154" s="22">
        <f t="shared" si="139"/>
        <v>0.61598505242351353</v>
      </c>
      <c r="AH154" s="22">
        <f t="shared" si="139"/>
        <v>0.5949963261832022</v>
      </c>
      <c r="AI154" s="22">
        <f t="shared" si="139"/>
        <v>0.5604069506904038</v>
      </c>
      <c r="AJ154" s="22">
        <f t="shared" si="139"/>
        <v>0.4690297098758564</v>
      </c>
      <c r="AK154" s="22">
        <f t="shared" si="139"/>
        <v>0.45438456154072893</v>
      </c>
      <c r="AL154" s="22">
        <f t="shared" ref="AL154:BS154" si="140">IF(AL72=".",0,AL72/AL$83)</f>
        <v>0.5189935822187286</v>
      </c>
      <c r="AM154" s="22">
        <f t="shared" si="140"/>
        <v>0.75324563605842498</v>
      </c>
      <c r="AN154" s="22">
        <f t="shared" si="140"/>
        <v>0.53098341255314696</v>
      </c>
      <c r="AO154" s="22">
        <f t="shared" si="140"/>
        <v>0.55713607619903904</v>
      </c>
      <c r="AP154" s="22">
        <f t="shared" si="140"/>
        <v>0.40732471714284968</v>
      </c>
      <c r="AQ154" s="22">
        <f t="shared" si="140"/>
        <v>0.58158555079304841</v>
      </c>
      <c r="AR154" s="22">
        <f t="shared" si="140"/>
        <v>0.4607549270898661</v>
      </c>
      <c r="AS154" s="22">
        <f t="shared" si="140"/>
        <v>0.38938564886086319</v>
      </c>
      <c r="AT154" s="22">
        <f t="shared" si="140"/>
        <v>0.46833222367283395</v>
      </c>
      <c r="AU154" s="22">
        <f t="shared" si="140"/>
        <v>0.2886798510716011</v>
      </c>
      <c r="AV154" s="22">
        <f t="shared" si="140"/>
        <v>0.33388950874929885</v>
      </c>
      <c r="AW154" s="22">
        <f t="shared" si="140"/>
        <v>0.45815240318313988</v>
      </c>
      <c r="AX154" s="22">
        <f t="shared" si="140"/>
        <v>0.49193450916027459</v>
      </c>
      <c r="AY154" s="22">
        <f t="shared" si="140"/>
        <v>0.26522045194617833</v>
      </c>
      <c r="AZ154" s="22">
        <f t="shared" si="140"/>
        <v>0.250625917039696</v>
      </c>
      <c r="BA154" s="22">
        <f t="shared" si="140"/>
        <v>0.39839636421142394</v>
      </c>
      <c r="BB154" s="22">
        <f t="shared" si="140"/>
        <v>0.3254111597547158</v>
      </c>
      <c r="BC154" s="22">
        <f t="shared" si="140"/>
        <v>0.54918320921193375</v>
      </c>
      <c r="BD154" s="22">
        <f t="shared" si="140"/>
        <v>0.49817673196335099</v>
      </c>
      <c r="BE154" s="22">
        <f t="shared" si="140"/>
        <v>0.30837530125976265</v>
      </c>
      <c r="BF154" s="22">
        <f t="shared" si="140"/>
        <v>0.24616749729526086</v>
      </c>
      <c r="BG154" s="22">
        <f t="shared" si="140"/>
        <v>0.70357381354173243</v>
      </c>
      <c r="BH154" s="22">
        <f t="shared" si="140"/>
        <v>0.44633673309440247</v>
      </c>
      <c r="BI154" s="22">
        <f t="shared" si="140"/>
        <v>0.30949786068107871</v>
      </c>
      <c r="BJ154" s="22">
        <f t="shared" si="140"/>
        <v>0.23057576072935809</v>
      </c>
      <c r="BK154" s="22">
        <f t="shared" si="140"/>
        <v>0.35095448285288533</v>
      </c>
      <c r="BL154" s="22">
        <f t="shared" si="140"/>
        <v>0.30906179257817729</v>
      </c>
      <c r="BM154" s="22">
        <f t="shared" si="140"/>
        <v>0.4250969745772461</v>
      </c>
      <c r="BN154" s="22">
        <f t="shared" si="140"/>
        <v>0.54362870232895066</v>
      </c>
      <c r="BO154" s="22">
        <f t="shared" si="140"/>
        <v>0.51131607620875352</v>
      </c>
      <c r="BP154" s="22">
        <f t="shared" si="140"/>
        <v>0.55713852588852597</v>
      </c>
      <c r="BQ154" s="22">
        <f t="shared" si="140"/>
        <v>0.52174171649321888</v>
      </c>
      <c r="BR154" s="22">
        <f t="shared" si="140"/>
        <v>0</v>
      </c>
      <c r="BS154" s="22">
        <f t="shared" si="140"/>
        <v>0.5515726276867492</v>
      </c>
      <c r="BT154" s="163">
        <f t="shared" si="136"/>
        <v>0.84514856594612398</v>
      </c>
      <c r="BU154" s="163"/>
      <c r="BV154" s="163">
        <f t="shared" si="137"/>
        <v>0.99960506372780344</v>
      </c>
      <c r="BW154" s="162"/>
      <c r="BX154" s="163">
        <f t="shared" si="138"/>
        <v>0.94915472577747628</v>
      </c>
      <c r="BY154" s="163"/>
      <c r="BZ154" s="163"/>
      <c r="CA154" s="163"/>
      <c r="CB154" s="165"/>
      <c r="CC154" s="166"/>
    </row>
    <row r="155" spans="1:81" x14ac:dyDescent="0.3">
      <c r="A155" s="7">
        <v>67</v>
      </c>
      <c r="B155" s="2" t="s">
        <v>40</v>
      </c>
      <c r="C155" s="2"/>
      <c r="D155" s="2"/>
      <c r="E155" s="2"/>
      <c r="F155" s="23">
        <f t="shared" ref="F155:AK155" si="141">IF(F73=".",0,F73/F$83)</f>
        <v>2.3015746348765138E-2</v>
      </c>
      <c r="G155" s="23">
        <f t="shared" si="141"/>
        <v>1.2071615663116018E-2</v>
      </c>
      <c r="H155" s="23">
        <f t="shared" si="141"/>
        <v>2.0050915431560592E-2</v>
      </c>
      <c r="I155" s="23">
        <f t="shared" si="141"/>
        <v>1.6934593040868012E-2</v>
      </c>
      <c r="J155" s="23">
        <f t="shared" si="141"/>
        <v>1.0452853280451492E-3</v>
      </c>
      <c r="K155" s="23">
        <f t="shared" si="141"/>
        <v>4.2126182240029486E-3</v>
      </c>
      <c r="L155" s="23">
        <f t="shared" si="141"/>
        <v>3.1566676054628718E-3</v>
      </c>
      <c r="M155" s="23">
        <f t="shared" si="141"/>
        <v>5.1856908618786645E-3</v>
      </c>
      <c r="N155" s="23">
        <f t="shared" si="141"/>
        <v>2.077201174886135E-3</v>
      </c>
      <c r="O155" s="23">
        <f t="shared" si="141"/>
        <v>1.1639721869416397E-2</v>
      </c>
      <c r="P155" s="23">
        <f t="shared" si="141"/>
        <v>1.1231478918948437E-3</v>
      </c>
      <c r="Q155" s="23">
        <f t="shared" si="141"/>
        <v>1.7888332362993152E-4</v>
      </c>
      <c r="R155" s="23">
        <f t="shared" si="141"/>
        <v>1.7284279688846587E-3</v>
      </c>
      <c r="S155" s="23">
        <f t="shared" si="141"/>
        <v>3.0502760941606348E-3</v>
      </c>
      <c r="T155" s="23">
        <f t="shared" si="141"/>
        <v>6.6255298181319906E-4</v>
      </c>
      <c r="U155" s="23">
        <f t="shared" si="141"/>
        <v>2.3224056824678965E-3</v>
      </c>
      <c r="V155" s="23">
        <f t="shared" si="141"/>
        <v>6.9641359798756962E-4</v>
      </c>
      <c r="W155" s="23">
        <f t="shared" si="141"/>
        <v>8.8347685015546199E-4</v>
      </c>
      <c r="X155" s="23">
        <f t="shared" si="141"/>
        <v>8.7102584774267976E-4</v>
      </c>
      <c r="Y155" s="23">
        <f t="shared" si="141"/>
        <v>7.5111697568809837E-4</v>
      </c>
      <c r="Z155" s="23">
        <f t="shared" si="141"/>
        <v>6.3740783210869888E-4</v>
      </c>
      <c r="AA155" s="23">
        <f t="shared" si="141"/>
        <v>4.342696712657552E-3</v>
      </c>
      <c r="AB155" s="23">
        <f t="shared" si="141"/>
        <v>4.5834801277004171E-3</v>
      </c>
      <c r="AC155" s="23">
        <f t="shared" si="141"/>
        <v>1.8114270261561686E-3</v>
      </c>
      <c r="AD155" s="23">
        <f t="shared" si="141"/>
        <v>9.7524448903611125E-5</v>
      </c>
      <c r="AE155" s="23">
        <f t="shared" si="141"/>
        <v>3.1615603567008689E-2</v>
      </c>
      <c r="AF155" s="23">
        <f t="shared" si="141"/>
        <v>7.075478997960306E-3</v>
      </c>
      <c r="AG155" s="23">
        <f t="shared" si="141"/>
        <v>4.7567437557053368E-3</v>
      </c>
      <c r="AH155" s="23">
        <f t="shared" si="141"/>
        <v>1.1578223370103264E-2</v>
      </c>
      <c r="AI155" s="23">
        <f t="shared" si="141"/>
        <v>6.3079860789977535E-3</v>
      </c>
      <c r="AJ155" s="23">
        <f t="shared" si="141"/>
        <v>5.5566862547859345E-3</v>
      </c>
      <c r="AK155" s="23">
        <f t="shared" si="141"/>
        <v>5.4011084615599612E-3</v>
      </c>
      <c r="AL155" s="23">
        <f t="shared" ref="AL155:BS155" si="142">IF(AL73=".",0,AL73/AL$83)</f>
        <v>8.4818062014070605E-2</v>
      </c>
      <c r="AM155" s="23">
        <f t="shared" si="142"/>
        <v>0</v>
      </c>
      <c r="AN155" s="23">
        <f t="shared" si="142"/>
        <v>8.8724459241957968E-4</v>
      </c>
      <c r="AO155" s="23">
        <f t="shared" si="142"/>
        <v>2.5164171449555245E-3</v>
      </c>
      <c r="AP155" s="23">
        <f t="shared" si="142"/>
        <v>2.0080708399873911E-2</v>
      </c>
      <c r="AQ155" s="23">
        <f t="shared" si="142"/>
        <v>4.0174026770548755E-3</v>
      </c>
      <c r="AR155" s="23">
        <f t="shared" si="142"/>
        <v>1.9329889091198014E-3</v>
      </c>
      <c r="AS155" s="23">
        <f t="shared" si="142"/>
        <v>8.337341193943533E-3</v>
      </c>
      <c r="AT155" s="23">
        <f t="shared" si="142"/>
        <v>1.1290830264276777E-3</v>
      </c>
      <c r="AU155" s="23">
        <f t="shared" si="142"/>
        <v>3.3781566070986736E-3</v>
      </c>
      <c r="AV155" s="23">
        <f t="shared" si="142"/>
        <v>2.9759632136529098E-2</v>
      </c>
      <c r="AW155" s="23">
        <f t="shared" si="142"/>
        <v>3.8565385438481696E-2</v>
      </c>
      <c r="AX155" s="23">
        <f t="shared" si="142"/>
        <v>2.8226152544540185E-2</v>
      </c>
      <c r="AY155" s="23">
        <f t="shared" si="142"/>
        <v>1.7230193899150887E-2</v>
      </c>
      <c r="AZ155" s="23">
        <f t="shared" si="142"/>
        <v>3.8084941509177717E-3</v>
      </c>
      <c r="BA155" s="23">
        <f t="shared" si="142"/>
        <v>9.6279535610883614E-3</v>
      </c>
      <c r="BB155" s="23">
        <f t="shared" si="142"/>
        <v>2.7297469235952432E-2</v>
      </c>
      <c r="BC155" s="23">
        <f t="shared" si="142"/>
        <v>3.8832625144286192E-3</v>
      </c>
      <c r="BD155" s="23">
        <f t="shared" si="142"/>
        <v>8.3046644861859715E-3</v>
      </c>
      <c r="BE155" s="23">
        <f t="shared" si="142"/>
        <v>1.803750678310453E-3</v>
      </c>
      <c r="BF155" s="23">
        <f t="shared" si="142"/>
        <v>1.9809724785857133E-3</v>
      </c>
      <c r="BG155" s="23">
        <f t="shared" si="142"/>
        <v>1.6311263118948137E-3</v>
      </c>
      <c r="BH155" s="23">
        <f t="shared" si="142"/>
        <v>9.7479004992043015E-3</v>
      </c>
      <c r="BI155" s="23">
        <f t="shared" si="142"/>
        <v>4.9801664636235171E-2</v>
      </c>
      <c r="BJ155" s="23">
        <f t="shared" si="142"/>
        <v>4.1093603510588085E-2</v>
      </c>
      <c r="BK155" s="23">
        <f t="shared" si="142"/>
        <v>4.6867789750804877E-2</v>
      </c>
      <c r="BL155" s="23">
        <f t="shared" si="142"/>
        <v>5.6997344639428404E-2</v>
      </c>
      <c r="BM155" s="23">
        <f t="shared" si="142"/>
        <v>4.5314160819049806E-2</v>
      </c>
      <c r="BN155" s="23">
        <f t="shared" si="142"/>
        <v>5.1927353573409427E-2</v>
      </c>
      <c r="BO155" s="23">
        <f t="shared" si="142"/>
        <v>6.0739219528380989E-2</v>
      </c>
      <c r="BP155" s="23">
        <f t="shared" si="142"/>
        <v>2.7116745866745864E-2</v>
      </c>
      <c r="BQ155" s="23">
        <f t="shared" si="142"/>
        <v>2.7168954605163005E-2</v>
      </c>
      <c r="BR155" s="23">
        <f t="shared" si="142"/>
        <v>0</v>
      </c>
      <c r="BS155" s="23">
        <f t="shared" si="142"/>
        <v>1.6675664960555871E-2</v>
      </c>
      <c r="BT155" s="164">
        <f t="shared" si="136"/>
        <v>0.15485143405387608</v>
      </c>
      <c r="BU155" s="164"/>
      <c r="BV155" s="164">
        <f t="shared" si="137"/>
        <v>3.9493627219652674E-4</v>
      </c>
      <c r="BW155" s="162"/>
      <c r="BX155" s="163">
        <f t="shared" si="138"/>
        <v>5.0845274222523697E-2</v>
      </c>
      <c r="BY155" s="164"/>
      <c r="BZ155" s="164"/>
      <c r="CA155" s="164"/>
      <c r="CB155" s="165"/>
      <c r="CC155" s="166"/>
    </row>
    <row r="156" spans="1:81" s="7" customFormat="1" x14ac:dyDescent="0.3">
      <c r="A156" s="7">
        <v>68</v>
      </c>
      <c r="B156" s="18" t="s">
        <v>17</v>
      </c>
      <c r="C156" s="18"/>
      <c r="D156" s="18"/>
      <c r="E156" s="18"/>
      <c r="F156" s="24">
        <f t="shared" ref="F156:AK156" si="143">IF(F74=".",0,F74/F$83)</f>
        <v>0.51235778173090096</v>
      </c>
      <c r="G156" s="24">
        <f t="shared" si="143"/>
        <v>0.57102121576866849</v>
      </c>
      <c r="H156" s="24">
        <f t="shared" si="143"/>
        <v>0.44933914559721017</v>
      </c>
      <c r="I156" s="24">
        <f t="shared" si="143"/>
        <v>0.44550850119190583</v>
      </c>
      <c r="J156" s="24">
        <f t="shared" si="143"/>
        <v>0.47527011243954509</v>
      </c>
      <c r="K156" s="24">
        <f t="shared" si="143"/>
        <v>0.29998288962810515</v>
      </c>
      <c r="L156" s="24">
        <f t="shared" si="143"/>
        <v>0.62768445777415827</v>
      </c>
      <c r="M156" s="24">
        <f t="shared" si="143"/>
        <v>0.32150594300078472</v>
      </c>
      <c r="N156" s="24">
        <f t="shared" si="143"/>
        <v>0.66461884110110847</v>
      </c>
      <c r="O156" s="24">
        <f t="shared" si="143"/>
        <v>0.59314360751727546</v>
      </c>
      <c r="P156" s="24">
        <f t="shared" si="143"/>
        <v>0.24148569093038427</v>
      </c>
      <c r="Q156" s="24">
        <f t="shared" si="143"/>
        <v>8.6253983209411272E-2</v>
      </c>
      <c r="R156" s="24">
        <f t="shared" si="143"/>
        <v>0.3136864443493485</v>
      </c>
      <c r="S156" s="24">
        <f t="shared" si="143"/>
        <v>0.43706534339598196</v>
      </c>
      <c r="T156" s="24">
        <f t="shared" si="143"/>
        <v>8.0669537317167708E-2</v>
      </c>
      <c r="U156" s="24">
        <f t="shared" si="143"/>
        <v>0.50558013395038837</v>
      </c>
      <c r="V156" s="24">
        <f t="shared" si="143"/>
        <v>0.3887185672536998</v>
      </c>
      <c r="W156" s="24">
        <f t="shared" si="143"/>
        <v>0.34523047508544202</v>
      </c>
      <c r="X156" s="24">
        <f t="shared" si="143"/>
        <v>0.21173864934387049</v>
      </c>
      <c r="Y156" s="24">
        <f t="shared" si="143"/>
        <v>0.22075836027548562</v>
      </c>
      <c r="Z156" s="24">
        <f t="shared" si="143"/>
        <v>0.2026567201149683</v>
      </c>
      <c r="AA156" s="24">
        <f t="shared" si="143"/>
        <v>0.44862498700358622</v>
      </c>
      <c r="AB156" s="24">
        <f t="shared" si="143"/>
        <v>0.58324629252780091</v>
      </c>
      <c r="AC156" s="24">
        <f t="shared" si="143"/>
        <v>0.41553423974023784</v>
      </c>
      <c r="AD156" s="24">
        <f t="shared" si="143"/>
        <v>0.89706651214988131</v>
      </c>
      <c r="AE156" s="24">
        <f t="shared" si="143"/>
        <v>0.6856336621810295</v>
      </c>
      <c r="AF156" s="24">
        <f t="shared" si="143"/>
        <v>0.28113319088833472</v>
      </c>
      <c r="AG156" s="24">
        <f t="shared" si="143"/>
        <v>0.62074179617921887</v>
      </c>
      <c r="AH156" s="24">
        <f t="shared" si="143"/>
        <v>0.60657454955330536</v>
      </c>
      <c r="AI156" s="24">
        <f t="shared" si="143"/>
        <v>0.56671493676940166</v>
      </c>
      <c r="AJ156" s="24">
        <f t="shared" si="143"/>
        <v>0.47458639613064235</v>
      </c>
      <c r="AK156" s="24">
        <f t="shared" si="143"/>
        <v>0.45978567000228887</v>
      </c>
      <c r="AL156" s="24">
        <f t="shared" ref="AL156:BS156" si="144">IF(AL74=".",0,AL74/AL$83)</f>
        <v>0.60381164423279921</v>
      </c>
      <c r="AM156" s="24">
        <f t="shared" si="144"/>
        <v>0.75324563605842498</v>
      </c>
      <c r="AN156" s="24">
        <f t="shared" si="144"/>
        <v>0.53187065714556658</v>
      </c>
      <c r="AO156" s="24">
        <f t="shared" si="144"/>
        <v>0.55965249334399458</v>
      </c>
      <c r="AP156" s="24">
        <f t="shared" si="144"/>
        <v>0.42740542554272354</v>
      </c>
      <c r="AQ156" s="24">
        <f t="shared" si="144"/>
        <v>0.58560295347010338</v>
      </c>
      <c r="AR156" s="24">
        <f t="shared" si="144"/>
        <v>0.46268791599898595</v>
      </c>
      <c r="AS156" s="24">
        <f t="shared" si="144"/>
        <v>0.39772299005480677</v>
      </c>
      <c r="AT156" s="24">
        <f t="shared" si="144"/>
        <v>0.46946130669926167</v>
      </c>
      <c r="AU156" s="24">
        <f t="shared" si="144"/>
        <v>0.29205800767869983</v>
      </c>
      <c r="AV156" s="24">
        <f t="shared" si="144"/>
        <v>0.36364914088582789</v>
      </c>
      <c r="AW156" s="24">
        <f t="shared" si="144"/>
        <v>0.49671778862162158</v>
      </c>
      <c r="AX156" s="24">
        <f t="shared" si="144"/>
        <v>0.5201606617048149</v>
      </c>
      <c r="AY156" s="24">
        <f t="shared" si="144"/>
        <v>0.2824506458453292</v>
      </c>
      <c r="AZ156" s="24">
        <f t="shared" si="144"/>
        <v>0.25443441119061377</v>
      </c>
      <c r="BA156" s="24">
        <f t="shared" si="144"/>
        <v>0.40802431777251236</v>
      </c>
      <c r="BB156" s="24">
        <f t="shared" si="144"/>
        <v>0.35270862899066818</v>
      </c>
      <c r="BC156" s="24">
        <f t="shared" si="144"/>
        <v>0.55306647172636236</v>
      </c>
      <c r="BD156" s="24">
        <f t="shared" si="144"/>
        <v>0.50648139644953694</v>
      </c>
      <c r="BE156" s="24">
        <f t="shared" si="144"/>
        <v>0.3101790519380731</v>
      </c>
      <c r="BF156" s="24">
        <f t="shared" si="144"/>
        <v>0.24814846977384655</v>
      </c>
      <c r="BG156" s="24">
        <f t="shared" si="144"/>
        <v>0.7052049398536272</v>
      </c>
      <c r="BH156" s="24">
        <f t="shared" si="144"/>
        <v>0.45608463359360679</v>
      </c>
      <c r="BI156" s="24">
        <f t="shared" si="144"/>
        <v>0.35929952531731391</v>
      </c>
      <c r="BJ156" s="24">
        <f t="shared" si="144"/>
        <v>0.2716693642399462</v>
      </c>
      <c r="BK156" s="24">
        <f t="shared" si="144"/>
        <v>0.39782227260369019</v>
      </c>
      <c r="BL156" s="24">
        <f t="shared" si="144"/>
        <v>0.36605913721760569</v>
      </c>
      <c r="BM156" s="24">
        <f t="shared" si="144"/>
        <v>0.47041113539629592</v>
      </c>
      <c r="BN156" s="24">
        <f t="shared" si="144"/>
        <v>0.59555605590236005</v>
      </c>
      <c r="BO156" s="24">
        <f t="shared" si="144"/>
        <v>0.57205529573713454</v>
      </c>
      <c r="BP156" s="24">
        <f t="shared" si="144"/>
        <v>0.58425527175527181</v>
      </c>
      <c r="BQ156" s="24">
        <f t="shared" si="144"/>
        <v>0.54891067109838187</v>
      </c>
      <c r="BR156" s="24">
        <f t="shared" si="144"/>
        <v>0</v>
      </c>
      <c r="BS156" s="24">
        <f t="shared" si="144"/>
        <v>0.56824829264730503</v>
      </c>
      <c r="BT156" s="165">
        <f t="shared" si="136"/>
        <v>1</v>
      </c>
      <c r="BU156" s="165"/>
      <c r="BV156" s="165">
        <f t="shared" si="137"/>
        <v>1</v>
      </c>
      <c r="BW156" s="162"/>
      <c r="BX156" s="165">
        <f t="shared" si="138"/>
        <v>1</v>
      </c>
      <c r="BY156" s="165"/>
      <c r="BZ156" s="165"/>
      <c r="CA156" s="165"/>
      <c r="CB156" s="165"/>
      <c r="CC156" s="166"/>
    </row>
    <row r="157" spans="1:81" x14ac:dyDescent="0.3">
      <c r="A157" s="7">
        <v>69</v>
      </c>
      <c r="B157" s="4" t="s">
        <v>18</v>
      </c>
      <c r="C157" s="4"/>
      <c r="D157" s="4"/>
      <c r="E157" s="4"/>
      <c r="F157" s="22">
        <f t="shared" ref="F157:AK157" si="145">IF(F75=".",0,F75/F$83)</f>
        <v>0.1242703258038891</v>
      </c>
      <c r="G157" s="22">
        <f t="shared" si="145"/>
        <v>0.11892686058923639</v>
      </c>
      <c r="H157" s="22">
        <f t="shared" si="145"/>
        <v>6.9494681778552753E-2</v>
      </c>
      <c r="I157" s="22">
        <f t="shared" si="145"/>
        <v>0.25901314322224928</v>
      </c>
      <c r="J157" s="22">
        <f t="shared" si="145"/>
        <v>7.6496220906651632E-2</v>
      </c>
      <c r="K157" s="22">
        <f t="shared" si="145"/>
        <v>0.10647085765499853</v>
      </c>
      <c r="L157" s="22">
        <f t="shared" si="145"/>
        <v>0.11200634703817101</v>
      </c>
      <c r="M157" s="22">
        <f t="shared" si="145"/>
        <v>4.6854452306062944E-2</v>
      </c>
      <c r="N157" s="22">
        <f t="shared" si="145"/>
        <v>0.18699268754684978</v>
      </c>
      <c r="O157" s="22">
        <f t="shared" si="145"/>
        <v>9.8944094030525481E-2</v>
      </c>
      <c r="P157" s="22">
        <f t="shared" si="145"/>
        <v>2.9234526103984054E-2</v>
      </c>
      <c r="Q157" s="22">
        <f t="shared" si="145"/>
        <v>2.0104930068842303E-2</v>
      </c>
      <c r="R157" s="22">
        <f t="shared" si="145"/>
        <v>7.683360858985544E-2</v>
      </c>
      <c r="S157" s="22">
        <f t="shared" si="145"/>
        <v>0.11979090761014</v>
      </c>
      <c r="T157" s="22">
        <f t="shared" si="145"/>
        <v>1.733572042120058E-2</v>
      </c>
      <c r="U157" s="22">
        <f t="shared" si="145"/>
        <v>0.11587631646367305</v>
      </c>
      <c r="V157" s="22">
        <f t="shared" si="145"/>
        <v>2.5756672131517087E-2</v>
      </c>
      <c r="W157" s="22">
        <f t="shared" si="145"/>
        <v>6.2029681201872619E-2</v>
      </c>
      <c r="X157" s="22">
        <f t="shared" si="145"/>
        <v>7.691090307707249E-2</v>
      </c>
      <c r="Y157" s="22">
        <f t="shared" si="145"/>
        <v>4.7809382295477383E-2</v>
      </c>
      <c r="Z157" s="22">
        <f t="shared" si="145"/>
        <v>6.0468329265454202E-2</v>
      </c>
      <c r="AA157" s="22">
        <f t="shared" si="145"/>
        <v>0.14457968461227641</v>
      </c>
      <c r="AB157" s="22">
        <f t="shared" si="145"/>
        <v>0.28770582447679377</v>
      </c>
      <c r="AC157" s="22">
        <f t="shared" si="145"/>
        <v>8.7204540196996694E-2</v>
      </c>
      <c r="AD157" s="22">
        <f t="shared" si="145"/>
        <v>2.7032350049023875E-2</v>
      </c>
      <c r="AE157" s="22">
        <f t="shared" si="145"/>
        <v>0.10432174832218187</v>
      </c>
      <c r="AF157" s="22">
        <f t="shared" si="145"/>
        <v>0.21223857714572825</v>
      </c>
      <c r="AG157" s="22">
        <f t="shared" si="145"/>
        <v>8.3606152935590011E-2</v>
      </c>
      <c r="AH157" s="22">
        <f t="shared" si="145"/>
        <v>0.25889345406212128</v>
      </c>
      <c r="AI157" s="22">
        <f t="shared" si="145"/>
        <v>0.3174219983924727</v>
      </c>
      <c r="AJ157" s="22">
        <f t="shared" si="145"/>
        <v>0.25871178527077487</v>
      </c>
      <c r="AK157" s="22">
        <f t="shared" si="145"/>
        <v>0.39174826495728537</v>
      </c>
      <c r="AL157" s="22">
        <f t="shared" ref="AL157:BS157" si="146">IF(AL75=".",0,AL75/AL$83)</f>
        <v>0.18038913595086592</v>
      </c>
      <c r="AM157" s="22">
        <f t="shared" si="146"/>
        <v>1.9698725122955601E-2</v>
      </c>
      <c r="AN157" s="22">
        <f t="shared" si="146"/>
        <v>7.1276398124705279E-2</v>
      </c>
      <c r="AO157" s="22">
        <f t="shared" si="146"/>
        <v>0.10629922231836482</v>
      </c>
      <c r="AP157" s="22">
        <f t="shared" si="146"/>
        <v>0.40150475054122559</v>
      </c>
      <c r="AQ157" s="22">
        <f t="shared" si="146"/>
        <v>0.26731550963882589</v>
      </c>
      <c r="AR157" s="22">
        <f t="shared" si="146"/>
        <v>0.26260567147558561</v>
      </c>
      <c r="AS157" s="22">
        <f t="shared" si="146"/>
        <v>0.23001279294239907</v>
      </c>
      <c r="AT157" s="22">
        <f t="shared" si="146"/>
        <v>8.8128646257395971E-2</v>
      </c>
      <c r="AU157" s="22">
        <f t="shared" si="146"/>
        <v>0.39792290497903593</v>
      </c>
      <c r="AV157" s="22">
        <f t="shared" si="146"/>
        <v>0.21290691467672943</v>
      </c>
      <c r="AW157" s="22">
        <f t="shared" si="146"/>
        <v>0.2303927098738463</v>
      </c>
      <c r="AX157" s="22">
        <f t="shared" si="146"/>
        <v>0.23367648235179403</v>
      </c>
      <c r="AY157" s="22">
        <f t="shared" si="146"/>
        <v>6.6069063754709181E-2</v>
      </c>
      <c r="AZ157" s="22">
        <f t="shared" si="146"/>
        <v>0.21165955225828101</v>
      </c>
      <c r="BA157" s="22">
        <f t="shared" si="146"/>
        <v>0.30062148977384417</v>
      </c>
      <c r="BB157" s="22">
        <f t="shared" si="146"/>
        <v>0.59377980884694581</v>
      </c>
      <c r="BC157" s="22">
        <f t="shared" si="146"/>
        <v>0.19498382631564978</v>
      </c>
      <c r="BD157" s="22">
        <f t="shared" si="146"/>
        <v>0.32395679539979799</v>
      </c>
      <c r="BE157" s="22">
        <f t="shared" si="146"/>
        <v>6.5336918201402361E-2</v>
      </c>
      <c r="BF157" s="22">
        <f t="shared" si="146"/>
        <v>0.73758252147631409</v>
      </c>
      <c r="BG157" s="22">
        <f t="shared" si="146"/>
        <v>0.21781176396271196</v>
      </c>
      <c r="BH157" s="22">
        <f t="shared" si="146"/>
        <v>0.42762387785302297</v>
      </c>
      <c r="BI157" s="22">
        <f t="shared" si="146"/>
        <v>0.52548683815714115</v>
      </c>
      <c r="BJ157" s="22">
        <f t="shared" si="146"/>
        <v>0.64077007729391855</v>
      </c>
      <c r="BK157" s="22">
        <f t="shared" si="146"/>
        <v>0.51954234742314143</v>
      </c>
      <c r="BL157" s="22">
        <f t="shared" si="146"/>
        <v>0.58238411019446668</v>
      </c>
      <c r="BM157" s="22">
        <f t="shared" si="146"/>
        <v>0.37933049580121941</v>
      </c>
      <c r="BN157" s="22">
        <f t="shared" si="146"/>
        <v>0.28140676564495715</v>
      </c>
      <c r="BO157" s="22">
        <f t="shared" si="146"/>
        <v>0.39817504338195403</v>
      </c>
      <c r="BP157" s="22">
        <f t="shared" si="146"/>
        <v>0.28399415899415903</v>
      </c>
      <c r="BQ157" s="22">
        <f t="shared" si="146"/>
        <v>0.29440359860112647</v>
      </c>
      <c r="BR157" s="22">
        <f t="shared" si="146"/>
        <v>0</v>
      </c>
      <c r="BS157" s="22">
        <f t="shared" si="146"/>
        <v>0.2366068779348223</v>
      </c>
      <c r="BT157" s="164"/>
      <c r="BU157" s="164"/>
      <c r="BV157" s="164"/>
      <c r="BW157" s="162"/>
      <c r="BX157" s="163"/>
      <c r="BY157" s="164"/>
      <c r="BZ157" s="164"/>
      <c r="CA157" s="164"/>
      <c r="CB157" s="165"/>
      <c r="CC157" s="166"/>
    </row>
    <row r="158" spans="1:81" x14ac:dyDescent="0.3">
      <c r="A158" s="7">
        <v>70</v>
      </c>
      <c r="B158" s="14" t="s">
        <v>19</v>
      </c>
      <c r="C158" s="14"/>
      <c r="D158" s="14"/>
      <c r="E158" s="14"/>
      <c r="F158" s="23">
        <f t="shared" ref="F158:AK158" si="147">IF(F76=".",0,F76/F$83)</f>
        <v>9.5181085793777181E-2</v>
      </c>
      <c r="G158" s="23">
        <f t="shared" si="147"/>
        <v>8.9334290418966289E-2</v>
      </c>
      <c r="H158" s="23">
        <f t="shared" si="147"/>
        <v>5.2237837837837843E-2</v>
      </c>
      <c r="I158" s="23">
        <f t="shared" si="147"/>
        <v>0.19302652387594224</v>
      </c>
      <c r="J158" s="23">
        <f t="shared" si="147"/>
        <v>5.7640575027032903E-2</v>
      </c>
      <c r="K158" s="23">
        <f t="shared" si="147"/>
        <v>8.0061758978133279E-2</v>
      </c>
      <c r="L158" s="23">
        <f t="shared" si="147"/>
        <v>8.4601910988064244E-2</v>
      </c>
      <c r="M158" s="23">
        <f t="shared" si="147"/>
        <v>3.5387746508526913E-2</v>
      </c>
      <c r="N158" s="23">
        <f t="shared" si="147"/>
        <v>0.14157004683163318</v>
      </c>
      <c r="O158" s="23">
        <f t="shared" si="147"/>
        <v>7.4217488644436308E-2</v>
      </c>
      <c r="P158" s="23">
        <f t="shared" si="147"/>
        <v>2.2101089101825042E-2</v>
      </c>
      <c r="Q158" s="23">
        <f t="shared" si="147"/>
        <v>1.5162491241013244E-2</v>
      </c>
      <c r="R158" s="23">
        <f t="shared" si="147"/>
        <v>5.7842562088148676E-2</v>
      </c>
      <c r="S158" s="23">
        <f t="shared" si="147"/>
        <v>9.0111856951124156E-2</v>
      </c>
      <c r="T158" s="23">
        <f t="shared" si="147"/>
        <v>1.3087741254192381E-2</v>
      </c>
      <c r="U158" s="23">
        <f t="shared" si="147"/>
        <v>8.7303143446445283E-2</v>
      </c>
      <c r="V158" s="23">
        <f t="shared" si="147"/>
        <v>1.9196402605205793E-2</v>
      </c>
      <c r="W158" s="23">
        <f t="shared" si="147"/>
        <v>4.7146783777755615E-2</v>
      </c>
      <c r="X158" s="23">
        <f t="shared" si="147"/>
        <v>5.7586260934746947E-2</v>
      </c>
      <c r="Y158" s="23">
        <f t="shared" si="147"/>
        <v>3.5600518202244219E-2</v>
      </c>
      <c r="Z158" s="23">
        <f t="shared" si="147"/>
        <v>4.6285204237427477E-2</v>
      </c>
      <c r="AA158" s="23">
        <f t="shared" si="147"/>
        <v>0.10858924269783421</v>
      </c>
      <c r="AB158" s="23">
        <f t="shared" si="147"/>
        <v>0.21996781464717108</v>
      </c>
      <c r="AC158" s="23">
        <f t="shared" si="147"/>
        <v>6.5387559524050509E-2</v>
      </c>
      <c r="AD158" s="23">
        <f t="shared" si="147"/>
        <v>2.0298881513503328E-2</v>
      </c>
      <c r="AE158" s="23">
        <f t="shared" si="147"/>
        <v>7.7923044125361191E-2</v>
      </c>
      <c r="AF158" s="23">
        <f t="shared" si="147"/>
        <v>0.15886193943233157</v>
      </c>
      <c r="AG158" s="23">
        <f t="shared" si="147"/>
        <v>6.304026608053806E-2</v>
      </c>
      <c r="AH158" s="23">
        <f t="shared" si="147"/>
        <v>0.20288258852955296</v>
      </c>
      <c r="AI158" s="23">
        <f t="shared" si="147"/>
        <v>0.24019860575368043</v>
      </c>
      <c r="AJ158" s="23">
        <f t="shared" si="147"/>
        <v>0.19811551544687192</v>
      </c>
      <c r="AK158" s="23">
        <f t="shared" si="147"/>
        <v>0.29449506482857479</v>
      </c>
      <c r="AL158" s="23">
        <f t="shared" ref="AL158:BS158" si="148">IF(AL76=".",0,AL76/AL$83)</f>
        <v>0.14312129445096761</v>
      </c>
      <c r="AM158" s="23">
        <f t="shared" si="148"/>
        <v>1.4706516488166078E-2</v>
      </c>
      <c r="AN158" s="23">
        <f t="shared" si="148"/>
        <v>5.3668555038393143E-2</v>
      </c>
      <c r="AO158" s="23">
        <f t="shared" si="148"/>
        <v>8.0658667330469239E-2</v>
      </c>
      <c r="AP158" s="23">
        <f t="shared" si="148"/>
        <v>0.30291441210261272</v>
      </c>
      <c r="AQ158" s="23">
        <f t="shared" si="148"/>
        <v>0.20482364876502326</v>
      </c>
      <c r="AR158" s="23">
        <f t="shared" si="148"/>
        <v>0.19869209372964355</v>
      </c>
      <c r="AS158" s="23">
        <f t="shared" si="148"/>
        <v>0.17294482235204303</v>
      </c>
      <c r="AT158" s="23">
        <f t="shared" si="148"/>
        <v>6.6287697489939623E-2</v>
      </c>
      <c r="AU158" s="23">
        <f t="shared" si="148"/>
        <v>0.30409616216498264</v>
      </c>
      <c r="AV158" s="23">
        <f t="shared" si="148"/>
        <v>0.15824464798930463</v>
      </c>
      <c r="AW158" s="23">
        <f t="shared" si="148"/>
        <v>0.17161784543898764</v>
      </c>
      <c r="AX158" s="23">
        <f t="shared" si="148"/>
        <v>0.17440576597785795</v>
      </c>
      <c r="AY158" s="23">
        <f t="shared" si="148"/>
        <v>4.9973268354691326E-2</v>
      </c>
      <c r="AZ158" s="23">
        <f t="shared" si="148"/>
        <v>0.1629320238916302</v>
      </c>
      <c r="BA158" s="23">
        <f t="shared" si="148"/>
        <v>0.22997323603733208</v>
      </c>
      <c r="BB158" s="23">
        <f t="shared" si="148"/>
        <v>0.44813006538654099</v>
      </c>
      <c r="BC158" s="23">
        <f t="shared" si="148"/>
        <v>0.15185830575544987</v>
      </c>
      <c r="BD158" s="23">
        <f t="shared" si="148"/>
        <v>0.24920775083180866</v>
      </c>
      <c r="BE158" s="23">
        <f t="shared" si="148"/>
        <v>5.0341875808948867E-2</v>
      </c>
      <c r="BF158" s="23">
        <f t="shared" si="148"/>
        <v>0.5725519744105888</v>
      </c>
      <c r="BG158" s="23">
        <f t="shared" si="148"/>
        <v>0.16981085251730393</v>
      </c>
      <c r="BH158" s="23">
        <f t="shared" si="148"/>
        <v>0.32330425957560993</v>
      </c>
      <c r="BI158" s="23">
        <f t="shared" si="148"/>
        <v>0.32648920827243388</v>
      </c>
      <c r="BJ158" s="23">
        <f t="shared" si="148"/>
        <v>0.47757533806390007</v>
      </c>
      <c r="BK158" s="23">
        <f t="shared" si="148"/>
        <v>0.38838084824101493</v>
      </c>
      <c r="BL158" s="23">
        <f t="shared" si="148"/>
        <v>0.43377782484210697</v>
      </c>
      <c r="BM158" s="23">
        <f t="shared" si="148"/>
        <v>0.28340503853675375</v>
      </c>
      <c r="BN158" s="23">
        <f t="shared" si="148"/>
        <v>0.21199975716152472</v>
      </c>
      <c r="BO158" s="23">
        <f t="shared" si="148"/>
        <v>0.29896107506535319</v>
      </c>
      <c r="BP158" s="23">
        <f t="shared" si="148"/>
        <v>0.21711959211959211</v>
      </c>
      <c r="BQ158" s="23">
        <f t="shared" si="148"/>
        <v>0.22564648502279872</v>
      </c>
      <c r="BR158" s="23">
        <f t="shared" si="148"/>
        <v>0</v>
      </c>
      <c r="BS158" s="23">
        <f t="shared" si="148"/>
        <v>0.17631000914150768</v>
      </c>
      <c r="BT158" s="164"/>
      <c r="BU158" s="164"/>
      <c r="BV158" s="164"/>
      <c r="BW158" s="162"/>
      <c r="BX158" s="163"/>
      <c r="BY158" s="164"/>
      <c r="BZ158" s="164"/>
      <c r="CA158" s="164"/>
      <c r="CB158" s="165"/>
      <c r="CC158" s="166"/>
    </row>
    <row r="159" spans="1:81" x14ac:dyDescent="0.3">
      <c r="A159" s="7">
        <v>71</v>
      </c>
      <c r="B159" s="2" t="s">
        <v>20</v>
      </c>
      <c r="C159" s="2"/>
      <c r="D159" s="2"/>
      <c r="E159" s="2"/>
      <c r="F159" s="23">
        <f t="shared" ref="F159:AK159" si="149">IF(F77=".",0,F77/F$83)</f>
        <v>-0.2091462379896698</v>
      </c>
      <c r="G159" s="23">
        <f t="shared" si="149"/>
        <v>1.0082265225449395E-2</v>
      </c>
      <c r="H159" s="23">
        <f t="shared" si="149"/>
        <v>1.9566870095902356E-2</v>
      </c>
      <c r="I159" s="23">
        <f t="shared" si="149"/>
        <v>3.2755386991966298E-2</v>
      </c>
      <c r="J159" s="23">
        <f t="shared" si="149"/>
        <v>-2.0914566579694095E-4</v>
      </c>
      <c r="K159" s="23">
        <f t="shared" si="149"/>
        <v>-5.8487908900934553E-6</v>
      </c>
      <c r="L159" s="23">
        <f t="shared" si="149"/>
        <v>-3.8244547318238084E-4</v>
      </c>
      <c r="M159" s="23">
        <f t="shared" si="149"/>
        <v>1.7157184874217648E-3</v>
      </c>
      <c r="N159" s="23">
        <f t="shared" si="149"/>
        <v>-9.5850885259906758E-4</v>
      </c>
      <c r="O159" s="23">
        <f t="shared" si="149"/>
        <v>9.6280111080016342E-3</v>
      </c>
      <c r="P159" s="23">
        <f t="shared" si="149"/>
        <v>-1.1117716241132199E-4</v>
      </c>
      <c r="Q159" s="23">
        <f t="shared" si="149"/>
        <v>-1.8517942404754816E-6</v>
      </c>
      <c r="R159" s="23">
        <f t="shared" si="149"/>
        <v>-4.1354619249789836E-4</v>
      </c>
      <c r="S159" s="23">
        <f t="shared" si="149"/>
        <v>7.8537048626292237E-4</v>
      </c>
      <c r="T159" s="23">
        <f t="shared" si="149"/>
        <v>4.6242610075197597E-5</v>
      </c>
      <c r="U159" s="23">
        <f t="shared" si="149"/>
        <v>-1.3671699692030104E-5</v>
      </c>
      <c r="V159" s="23">
        <f t="shared" si="149"/>
        <v>-3.0167532777274834E-4</v>
      </c>
      <c r="W159" s="23">
        <f t="shared" si="149"/>
        <v>7.527341050112466E-6</v>
      </c>
      <c r="X159" s="23">
        <f t="shared" si="149"/>
        <v>-9.8018711146306489E-4</v>
      </c>
      <c r="Y159" s="23">
        <f t="shared" si="149"/>
        <v>1.9459611396365255E-5</v>
      </c>
      <c r="Z159" s="23">
        <f t="shared" si="149"/>
        <v>-1.4477806035835773E-3</v>
      </c>
      <c r="AA159" s="23">
        <f t="shared" si="149"/>
        <v>-4.9666761342193825E-4</v>
      </c>
      <c r="AB159" s="23">
        <f t="shared" si="149"/>
        <v>-2.2451284015346111E-4</v>
      </c>
      <c r="AC159" s="23">
        <f t="shared" si="149"/>
        <v>2.3380182862685735E-2</v>
      </c>
      <c r="AD159" s="23">
        <f t="shared" si="149"/>
        <v>1.1036913241774525E-4</v>
      </c>
      <c r="AE159" s="23">
        <f t="shared" si="149"/>
        <v>7.9609265038050447E-3</v>
      </c>
      <c r="AF159" s="23">
        <f t="shared" si="149"/>
        <v>5.632114297151547E-2</v>
      </c>
      <c r="AG159" s="23">
        <f t="shared" si="149"/>
        <v>2.6516090486011406E-3</v>
      </c>
      <c r="AH159" s="23">
        <f t="shared" si="149"/>
        <v>1.0630805015838032E-3</v>
      </c>
      <c r="AI159" s="23">
        <f t="shared" si="149"/>
        <v>3.8757451931306571E-4</v>
      </c>
      <c r="AJ159" s="23">
        <f t="shared" si="149"/>
        <v>-3.2034707672685958E-4</v>
      </c>
      <c r="AK159" s="23">
        <f t="shared" si="149"/>
        <v>8.1218191835976858E-4</v>
      </c>
      <c r="AL159" s="23">
        <f t="shared" ref="AL159:BS159" si="150">IF(AL77=".",0,AL77/AL$83)</f>
        <v>-4.8890281949305965E-5</v>
      </c>
      <c r="AM159" s="23">
        <f t="shared" si="150"/>
        <v>1.9743816322094753E-4</v>
      </c>
      <c r="AN159" s="23">
        <f t="shared" si="150"/>
        <v>-5.8456817948581375E-5</v>
      </c>
      <c r="AO159" s="23">
        <f t="shared" si="150"/>
        <v>9.4825871511910174E-4</v>
      </c>
      <c r="AP159" s="23">
        <f t="shared" si="150"/>
        <v>4.7935266548738959E-4</v>
      </c>
      <c r="AQ159" s="23">
        <f t="shared" si="150"/>
        <v>-1.2065160619091696E-3</v>
      </c>
      <c r="AR159" s="23">
        <f t="shared" si="150"/>
        <v>-2.6717339644407676E-3</v>
      </c>
      <c r="AS159" s="23">
        <f t="shared" si="150"/>
        <v>-1.2359573112669326E-2</v>
      </c>
      <c r="AT159" s="23">
        <f t="shared" si="150"/>
        <v>-1.2022147864332617E-4</v>
      </c>
      <c r="AU159" s="23">
        <f t="shared" si="150"/>
        <v>-9.0052616430263029E-3</v>
      </c>
      <c r="AV159" s="23">
        <f t="shared" si="150"/>
        <v>6.2753143989660489E-4</v>
      </c>
      <c r="AW159" s="23">
        <f t="shared" si="150"/>
        <v>5.565503722528871E-4</v>
      </c>
      <c r="AX159" s="23">
        <f t="shared" si="150"/>
        <v>-8.5305549765365962E-4</v>
      </c>
      <c r="AY159" s="23">
        <f t="shared" si="150"/>
        <v>1.2801927967889939E-2</v>
      </c>
      <c r="AZ159" s="23">
        <f t="shared" si="150"/>
        <v>-1.0080446516780328E-3</v>
      </c>
      <c r="BA159" s="23">
        <f t="shared" si="150"/>
        <v>-1.7529027656094755E-3</v>
      </c>
      <c r="BB159" s="23">
        <f t="shared" si="150"/>
        <v>-9.0188254514381644E-2</v>
      </c>
      <c r="BC159" s="23">
        <f t="shared" si="150"/>
        <v>-3.4747057063800146E-3</v>
      </c>
      <c r="BD159" s="23">
        <f t="shared" si="150"/>
        <v>-3.3913774468596135E-2</v>
      </c>
      <c r="BE159" s="23">
        <f t="shared" si="150"/>
        <v>7.2432637371974337E-4</v>
      </c>
      <c r="BF159" s="23">
        <f t="shared" si="150"/>
        <v>1.8020712066237868E-4</v>
      </c>
      <c r="BG159" s="23">
        <f t="shared" si="150"/>
        <v>1.1280264950863166E-4</v>
      </c>
      <c r="BH159" s="23">
        <f t="shared" si="150"/>
        <v>-5.3852427875738238E-4</v>
      </c>
      <c r="BI159" s="23">
        <f t="shared" si="150"/>
        <v>2.8343465457720731E-3</v>
      </c>
      <c r="BJ159" s="23">
        <f t="shared" si="150"/>
        <v>-2.4065913902224608E-4</v>
      </c>
      <c r="BK159" s="23">
        <f t="shared" si="150"/>
        <v>1.0429558140329556E-4</v>
      </c>
      <c r="BL159" s="23">
        <f t="shared" si="150"/>
        <v>-1.3136941879771508E-3</v>
      </c>
      <c r="BM159" s="23">
        <f t="shared" si="150"/>
        <v>-1.9786034740595884E-5</v>
      </c>
      <c r="BN159" s="23">
        <f t="shared" si="150"/>
        <v>-5.4567927285201412E-3</v>
      </c>
      <c r="BO159" s="23">
        <f t="shared" si="150"/>
        <v>-9.4879808446813956E-4</v>
      </c>
      <c r="BP159" s="23">
        <f t="shared" si="150"/>
        <v>5.8162558162558168E-4</v>
      </c>
      <c r="BQ159" s="23">
        <f t="shared" si="150"/>
        <v>1.7138116077468316E-4</v>
      </c>
      <c r="BR159" s="23">
        <f t="shared" si="150"/>
        <v>0</v>
      </c>
      <c r="BS159" s="23">
        <f t="shared" si="150"/>
        <v>-3.816147724250739E-3</v>
      </c>
      <c r="BT159" s="164"/>
      <c r="BU159" s="164"/>
      <c r="BV159" s="164"/>
      <c r="BW159" s="162"/>
      <c r="BX159" s="163"/>
      <c r="BY159" s="164"/>
      <c r="BZ159" s="164"/>
      <c r="CA159" s="164"/>
      <c r="CB159" s="165"/>
      <c r="CC159" s="166"/>
    </row>
    <row r="160" spans="1:81" x14ac:dyDescent="0.3">
      <c r="A160" s="7">
        <v>72</v>
      </c>
      <c r="B160" s="4" t="s">
        <v>21</v>
      </c>
      <c r="C160" s="4"/>
      <c r="D160" s="4"/>
      <c r="E160" s="4"/>
      <c r="F160" s="22">
        <f t="shared" ref="F160:AK160" si="151">IF(F78=".",0,F78/F$83)</f>
        <v>0.10870830079514214</v>
      </c>
      <c r="G160" s="22">
        <f t="shared" si="151"/>
        <v>7.893384344028781E-2</v>
      </c>
      <c r="H160" s="22">
        <f t="shared" si="151"/>
        <v>0.12133635571054925</v>
      </c>
      <c r="I160" s="22">
        <f t="shared" si="151"/>
        <v>6.7476706337913084E-2</v>
      </c>
      <c r="J160" s="22">
        <f t="shared" si="151"/>
        <v>2.0783142967625883E-2</v>
      </c>
      <c r="K160" s="22">
        <f t="shared" si="151"/>
        <v>1.5132736182417618E-2</v>
      </c>
      <c r="L160" s="22">
        <f t="shared" si="151"/>
        <v>3.2038668630304898E-2</v>
      </c>
      <c r="M160" s="22">
        <f t="shared" si="151"/>
        <v>2.6489897217667587E-2</v>
      </c>
      <c r="N160" s="22">
        <f t="shared" si="151"/>
        <v>5.117058347217629E-2</v>
      </c>
      <c r="O160" s="22">
        <f t="shared" si="151"/>
        <v>3.8869394872236451E-2</v>
      </c>
      <c r="P160" s="22">
        <f t="shared" si="151"/>
        <v>7.016364864624482E-3</v>
      </c>
      <c r="Q160" s="22">
        <f t="shared" si="151"/>
        <v>1.6414304147574668E-3</v>
      </c>
      <c r="R160" s="22">
        <f t="shared" si="151"/>
        <v>1.5575197943281504E-2</v>
      </c>
      <c r="S160" s="22">
        <f t="shared" si="151"/>
        <v>4.9168288368610716E-2</v>
      </c>
      <c r="T160" s="22">
        <f t="shared" si="151"/>
        <v>2.1471108885417001E-3</v>
      </c>
      <c r="U160" s="22">
        <f t="shared" si="151"/>
        <v>1.4633474044278135E-2</v>
      </c>
      <c r="V160" s="22">
        <f t="shared" si="151"/>
        <v>2.6605314884755298E-3</v>
      </c>
      <c r="W160" s="22">
        <f t="shared" si="151"/>
        <v>4.5061889529280415E-3</v>
      </c>
      <c r="X160" s="22">
        <f t="shared" si="151"/>
        <v>9.0355971782528355E-3</v>
      </c>
      <c r="Y160" s="22">
        <f t="shared" si="151"/>
        <v>5.3380596965621951E-3</v>
      </c>
      <c r="Z160" s="22">
        <f t="shared" si="151"/>
        <v>9.424453825834983E-3</v>
      </c>
      <c r="AA160" s="22">
        <f t="shared" si="151"/>
        <v>2.2757743513387593E-2</v>
      </c>
      <c r="AB160" s="22">
        <f t="shared" si="151"/>
        <v>3.487523417504932E-2</v>
      </c>
      <c r="AC160" s="22">
        <f t="shared" si="151"/>
        <v>0.14845506565044328</v>
      </c>
      <c r="AD160" s="22">
        <f t="shared" si="151"/>
        <v>1.0767650616996751E-2</v>
      </c>
      <c r="AE160" s="22">
        <f t="shared" si="151"/>
        <v>5.4518751040906248E-2</v>
      </c>
      <c r="AF160" s="22">
        <f t="shared" si="151"/>
        <v>0.24826904565633889</v>
      </c>
      <c r="AG160" s="22">
        <f t="shared" si="151"/>
        <v>3.2882781843257367E-2</v>
      </c>
      <c r="AH160" s="22">
        <f t="shared" si="151"/>
        <v>4.3836634485298828E-2</v>
      </c>
      <c r="AI160" s="22">
        <f t="shared" si="151"/>
        <v>6.376226787045558E-2</v>
      </c>
      <c r="AJ160" s="22">
        <f t="shared" si="151"/>
        <v>6.6732221992098703E-2</v>
      </c>
      <c r="AK160" s="22">
        <f t="shared" si="151"/>
        <v>6.1418699052260481E-2</v>
      </c>
      <c r="AL160" s="22">
        <f t="shared" ref="AL160:BS160" si="152">IF(AL78=".",0,AL78/AL$83)</f>
        <v>0.11338891430030514</v>
      </c>
      <c r="AM160" s="22">
        <f t="shared" si="152"/>
        <v>2.6100799843450363E-2</v>
      </c>
      <c r="AN160" s="22">
        <f t="shared" si="152"/>
        <v>1.3977025171505808E-2</v>
      </c>
      <c r="AO160" s="22">
        <f t="shared" si="152"/>
        <v>3.9935335067335063E-2</v>
      </c>
      <c r="AP160" s="22">
        <f t="shared" si="152"/>
        <v>1.4840393798635406E-2</v>
      </c>
      <c r="AQ160" s="22">
        <f t="shared" si="152"/>
        <v>4.7174200405240965E-2</v>
      </c>
      <c r="AR160" s="22">
        <f t="shared" si="152"/>
        <v>5.5474416251906002E-2</v>
      </c>
      <c r="AS160" s="22">
        <f t="shared" si="152"/>
        <v>0.20168025374775231</v>
      </c>
      <c r="AT160" s="22">
        <f t="shared" si="152"/>
        <v>6.0889265553787583E-2</v>
      </c>
      <c r="AU160" s="22">
        <f t="shared" si="152"/>
        <v>2.9238433558712092E-2</v>
      </c>
      <c r="AV160" s="22">
        <f t="shared" si="152"/>
        <v>0.10211896501021843</v>
      </c>
      <c r="AW160" s="22">
        <f t="shared" si="152"/>
        <v>4.3436910502734544E-2</v>
      </c>
      <c r="AX160" s="22">
        <f t="shared" si="152"/>
        <v>6.6813338494873795E-2</v>
      </c>
      <c r="AY160" s="22">
        <f t="shared" si="152"/>
        <v>0.26440707535720687</v>
      </c>
      <c r="AZ160" s="22">
        <f t="shared" si="152"/>
        <v>2.5899597634270591E-2</v>
      </c>
      <c r="BA160" s="22">
        <f t="shared" si="152"/>
        <v>4.4553223319278523E-2</v>
      </c>
      <c r="BB160" s="22">
        <f t="shared" si="152"/>
        <v>7.8689709430794536E-2</v>
      </c>
      <c r="BC160" s="22">
        <f t="shared" si="152"/>
        <v>2.551309928540222E-2</v>
      </c>
      <c r="BD160" s="22">
        <f t="shared" si="152"/>
        <v>3.2508000197797385E-2</v>
      </c>
      <c r="BE160" s="22">
        <f t="shared" si="152"/>
        <v>0.18922297048686587</v>
      </c>
      <c r="BF160" s="22">
        <f t="shared" si="152"/>
        <v>9.818676378698734E-3</v>
      </c>
      <c r="BG160" s="22">
        <f t="shared" si="152"/>
        <v>2.692148033173003E-2</v>
      </c>
      <c r="BH160" s="22">
        <f t="shared" si="152"/>
        <v>3.6744518449836477E-2</v>
      </c>
      <c r="BI160" s="22">
        <f t="shared" si="152"/>
        <v>0.10905975068128539</v>
      </c>
      <c r="BJ160" s="22">
        <f t="shared" si="152"/>
        <v>6.3248850450371499E-2</v>
      </c>
      <c r="BK160" s="22">
        <f t="shared" si="152"/>
        <v>6.1064468634812442E-2</v>
      </c>
      <c r="BL160" s="22">
        <f t="shared" si="152"/>
        <v>5.1572736699720477E-2</v>
      </c>
      <c r="BM160" s="22">
        <f t="shared" si="152"/>
        <v>8.4777637179339699E-2</v>
      </c>
      <c r="BN160" s="22">
        <f t="shared" si="152"/>
        <v>0.12741593338681281</v>
      </c>
      <c r="BO160" s="22">
        <f t="shared" si="152"/>
        <v>3.0718458965379628E-2</v>
      </c>
      <c r="BP160" s="22">
        <f t="shared" si="152"/>
        <v>7.9883798633798631E-2</v>
      </c>
      <c r="BQ160" s="22">
        <f t="shared" si="152"/>
        <v>0.10523206521355603</v>
      </c>
      <c r="BR160" s="22">
        <f t="shared" si="152"/>
        <v>0</v>
      </c>
      <c r="BS160" s="22">
        <f t="shared" si="152"/>
        <v>7.7591943602680916E-2</v>
      </c>
      <c r="BT160" s="164"/>
      <c r="BU160" s="164"/>
      <c r="BV160" s="164"/>
      <c r="BW160" s="162"/>
      <c r="BX160" s="163"/>
      <c r="BY160" s="164"/>
      <c r="BZ160" s="164"/>
      <c r="CA160" s="164"/>
      <c r="CB160" s="165"/>
      <c r="CC160" s="166"/>
    </row>
    <row r="161" spans="1:81" x14ac:dyDescent="0.3">
      <c r="A161" s="7">
        <v>73</v>
      </c>
      <c r="B161" s="4" t="s">
        <v>22</v>
      </c>
      <c r="C161" s="4"/>
      <c r="D161" s="4"/>
      <c r="E161" s="4"/>
      <c r="F161" s="22">
        <f t="shared" ref="F161:AK161" si="153">IF(F79=".",0,F79/F$83)</f>
        <v>0.25870421693663492</v>
      </c>
      <c r="G161" s="22">
        <f t="shared" si="153"/>
        <v>0.16439851026159968</v>
      </c>
      <c r="H161" s="22">
        <f t="shared" si="153"/>
        <v>0.12578343504795117</v>
      </c>
      <c r="I161" s="22">
        <f t="shared" si="153"/>
        <v>0.1952462622559655</v>
      </c>
      <c r="J161" s="22">
        <f t="shared" si="153"/>
        <v>2.1416191310251079E-2</v>
      </c>
      <c r="K161" s="22">
        <f t="shared" si="153"/>
        <v>1.320412397182244E-2</v>
      </c>
      <c r="L161" s="22">
        <f t="shared" si="153"/>
        <v>6.0023762853882022E-2</v>
      </c>
      <c r="M161" s="22">
        <f t="shared" si="153"/>
        <v>7.3597254033775886E-2</v>
      </c>
      <c r="N161" s="22">
        <f t="shared" si="153"/>
        <v>8.6046516450168434E-2</v>
      </c>
      <c r="O161" s="22">
        <f t="shared" si="153"/>
        <v>0.25941489247196087</v>
      </c>
      <c r="P161" s="22">
        <f t="shared" si="153"/>
        <v>4.7385257928948377E-2</v>
      </c>
      <c r="Q161" s="22">
        <f t="shared" si="153"/>
        <v>5.7698204944735057E-3</v>
      </c>
      <c r="R161" s="22">
        <f t="shared" si="153"/>
        <v>1.5264666256151934E-2</v>
      </c>
      <c r="S161" s="22">
        <f t="shared" si="153"/>
        <v>2.3123421757762979E-2</v>
      </c>
      <c r="T161" s="22">
        <f t="shared" si="153"/>
        <v>6.1354200143584076E-3</v>
      </c>
      <c r="U161" s="22">
        <f t="shared" si="153"/>
        <v>3.356724960473078E-2</v>
      </c>
      <c r="V161" s="22">
        <f t="shared" si="153"/>
        <v>1.8842908139027798E-2</v>
      </c>
      <c r="W161" s="22">
        <f t="shared" si="153"/>
        <v>3.349308322488137E-2</v>
      </c>
      <c r="X161" s="22">
        <f t="shared" si="153"/>
        <v>1.7506201396572978E-2</v>
      </c>
      <c r="Y161" s="22">
        <f t="shared" si="153"/>
        <v>4.236249292036514E-2</v>
      </c>
      <c r="Z161" s="22">
        <f t="shared" si="153"/>
        <v>3.8322410917717806E-2</v>
      </c>
      <c r="AA161" s="22">
        <f t="shared" si="153"/>
        <v>3.489207444588293E-2</v>
      </c>
      <c r="AB161" s="22">
        <f t="shared" si="153"/>
        <v>6.355344784523996E-2</v>
      </c>
      <c r="AC161" s="22">
        <f t="shared" si="153"/>
        <v>0.24910702580993824</v>
      </c>
      <c r="AD161" s="22">
        <f t="shared" si="153"/>
        <v>6.5023118051680345E-2</v>
      </c>
      <c r="AE161" s="22">
        <f t="shared" si="153"/>
        <v>0.14756491195207733</v>
      </c>
      <c r="AF161" s="22">
        <f t="shared" si="153"/>
        <v>0.20203804333808265</v>
      </c>
      <c r="AG161" s="22">
        <f t="shared" si="153"/>
        <v>8.4099571515776572E-2</v>
      </c>
      <c r="AH161" s="22">
        <f t="shared" si="153"/>
        <v>5.6516200698280443E-2</v>
      </c>
      <c r="AI161" s="22">
        <f t="shared" si="153"/>
        <v>4.6578434914306945E-2</v>
      </c>
      <c r="AJ161" s="22">
        <f t="shared" si="153"/>
        <v>0.20028994368321099</v>
      </c>
      <c r="AK161" s="22">
        <f t="shared" si="153"/>
        <v>8.6235184069805459E-2</v>
      </c>
      <c r="AL161" s="22">
        <f t="shared" ref="AL161:BS161" si="154">IF(AL79=".",0,AL79/AL$83)</f>
        <v>3.8325669349249879E-2</v>
      </c>
      <c r="AM161" s="22">
        <f t="shared" si="154"/>
        <v>5.0703958985395488E-2</v>
      </c>
      <c r="AN161" s="22">
        <f t="shared" si="154"/>
        <v>0</v>
      </c>
      <c r="AO161" s="22">
        <f t="shared" si="154"/>
        <v>0.16196208403521548</v>
      </c>
      <c r="AP161" s="22">
        <f t="shared" si="154"/>
        <v>5.3304537437703692E-2</v>
      </c>
      <c r="AQ161" s="22">
        <f t="shared" si="154"/>
        <v>6.1342756282705283E-3</v>
      </c>
      <c r="AR161" s="22">
        <f t="shared" si="154"/>
        <v>1.2745475034905401E-2</v>
      </c>
      <c r="AS161" s="22">
        <f t="shared" si="154"/>
        <v>1.3863357102982072E-3</v>
      </c>
      <c r="AT161" s="22">
        <f t="shared" si="154"/>
        <v>0.20800420573022421</v>
      </c>
      <c r="AU161" s="22">
        <f t="shared" si="154"/>
        <v>0.1372296170244281</v>
      </c>
      <c r="AV161" s="22">
        <f t="shared" si="154"/>
        <v>0.19158150278875405</v>
      </c>
      <c r="AW161" s="22">
        <f t="shared" si="154"/>
        <v>0.21156435096586101</v>
      </c>
      <c r="AX161" s="22">
        <f t="shared" si="154"/>
        <v>0.14696552219433201</v>
      </c>
      <c r="AY161" s="22">
        <f t="shared" si="154"/>
        <v>0.3709869044956538</v>
      </c>
      <c r="AZ161" s="22">
        <f t="shared" si="154"/>
        <v>0.17810169121426042</v>
      </c>
      <c r="BA161" s="22">
        <f t="shared" si="154"/>
        <v>0.12138801607038835</v>
      </c>
      <c r="BB161" s="22">
        <f t="shared" si="154"/>
        <v>3.8915720249500284E-3</v>
      </c>
      <c r="BC161" s="22">
        <f t="shared" si="154"/>
        <v>9.2720514860491654E-2</v>
      </c>
      <c r="BD161" s="22">
        <f t="shared" si="154"/>
        <v>0.11546846191340714</v>
      </c>
      <c r="BE161" s="22">
        <f t="shared" si="154"/>
        <v>0.14053381403989318</v>
      </c>
      <c r="BF161" s="22">
        <f t="shared" si="154"/>
        <v>0</v>
      </c>
      <c r="BG161" s="22">
        <f t="shared" si="154"/>
        <v>4.9949013202422093E-2</v>
      </c>
      <c r="BH161" s="22">
        <f t="shared" si="154"/>
        <v>7.3014274745682117E-2</v>
      </c>
      <c r="BI161" s="22">
        <f t="shared" si="154"/>
        <v>0</v>
      </c>
      <c r="BJ161" s="22">
        <f t="shared" si="154"/>
        <v>8.6491228550640894E-3</v>
      </c>
      <c r="BK161" s="22">
        <f t="shared" si="154"/>
        <v>1.5789637892278413E-2</v>
      </c>
      <c r="BL161" s="22">
        <f t="shared" si="154"/>
        <v>1.2977100761842727E-3</v>
      </c>
      <c r="BM161" s="22">
        <f t="shared" si="154"/>
        <v>3.687426665132866E-2</v>
      </c>
      <c r="BN161" s="22">
        <f t="shared" si="154"/>
        <v>0</v>
      </c>
      <c r="BO161" s="22">
        <f t="shared" si="154"/>
        <v>0</v>
      </c>
      <c r="BP161" s="22">
        <f t="shared" si="154"/>
        <v>5.1285145035145037E-2</v>
      </c>
      <c r="BQ161" s="22">
        <f t="shared" si="154"/>
        <v>5.1215747710801347E-2</v>
      </c>
      <c r="BR161" s="22">
        <f t="shared" si="154"/>
        <v>1</v>
      </c>
      <c r="BS161" s="22">
        <f t="shared" si="154"/>
        <v>0.12136903353944253</v>
      </c>
      <c r="BT161" s="164"/>
      <c r="BU161" s="164"/>
      <c r="BV161" s="164"/>
      <c r="BW161" s="162"/>
      <c r="BX161" s="163"/>
      <c r="BY161" s="164"/>
      <c r="BZ161" s="164"/>
      <c r="CA161" s="164"/>
      <c r="CB161" s="165"/>
      <c r="CC161" s="166"/>
    </row>
    <row r="162" spans="1:81" s="7" customFormat="1" x14ac:dyDescent="0.3">
      <c r="A162" s="7">
        <v>74</v>
      </c>
      <c r="B162" s="17" t="s">
        <v>23</v>
      </c>
      <c r="C162" s="17"/>
      <c r="D162" s="17"/>
      <c r="E162" s="17"/>
      <c r="F162" s="25">
        <f t="shared" ref="F162:AK162" si="155">IF(F80=".",0,F80/F$83)</f>
        <v>0.2825366055459963</v>
      </c>
      <c r="G162" s="25">
        <f t="shared" si="155"/>
        <v>0.37234147951657331</v>
      </c>
      <c r="H162" s="25">
        <f t="shared" si="155"/>
        <v>0.33618134263295557</v>
      </c>
      <c r="I162" s="25">
        <f t="shared" si="155"/>
        <v>0.55449149880809412</v>
      </c>
      <c r="J162" s="25">
        <f t="shared" si="155"/>
        <v>0.11848640951873166</v>
      </c>
      <c r="K162" s="25">
        <f t="shared" si="155"/>
        <v>0.13480186901834851</v>
      </c>
      <c r="L162" s="25">
        <f t="shared" si="155"/>
        <v>0.20368633304917558</v>
      </c>
      <c r="M162" s="25">
        <f t="shared" si="155"/>
        <v>0.14865732204492818</v>
      </c>
      <c r="N162" s="25">
        <f t="shared" si="155"/>
        <v>0.32325127861659542</v>
      </c>
      <c r="O162" s="25">
        <f t="shared" si="155"/>
        <v>0.40685639248272443</v>
      </c>
      <c r="P162" s="25">
        <f t="shared" si="155"/>
        <v>8.3524971735145587E-2</v>
      </c>
      <c r="Q162" s="25">
        <f t="shared" si="155"/>
        <v>2.75143291838328E-2</v>
      </c>
      <c r="R162" s="25">
        <f t="shared" si="155"/>
        <v>0.107259926596791</v>
      </c>
      <c r="S162" s="25">
        <f t="shared" si="155"/>
        <v>0.19286798822277659</v>
      </c>
      <c r="T162" s="25">
        <f t="shared" si="155"/>
        <v>2.5664493934175889E-2</v>
      </c>
      <c r="U162" s="25">
        <f t="shared" si="155"/>
        <v>0.16406336841298994</v>
      </c>
      <c r="V162" s="25">
        <f t="shared" si="155"/>
        <v>4.6958436431247662E-2</v>
      </c>
      <c r="W162" s="25">
        <f t="shared" si="155"/>
        <v>0.10003648072073215</v>
      </c>
      <c r="X162" s="25">
        <f t="shared" si="155"/>
        <v>0.10247251454043525</v>
      </c>
      <c r="Y162" s="25">
        <f t="shared" si="155"/>
        <v>9.5529394523801089E-2</v>
      </c>
      <c r="Z162" s="25">
        <f t="shared" si="155"/>
        <v>0.10676741340542341</v>
      </c>
      <c r="AA162" s="25">
        <f t="shared" si="155"/>
        <v>0.20173283495812502</v>
      </c>
      <c r="AB162" s="25">
        <f t="shared" si="155"/>
        <v>0.38590999365692963</v>
      </c>
      <c r="AC162" s="25">
        <f t="shared" si="155"/>
        <v>0.50814681452006394</v>
      </c>
      <c r="AD162" s="25">
        <f t="shared" si="155"/>
        <v>0.10293348785011872</v>
      </c>
      <c r="AE162" s="25">
        <f t="shared" si="155"/>
        <v>0.3143663378189705</v>
      </c>
      <c r="AF162" s="25">
        <f t="shared" si="155"/>
        <v>0.71886680911166523</v>
      </c>
      <c r="AG162" s="25">
        <f t="shared" si="155"/>
        <v>0.20324011534322509</v>
      </c>
      <c r="AH162" s="25">
        <f t="shared" si="155"/>
        <v>0.36030936974728428</v>
      </c>
      <c r="AI162" s="25">
        <f t="shared" si="155"/>
        <v>0.42815027569654834</v>
      </c>
      <c r="AJ162" s="25">
        <f t="shared" si="155"/>
        <v>0.52541360386935765</v>
      </c>
      <c r="AK162" s="25">
        <f t="shared" si="155"/>
        <v>0.54021432999771113</v>
      </c>
      <c r="AL162" s="25">
        <f t="shared" ref="AL162:BS162" si="156">IF(AL80=".",0,AL80/AL$83)</f>
        <v>0.33205482931847163</v>
      </c>
      <c r="AM162" s="25">
        <f t="shared" si="156"/>
        <v>9.6700922115022389E-2</v>
      </c>
      <c r="AN162" s="25">
        <f t="shared" si="156"/>
        <v>8.519496647826251E-2</v>
      </c>
      <c r="AO162" s="25">
        <f t="shared" si="156"/>
        <v>0.30914490013603441</v>
      </c>
      <c r="AP162" s="25">
        <f t="shared" si="156"/>
        <v>0.47012903444305215</v>
      </c>
      <c r="AQ162" s="25">
        <f t="shared" si="156"/>
        <v>0.31941746961042816</v>
      </c>
      <c r="AR162" s="25">
        <f t="shared" si="156"/>
        <v>0.32815382879795629</v>
      </c>
      <c r="AS162" s="25">
        <f t="shared" si="156"/>
        <v>0.4207198092877803</v>
      </c>
      <c r="AT162" s="25">
        <f t="shared" si="156"/>
        <v>0.3569018960627644</v>
      </c>
      <c r="AU162" s="25">
        <f t="shared" si="156"/>
        <v>0.55538569391914983</v>
      </c>
      <c r="AV162" s="25">
        <f t="shared" si="156"/>
        <v>0.5072349139155985</v>
      </c>
      <c r="AW162" s="25">
        <f t="shared" si="156"/>
        <v>0.48595052171469477</v>
      </c>
      <c r="AX162" s="25">
        <f t="shared" si="156"/>
        <v>0.44660228754334619</v>
      </c>
      <c r="AY162" s="25">
        <f t="shared" si="156"/>
        <v>0.71426497157545976</v>
      </c>
      <c r="AZ162" s="25">
        <f t="shared" si="156"/>
        <v>0.41465279645513392</v>
      </c>
      <c r="BA162" s="25">
        <f t="shared" si="156"/>
        <v>0.46480982639790153</v>
      </c>
      <c r="BB162" s="25">
        <f t="shared" si="156"/>
        <v>0.5861728357883087</v>
      </c>
      <c r="BC162" s="25">
        <f t="shared" si="156"/>
        <v>0.30974273475516362</v>
      </c>
      <c r="BD162" s="25">
        <f t="shared" si="156"/>
        <v>0.43801948304240634</v>
      </c>
      <c r="BE162" s="25">
        <f t="shared" si="156"/>
        <v>0.39581802910188113</v>
      </c>
      <c r="BF162" s="25">
        <f t="shared" si="156"/>
        <v>0.74758140497567527</v>
      </c>
      <c r="BG162" s="25">
        <f t="shared" si="156"/>
        <v>0.29479506014637269</v>
      </c>
      <c r="BH162" s="25">
        <f t="shared" si="156"/>
        <v>0.5368441467697842</v>
      </c>
      <c r="BI162" s="25">
        <f t="shared" si="156"/>
        <v>0.6373809353841986</v>
      </c>
      <c r="BJ162" s="25">
        <f t="shared" si="156"/>
        <v>0.71242739146033196</v>
      </c>
      <c r="BK162" s="25">
        <f t="shared" si="156"/>
        <v>0.59650074953163557</v>
      </c>
      <c r="BL162" s="25">
        <f t="shared" si="156"/>
        <v>0.63394086278239425</v>
      </c>
      <c r="BM162" s="25">
        <f t="shared" si="156"/>
        <v>0.50096261359714722</v>
      </c>
      <c r="BN162" s="25">
        <f t="shared" si="156"/>
        <v>0.40336590630324987</v>
      </c>
      <c r="BO162" s="25">
        <f t="shared" si="156"/>
        <v>0.42794470426286552</v>
      </c>
      <c r="BP162" s="25">
        <f t="shared" si="156"/>
        <v>0.41574472824472825</v>
      </c>
      <c r="BQ162" s="25">
        <f t="shared" si="156"/>
        <v>0.4510227926862585</v>
      </c>
      <c r="BR162" s="25">
        <f t="shared" si="156"/>
        <v>1</v>
      </c>
      <c r="BS162" s="25">
        <f t="shared" si="156"/>
        <v>0.43175170735269497</v>
      </c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6"/>
    </row>
    <row r="163" spans="1:81" x14ac:dyDescent="0.3">
      <c r="A163" s="7">
        <v>75</v>
      </c>
      <c r="B163" s="10" t="s">
        <v>24</v>
      </c>
      <c r="C163" s="10"/>
      <c r="D163" s="10"/>
      <c r="E163" s="10"/>
      <c r="F163" s="26">
        <f t="shared" ref="F163:AK163" si="157">IF(F81=".",0,F81/F$83)</f>
        <v>0.79489438727689743</v>
      </c>
      <c r="G163" s="26">
        <f t="shared" si="157"/>
        <v>0.94336269528524186</v>
      </c>
      <c r="H163" s="26">
        <f t="shared" si="157"/>
        <v>0.78552048823016563</v>
      </c>
      <c r="I163" s="26">
        <f t="shared" si="157"/>
        <v>1</v>
      </c>
      <c r="J163" s="26">
        <f t="shared" si="157"/>
        <v>0.59375652195827677</v>
      </c>
      <c r="K163" s="26">
        <f t="shared" si="157"/>
        <v>0.43478475864645361</v>
      </c>
      <c r="L163" s="26">
        <f t="shared" si="157"/>
        <v>0.83137079082333387</v>
      </c>
      <c r="M163" s="26">
        <f t="shared" si="157"/>
        <v>0.47016326504571293</v>
      </c>
      <c r="N163" s="26">
        <f t="shared" si="157"/>
        <v>0.98787011971770389</v>
      </c>
      <c r="O163" s="26">
        <f t="shared" si="157"/>
        <v>1</v>
      </c>
      <c r="P163" s="26">
        <f t="shared" si="157"/>
        <v>0.32501066266552986</v>
      </c>
      <c r="Q163" s="26">
        <f t="shared" si="157"/>
        <v>0.11376831239324406</v>
      </c>
      <c r="R163" s="26">
        <f t="shared" si="157"/>
        <v>0.42094637094613951</v>
      </c>
      <c r="S163" s="26">
        <f t="shared" si="157"/>
        <v>0.62993333161875864</v>
      </c>
      <c r="T163" s="26">
        <f t="shared" si="157"/>
        <v>0.10633403125134358</v>
      </c>
      <c r="U163" s="26">
        <f t="shared" si="157"/>
        <v>0.66964350236337833</v>
      </c>
      <c r="V163" s="26">
        <f t="shared" si="157"/>
        <v>0.43567700368494744</v>
      </c>
      <c r="W163" s="26">
        <f t="shared" si="157"/>
        <v>0.4452669558061742</v>
      </c>
      <c r="X163" s="26">
        <f t="shared" si="157"/>
        <v>0.31421116388430576</v>
      </c>
      <c r="Y163" s="26">
        <f t="shared" si="157"/>
        <v>0.31628775479928672</v>
      </c>
      <c r="Z163" s="26">
        <f t="shared" si="157"/>
        <v>0.30942413352039172</v>
      </c>
      <c r="AA163" s="26">
        <f t="shared" si="157"/>
        <v>0.65035782196171121</v>
      </c>
      <c r="AB163" s="26">
        <f t="shared" si="157"/>
        <v>0.96915628618473049</v>
      </c>
      <c r="AC163" s="26">
        <f t="shared" si="157"/>
        <v>0.92368105426030189</v>
      </c>
      <c r="AD163" s="26">
        <f t="shared" si="157"/>
        <v>1</v>
      </c>
      <c r="AE163" s="26">
        <f t="shared" si="157"/>
        <v>1</v>
      </c>
      <c r="AF163" s="26">
        <f t="shared" si="157"/>
        <v>1</v>
      </c>
      <c r="AG163" s="26">
        <f t="shared" si="157"/>
        <v>0.82398191152244404</v>
      </c>
      <c r="AH163" s="26">
        <f t="shared" si="157"/>
        <v>0.96688391930058981</v>
      </c>
      <c r="AI163" s="26">
        <f t="shared" si="157"/>
        <v>0.99486521246594994</v>
      </c>
      <c r="AJ163" s="26">
        <f t="shared" si="157"/>
        <v>1</v>
      </c>
      <c r="AK163" s="26">
        <f t="shared" si="157"/>
        <v>1</v>
      </c>
      <c r="AL163" s="26">
        <f t="shared" ref="AL163:BS163" si="158">IF(AL81=".",0,AL81/AL$83)</f>
        <v>0.93586647355127084</v>
      </c>
      <c r="AM163" s="26">
        <f t="shared" si="158"/>
        <v>0.84994655817344744</v>
      </c>
      <c r="AN163" s="26">
        <f t="shared" si="158"/>
        <v>0.617065623623829</v>
      </c>
      <c r="AO163" s="26">
        <f t="shared" si="158"/>
        <v>0.86879739348002893</v>
      </c>
      <c r="AP163" s="26">
        <f t="shared" si="158"/>
        <v>0.89753445998577563</v>
      </c>
      <c r="AQ163" s="26">
        <f t="shared" si="158"/>
        <v>0.90502042308053154</v>
      </c>
      <c r="AR163" s="26">
        <f t="shared" si="158"/>
        <v>0.79084174479694214</v>
      </c>
      <c r="AS163" s="26">
        <f t="shared" si="158"/>
        <v>0.81844279934258701</v>
      </c>
      <c r="AT163" s="26">
        <f t="shared" si="158"/>
        <v>0.82636320276202602</v>
      </c>
      <c r="AU163" s="26">
        <f t="shared" si="158"/>
        <v>0.84744370159784965</v>
      </c>
      <c r="AV163" s="26">
        <f t="shared" si="158"/>
        <v>0.87088405480142639</v>
      </c>
      <c r="AW163" s="26">
        <f t="shared" si="158"/>
        <v>0.9826683103363163</v>
      </c>
      <c r="AX163" s="26">
        <f t="shared" si="158"/>
        <v>0.96676294924816097</v>
      </c>
      <c r="AY163" s="26">
        <f t="shared" si="158"/>
        <v>0.99671561742078896</v>
      </c>
      <c r="AZ163" s="26">
        <f t="shared" si="158"/>
        <v>0.66908720764574769</v>
      </c>
      <c r="BA163" s="26">
        <f t="shared" si="158"/>
        <v>0.87283414417041383</v>
      </c>
      <c r="BB163" s="26">
        <f t="shared" si="158"/>
        <v>0.93888146477897694</v>
      </c>
      <c r="BC163" s="26">
        <f t="shared" si="158"/>
        <v>0.86280920648152593</v>
      </c>
      <c r="BD163" s="26">
        <f t="shared" si="158"/>
        <v>0.94450087949194328</v>
      </c>
      <c r="BE163" s="26">
        <f t="shared" si="158"/>
        <v>0.70599708103995418</v>
      </c>
      <c r="BF163" s="26">
        <f t="shared" si="158"/>
        <v>0.99572987474952168</v>
      </c>
      <c r="BG163" s="26">
        <f t="shared" si="158"/>
        <v>1</v>
      </c>
      <c r="BH163" s="26">
        <f t="shared" si="158"/>
        <v>0.99292878036339094</v>
      </c>
      <c r="BI163" s="26">
        <f t="shared" si="158"/>
        <v>0.99668046070151251</v>
      </c>
      <c r="BJ163" s="26">
        <f t="shared" si="158"/>
        <v>0.98409675570027821</v>
      </c>
      <c r="BK163" s="26">
        <f t="shared" si="158"/>
        <v>0.99432302213532575</v>
      </c>
      <c r="BL163" s="26">
        <f t="shared" si="158"/>
        <v>1</v>
      </c>
      <c r="BM163" s="26">
        <f t="shared" si="158"/>
        <v>0.97137374899344309</v>
      </c>
      <c r="BN163" s="26">
        <f t="shared" si="158"/>
        <v>0.99892196220561003</v>
      </c>
      <c r="BO163" s="26">
        <f t="shared" si="158"/>
        <v>1</v>
      </c>
      <c r="BP163" s="26">
        <f t="shared" si="158"/>
        <v>1</v>
      </c>
      <c r="BQ163" s="26">
        <f t="shared" si="158"/>
        <v>0.99993346378464032</v>
      </c>
      <c r="BR163" s="26">
        <f t="shared" si="158"/>
        <v>1</v>
      </c>
      <c r="BS163" s="26">
        <f t="shared" si="158"/>
        <v>1</v>
      </c>
      <c r="BT163" s="163"/>
      <c r="BU163" s="163"/>
      <c r="BV163" s="163"/>
      <c r="BW163" s="162"/>
      <c r="BX163" s="163"/>
      <c r="BY163" s="163"/>
      <c r="BZ163" s="163"/>
      <c r="CA163" s="163"/>
      <c r="CB163" s="165"/>
      <c r="CC163" s="166"/>
    </row>
    <row r="164" spans="1:81" x14ac:dyDescent="0.3">
      <c r="A164" s="7">
        <v>76</v>
      </c>
      <c r="B164" s="2" t="s">
        <v>41</v>
      </c>
      <c r="C164" s="2"/>
      <c r="D164" s="2"/>
      <c r="E164" s="2"/>
      <c r="F164" s="23">
        <f t="shared" ref="F164:AK164" si="159">IF(F82=".",0,F82/F$83)</f>
        <v>0.2051056127231026</v>
      </c>
      <c r="G164" s="23">
        <f t="shared" si="159"/>
        <v>5.6637304714758148E-2</v>
      </c>
      <c r="H164" s="23">
        <f t="shared" si="159"/>
        <v>0.21447951176983435</v>
      </c>
      <c r="I164" s="23">
        <f t="shared" si="159"/>
        <v>0</v>
      </c>
      <c r="J164" s="23">
        <f t="shared" si="159"/>
        <v>0.40624347804172323</v>
      </c>
      <c r="K164" s="23">
        <f t="shared" si="159"/>
        <v>0.56521524135354628</v>
      </c>
      <c r="L164" s="23">
        <f t="shared" si="159"/>
        <v>0.16862920917666616</v>
      </c>
      <c r="M164" s="23">
        <f t="shared" si="159"/>
        <v>0.52983673495428696</v>
      </c>
      <c r="N164" s="23">
        <f t="shared" si="159"/>
        <v>1.2129880282296151E-2</v>
      </c>
      <c r="O164" s="23">
        <f t="shared" si="159"/>
        <v>0</v>
      </c>
      <c r="P164" s="23">
        <f t="shared" si="159"/>
        <v>0.6749893373344702</v>
      </c>
      <c r="Q164" s="23">
        <f t="shared" si="159"/>
        <v>0.88623168760675597</v>
      </c>
      <c r="R164" s="23">
        <f t="shared" si="159"/>
        <v>0.5790536290538606</v>
      </c>
      <c r="S164" s="23">
        <f t="shared" si="159"/>
        <v>0.37006666838124147</v>
      </c>
      <c r="T164" s="23">
        <f t="shared" si="159"/>
        <v>0.89366596874865645</v>
      </c>
      <c r="U164" s="23">
        <f t="shared" si="159"/>
        <v>0.33035649763662167</v>
      </c>
      <c r="V164" s="23">
        <f t="shared" si="159"/>
        <v>0.56432299631505267</v>
      </c>
      <c r="W164" s="23">
        <f t="shared" si="159"/>
        <v>0.55473304419382585</v>
      </c>
      <c r="X164" s="23">
        <f t="shared" si="159"/>
        <v>0.6857888361156943</v>
      </c>
      <c r="Y164" s="23">
        <f t="shared" si="159"/>
        <v>0.68371224520071328</v>
      </c>
      <c r="Z164" s="23">
        <f t="shared" si="159"/>
        <v>0.69057586647960822</v>
      </c>
      <c r="AA164" s="23">
        <f t="shared" si="159"/>
        <v>0.34964217803828873</v>
      </c>
      <c r="AB164" s="23">
        <f t="shared" si="159"/>
        <v>3.0843713815269437E-2</v>
      </c>
      <c r="AC164" s="23">
        <f t="shared" si="159"/>
        <v>7.6318945739698149E-2</v>
      </c>
      <c r="AD164" s="23">
        <f t="shared" si="159"/>
        <v>0</v>
      </c>
      <c r="AE164" s="23">
        <f t="shared" si="159"/>
        <v>0</v>
      </c>
      <c r="AF164" s="23">
        <f t="shared" si="159"/>
        <v>0</v>
      </c>
      <c r="AG164" s="23">
        <f t="shared" si="159"/>
        <v>0.17601808847755609</v>
      </c>
      <c r="AH164" s="23">
        <f t="shared" si="159"/>
        <v>3.311608069941032E-2</v>
      </c>
      <c r="AI164" s="23">
        <f t="shared" si="159"/>
        <v>5.134787534050095E-3</v>
      </c>
      <c r="AJ164" s="23">
        <f t="shared" si="159"/>
        <v>0</v>
      </c>
      <c r="AK164" s="23">
        <f t="shared" si="159"/>
        <v>0</v>
      </c>
      <c r="AL164" s="23">
        <f t="shared" ref="AL164:BS164" si="160">IF(AL82=".",0,AL82/AL$83)</f>
        <v>6.4133526448729036E-2</v>
      </c>
      <c r="AM164" s="23">
        <f t="shared" si="160"/>
        <v>0.15005344182655253</v>
      </c>
      <c r="AN164" s="23">
        <f t="shared" si="160"/>
        <v>0.38293437637617089</v>
      </c>
      <c r="AO164" s="23">
        <f t="shared" si="160"/>
        <v>0.13120260651997101</v>
      </c>
      <c r="AP164" s="23">
        <f t="shared" si="160"/>
        <v>0.10246554001422427</v>
      </c>
      <c r="AQ164" s="23">
        <f t="shared" si="160"/>
        <v>9.4979576919468511E-2</v>
      </c>
      <c r="AR164" s="23">
        <f t="shared" si="160"/>
        <v>0.20915825520305784</v>
      </c>
      <c r="AS164" s="23">
        <f t="shared" si="160"/>
        <v>0.18155720065741301</v>
      </c>
      <c r="AT164" s="23">
        <f t="shared" si="160"/>
        <v>0.17363679723797396</v>
      </c>
      <c r="AU164" s="23">
        <f t="shared" si="160"/>
        <v>0.15255629840215046</v>
      </c>
      <c r="AV164" s="23">
        <f t="shared" si="160"/>
        <v>0.12911594519857364</v>
      </c>
      <c r="AW164" s="23">
        <f t="shared" si="160"/>
        <v>1.7331689663683581E-2</v>
      </c>
      <c r="AX164" s="23">
        <f t="shared" si="160"/>
        <v>3.3237050751839095E-2</v>
      </c>
      <c r="AY164" s="23">
        <f t="shared" si="160"/>
        <v>3.2843825792110083E-3</v>
      </c>
      <c r="AZ164" s="23">
        <f t="shared" si="160"/>
        <v>0.33091279235425225</v>
      </c>
      <c r="BA164" s="23">
        <f t="shared" si="160"/>
        <v>0.12716585582958609</v>
      </c>
      <c r="BB164" s="23">
        <f t="shared" si="160"/>
        <v>6.111853522102307E-2</v>
      </c>
      <c r="BC164" s="23">
        <f t="shared" si="160"/>
        <v>0.13719079351847399</v>
      </c>
      <c r="BD164" s="23">
        <f t="shared" si="160"/>
        <v>5.5499120508056714E-2</v>
      </c>
      <c r="BE164" s="23">
        <f t="shared" si="160"/>
        <v>0.29400291896004566</v>
      </c>
      <c r="BF164" s="23">
        <f t="shared" si="160"/>
        <v>4.270125250478104E-3</v>
      </c>
      <c r="BG164" s="23">
        <f t="shared" si="160"/>
        <v>0</v>
      </c>
      <c r="BH164" s="23">
        <f t="shared" si="160"/>
        <v>7.0712196366090234E-3</v>
      </c>
      <c r="BI164" s="23">
        <f t="shared" si="160"/>
        <v>3.3195392984875036E-3</v>
      </c>
      <c r="BJ164" s="23">
        <f t="shared" si="160"/>
        <v>1.5903244299721845E-2</v>
      </c>
      <c r="BK164" s="23">
        <f t="shared" si="160"/>
        <v>5.6769778646742547E-3</v>
      </c>
      <c r="BL164" s="23">
        <f t="shared" si="160"/>
        <v>0</v>
      </c>
      <c r="BM164" s="23">
        <f t="shared" si="160"/>
        <v>2.8626251006557E-2</v>
      </c>
      <c r="BN164" s="23">
        <f t="shared" si="160"/>
        <v>1.0780377943900776E-3</v>
      </c>
      <c r="BO164" s="23">
        <f t="shared" si="160"/>
        <v>0</v>
      </c>
      <c r="BP164" s="23">
        <f t="shared" si="160"/>
        <v>0</v>
      </c>
      <c r="BQ164" s="23">
        <f t="shared" si="160"/>
        <v>6.653621535958287E-5</v>
      </c>
      <c r="BR164" s="23">
        <f t="shared" si="160"/>
        <v>0</v>
      </c>
      <c r="BS164" s="23">
        <f t="shared" si="160"/>
        <v>0</v>
      </c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6"/>
    </row>
    <row r="165" spans="1:81" s="7" customFormat="1" ht="14.4" thickBot="1" x14ac:dyDescent="0.35">
      <c r="A165" s="7">
        <v>77</v>
      </c>
      <c r="B165" s="11" t="s">
        <v>42</v>
      </c>
      <c r="C165" s="11"/>
      <c r="D165" s="11"/>
      <c r="E165" s="11"/>
      <c r="F165" s="27">
        <f t="shared" ref="F165:AK165" si="161">IF(F83=".",0,F83/F$83)</f>
        <v>1</v>
      </c>
      <c r="G165" s="27">
        <f t="shared" si="161"/>
        <v>1</v>
      </c>
      <c r="H165" s="27">
        <f t="shared" si="161"/>
        <v>1</v>
      </c>
      <c r="I165" s="27">
        <f t="shared" si="161"/>
        <v>1</v>
      </c>
      <c r="J165" s="27">
        <f t="shared" si="161"/>
        <v>1</v>
      </c>
      <c r="K165" s="27">
        <f t="shared" si="161"/>
        <v>1</v>
      </c>
      <c r="L165" s="27">
        <f t="shared" si="161"/>
        <v>1</v>
      </c>
      <c r="M165" s="27">
        <f t="shared" si="161"/>
        <v>1</v>
      </c>
      <c r="N165" s="27">
        <f t="shared" si="161"/>
        <v>1</v>
      </c>
      <c r="O165" s="27">
        <f t="shared" si="161"/>
        <v>1</v>
      </c>
      <c r="P165" s="27">
        <f t="shared" si="161"/>
        <v>1</v>
      </c>
      <c r="Q165" s="27">
        <f t="shared" si="161"/>
        <v>1</v>
      </c>
      <c r="R165" s="27">
        <f t="shared" si="161"/>
        <v>1</v>
      </c>
      <c r="S165" s="27">
        <f t="shared" si="161"/>
        <v>1</v>
      </c>
      <c r="T165" s="27">
        <f t="shared" si="161"/>
        <v>1</v>
      </c>
      <c r="U165" s="27">
        <f t="shared" si="161"/>
        <v>1</v>
      </c>
      <c r="V165" s="27">
        <f t="shared" si="161"/>
        <v>1</v>
      </c>
      <c r="W165" s="27">
        <f t="shared" si="161"/>
        <v>1</v>
      </c>
      <c r="X165" s="27">
        <f t="shared" si="161"/>
        <v>1</v>
      </c>
      <c r="Y165" s="27">
        <f t="shared" si="161"/>
        <v>1</v>
      </c>
      <c r="Z165" s="27">
        <f t="shared" si="161"/>
        <v>1</v>
      </c>
      <c r="AA165" s="27">
        <f t="shared" si="161"/>
        <v>1</v>
      </c>
      <c r="AB165" s="27">
        <f t="shared" si="161"/>
        <v>1</v>
      </c>
      <c r="AC165" s="27">
        <f t="shared" si="161"/>
        <v>1</v>
      </c>
      <c r="AD165" s="27">
        <f t="shared" si="161"/>
        <v>1</v>
      </c>
      <c r="AE165" s="27">
        <f t="shared" si="161"/>
        <v>1</v>
      </c>
      <c r="AF165" s="27">
        <f t="shared" si="161"/>
        <v>1</v>
      </c>
      <c r="AG165" s="27">
        <f t="shared" si="161"/>
        <v>1</v>
      </c>
      <c r="AH165" s="27">
        <f t="shared" si="161"/>
        <v>1</v>
      </c>
      <c r="AI165" s="27">
        <f t="shared" si="161"/>
        <v>1</v>
      </c>
      <c r="AJ165" s="27">
        <f t="shared" si="161"/>
        <v>1</v>
      </c>
      <c r="AK165" s="27">
        <f t="shared" si="161"/>
        <v>1</v>
      </c>
      <c r="AL165" s="27">
        <f t="shared" ref="AL165:BS165" si="162">IF(AL83=".",0,AL83/AL$83)</f>
        <v>1</v>
      </c>
      <c r="AM165" s="27">
        <f t="shared" si="162"/>
        <v>1</v>
      </c>
      <c r="AN165" s="27">
        <f t="shared" si="162"/>
        <v>1</v>
      </c>
      <c r="AO165" s="27">
        <f t="shared" si="162"/>
        <v>1</v>
      </c>
      <c r="AP165" s="27">
        <f t="shared" si="162"/>
        <v>1</v>
      </c>
      <c r="AQ165" s="27">
        <f t="shared" si="162"/>
        <v>1</v>
      </c>
      <c r="AR165" s="27">
        <f t="shared" si="162"/>
        <v>1</v>
      </c>
      <c r="AS165" s="27">
        <f t="shared" si="162"/>
        <v>1</v>
      </c>
      <c r="AT165" s="27">
        <f t="shared" si="162"/>
        <v>1</v>
      </c>
      <c r="AU165" s="27">
        <f t="shared" si="162"/>
        <v>1</v>
      </c>
      <c r="AV165" s="27">
        <f t="shared" si="162"/>
        <v>1</v>
      </c>
      <c r="AW165" s="27">
        <f t="shared" si="162"/>
        <v>1</v>
      </c>
      <c r="AX165" s="27">
        <f t="shared" si="162"/>
        <v>1</v>
      </c>
      <c r="AY165" s="27">
        <f t="shared" si="162"/>
        <v>1</v>
      </c>
      <c r="AZ165" s="27">
        <f t="shared" si="162"/>
        <v>1</v>
      </c>
      <c r="BA165" s="27">
        <f t="shared" si="162"/>
        <v>1</v>
      </c>
      <c r="BB165" s="27">
        <f t="shared" si="162"/>
        <v>1</v>
      </c>
      <c r="BC165" s="27">
        <f t="shared" si="162"/>
        <v>1</v>
      </c>
      <c r="BD165" s="27">
        <f t="shared" si="162"/>
        <v>1</v>
      </c>
      <c r="BE165" s="27">
        <f t="shared" si="162"/>
        <v>1</v>
      </c>
      <c r="BF165" s="27">
        <f t="shared" si="162"/>
        <v>1</v>
      </c>
      <c r="BG165" s="27">
        <f t="shared" si="162"/>
        <v>1</v>
      </c>
      <c r="BH165" s="27">
        <f t="shared" si="162"/>
        <v>1</v>
      </c>
      <c r="BI165" s="27">
        <f t="shared" si="162"/>
        <v>1</v>
      </c>
      <c r="BJ165" s="27">
        <f t="shared" si="162"/>
        <v>1</v>
      </c>
      <c r="BK165" s="27">
        <f t="shared" si="162"/>
        <v>1</v>
      </c>
      <c r="BL165" s="27">
        <f t="shared" si="162"/>
        <v>1</v>
      </c>
      <c r="BM165" s="27">
        <f t="shared" si="162"/>
        <v>1</v>
      </c>
      <c r="BN165" s="27">
        <f t="shared" si="162"/>
        <v>1</v>
      </c>
      <c r="BO165" s="27">
        <f t="shared" si="162"/>
        <v>1</v>
      </c>
      <c r="BP165" s="27">
        <f t="shared" si="162"/>
        <v>1</v>
      </c>
      <c r="BQ165" s="27">
        <f t="shared" si="162"/>
        <v>1</v>
      </c>
      <c r="BR165" s="27">
        <f t="shared" si="162"/>
        <v>1</v>
      </c>
      <c r="BS165" s="27">
        <f t="shared" si="162"/>
        <v>1</v>
      </c>
      <c r="BT165" s="166"/>
      <c r="BU165" s="166"/>
      <c r="BV165" s="166"/>
      <c r="BW165" s="166"/>
      <c r="BX165" s="166"/>
      <c r="BY165" s="166"/>
      <c r="BZ165" s="166"/>
      <c r="CA165" s="166"/>
      <c r="CB165" s="166"/>
      <c r="CC165" s="166"/>
    </row>
    <row r="166" spans="1:81" s="7" customFormat="1" x14ac:dyDescent="0.3">
      <c r="B166" s="160"/>
      <c r="C166" s="160"/>
      <c r="D166" s="160"/>
      <c r="E166" s="160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</row>
    <row r="167" spans="1:81" outlineLevel="1" x14ac:dyDescent="0.3"/>
    <row r="168" spans="1:81" ht="15.6" outlineLevel="1" x14ac:dyDescent="0.3">
      <c r="A168" s="77" t="s">
        <v>172</v>
      </c>
    </row>
    <row r="169" spans="1:81" outlineLevel="1" x14ac:dyDescent="0.3"/>
    <row r="170" spans="1:81" outlineLevel="1" x14ac:dyDescent="0.3">
      <c r="A170" s="7">
        <v>1</v>
      </c>
      <c r="B170" s="150" t="s">
        <v>115</v>
      </c>
      <c r="C170" s="150"/>
      <c r="D170" s="150"/>
      <c r="E170" s="150"/>
      <c r="F170" s="3">
        <v>1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</row>
    <row r="171" spans="1:81" outlineLevel="1" x14ac:dyDescent="0.3">
      <c r="A171" s="7">
        <v>2</v>
      </c>
      <c r="B171" s="150" t="s">
        <v>116</v>
      </c>
      <c r="C171" s="150"/>
      <c r="D171" s="150"/>
      <c r="E171" s="150"/>
      <c r="F171" s="3">
        <v>0</v>
      </c>
      <c r="G171" s="3">
        <f>IF(F170=1,1,0)</f>
        <v>1</v>
      </c>
      <c r="H171" s="3">
        <f t="shared" ref="H171:BR175" si="163">IF(G170=1,1,0)</f>
        <v>0</v>
      </c>
      <c r="I171" s="3">
        <f t="shared" si="163"/>
        <v>0</v>
      </c>
      <c r="J171" s="3">
        <f t="shared" si="163"/>
        <v>0</v>
      </c>
      <c r="K171" s="3">
        <f t="shared" si="163"/>
        <v>0</v>
      </c>
      <c r="L171" s="3">
        <f t="shared" si="163"/>
        <v>0</v>
      </c>
      <c r="M171" s="3">
        <f t="shared" si="163"/>
        <v>0</v>
      </c>
      <c r="N171" s="3">
        <f t="shared" si="163"/>
        <v>0</v>
      </c>
      <c r="O171" s="3">
        <f t="shared" si="163"/>
        <v>0</v>
      </c>
      <c r="P171" s="3">
        <f t="shared" si="163"/>
        <v>0</v>
      </c>
      <c r="Q171" s="3">
        <f t="shared" si="163"/>
        <v>0</v>
      </c>
      <c r="R171" s="3">
        <f t="shared" si="163"/>
        <v>0</v>
      </c>
      <c r="S171" s="3">
        <f t="shared" si="163"/>
        <v>0</v>
      </c>
      <c r="T171" s="3">
        <f t="shared" si="163"/>
        <v>0</v>
      </c>
      <c r="U171" s="3">
        <f t="shared" si="163"/>
        <v>0</v>
      </c>
      <c r="V171" s="3">
        <f t="shared" si="163"/>
        <v>0</v>
      </c>
      <c r="W171" s="3">
        <f t="shared" si="163"/>
        <v>0</v>
      </c>
      <c r="X171" s="3">
        <f t="shared" si="163"/>
        <v>0</v>
      </c>
      <c r="Y171" s="3">
        <f t="shared" si="163"/>
        <v>0</v>
      </c>
      <c r="Z171" s="3">
        <f t="shared" si="163"/>
        <v>0</v>
      </c>
      <c r="AA171" s="3">
        <f t="shared" si="163"/>
        <v>0</v>
      </c>
      <c r="AB171" s="3">
        <f t="shared" si="163"/>
        <v>0</v>
      </c>
      <c r="AC171" s="3">
        <f t="shared" si="163"/>
        <v>0</v>
      </c>
      <c r="AD171" s="3">
        <f t="shared" si="163"/>
        <v>0</v>
      </c>
      <c r="AE171" s="3">
        <f t="shared" si="163"/>
        <v>0</v>
      </c>
      <c r="AF171" s="3">
        <f t="shared" si="163"/>
        <v>0</v>
      </c>
      <c r="AG171" s="3">
        <f t="shared" si="163"/>
        <v>0</v>
      </c>
      <c r="AH171" s="3">
        <f t="shared" si="163"/>
        <v>0</v>
      </c>
      <c r="AI171" s="3">
        <f t="shared" si="163"/>
        <v>0</v>
      </c>
      <c r="AJ171" s="3">
        <f t="shared" si="163"/>
        <v>0</v>
      </c>
      <c r="AK171" s="3">
        <f t="shared" si="163"/>
        <v>0</v>
      </c>
      <c r="AL171" s="3">
        <f t="shared" si="163"/>
        <v>0</v>
      </c>
      <c r="AM171" s="3">
        <f t="shared" si="163"/>
        <v>0</v>
      </c>
      <c r="AN171" s="3">
        <f t="shared" si="163"/>
        <v>0</v>
      </c>
      <c r="AO171" s="3">
        <f t="shared" si="163"/>
        <v>0</v>
      </c>
      <c r="AP171" s="3">
        <f t="shared" si="163"/>
        <v>0</v>
      </c>
      <c r="AQ171" s="3">
        <f t="shared" si="163"/>
        <v>0</v>
      </c>
      <c r="AR171" s="3">
        <f t="shared" si="163"/>
        <v>0</v>
      </c>
      <c r="AS171" s="3">
        <f t="shared" si="163"/>
        <v>0</v>
      </c>
      <c r="AT171" s="3">
        <f t="shared" si="163"/>
        <v>0</v>
      </c>
      <c r="AU171" s="3">
        <f t="shared" si="163"/>
        <v>0</v>
      </c>
      <c r="AV171" s="3">
        <f t="shared" si="163"/>
        <v>0</v>
      </c>
      <c r="AW171" s="3">
        <f t="shared" si="163"/>
        <v>0</v>
      </c>
      <c r="AX171" s="3">
        <f t="shared" si="163"/>
        <v>0</v>
      </c>
      <c r="AY171" s="3">
        <f t="shared" si="163"/>
        <v>0</v>
      </c>
      <c r="AZ171" s="3">
        <f t="shared" si="163"/>
        <v>0</v>
      </c>
      <c r="BA171" s="3">
        <f t="shared" si="163"/>
        <v>0</v>
      </c>
      <c r="BB171" s="3">
        <f t="shared" si="163"/>
        <v>0</v>
      </c>
      <c r="BC171" s="3">
        <f t="shared" si="163"/>
        <v>0</v>
      </c>
      <c r="BD171" s="3">
        <f t="shared" si="163"/>
        <v>0</v>
      </c>
      <c r="BE171" s="3">
        <f t="shared" si="163"/>
        <v>0</v>
      </c>
      <c r="BF171" s="3">
        <f t="shared" si="163"/>
        <v>0</v>
      </c>
      <c r="BG171" s="3">
        <f t="shared" si="163"/>
        <v>0</v>
      </c>
      <c r="BH171" s="3">
        <f t="shared" si="163"/>
        <v>0</v>
      </c>
      <c r="BI171" s="3">
        <f t="shared" si="163"/>
        <v>0</v>
      </c>
      <c r="BJ171" s="3">
        <f t="shared" si="163"/>
        <v>0</v>
      </c>
      <c r="BK171" s="3">
        <f t="shared" si="163"/>
        <v>0</v>
      </c>
      <c r="BL171" s="3">
        <f t="shared" si="163"/>
        <v>0</v>
      </c>
      <c r="BM171" s="3">
        <f t="shared" si="163"/>
        <v>0</v>
      </c>
      <c r="BN171" s="3">
        <f t="shared" si="163"/>
        <v>0</v>
      </c>
      <c r="BO171" s="3">
        <f t="shared" si="163"/>
        <v>0</v>
      </c>
      <c r="BP171" s="3">
        <f t="shared" si="163"/>
        <v>0</v>
      </c>
      <c r="BQ171" s="3">
        <f t="shared" si="163"/>
        <v>0</v>
      </c>
      <c r="BR171" s="3">
        <f t="shared" si="163"/>
        <v>0</v>
      </c>
    </row>
    <row r="172" spans="1:81" outlineLevel="1" x14ac:dyDescent="0.3">
      <c r="A172" s="7">
        <v>3</v>
      </c>
      <c r="B172" s="150" t="s">
        <v>117</v>
      </c>
      <c r="C172" s="150"/>
      <c r="D172" s="150"/>
      <c r="E172" s="150"/>
      <c r="F172" s="3">
        <v>0</v>
      </c>
      <c r="G172" s="3">
        <f t="shared" ref="G172:G225" si="164">IF(F171=1,1,0)</f>
        <v>0</v>
      </c>
      <c r="H172" s="3">
        <f t="shared" si="163"/>
        <v>1</v>
      </c>
      <c r="I172" s="3">
        <f t="shared" si="163"/>
        <v>0</v>
      </c>
      <c r="J172" s="3">
        <f t="shared" si="163"/>
        <v>0</v>
      </c>
      <c r="K172" s="3">
        <f t="shared" si="163"/>
        <v>0</v>
      </c>
      <c r="L172" s="3">
        <f t="shared" si="163"/>
        <v>0</v>
      </c>
      <c r="M172" s="3">
        <f t="shared" si="163"/>
        <v>0</v>
      </c>
      <c r="N172" s="3">
        <f t="shared" si="163"/>
        <v>0</v>
      </c>
      <c r="O172" s="3">
        <f t="shared" si="163"/>
        <v>0</v>
      </c>
      <c r="P172" s="3">
        <f t="shared" si="163"/>
        <v>0</v>
      </c>
      <c r="Q172" s="3">
        <f t="shared" si="163"/>
        <v>0</v>
      </c>
      <c r="R172" s="3">
        <f t="shared" si="163"/>
        <v>0</v>
      </c>
      <c r="S172" s="3">
        <f t="shared" si="163"/>
        <v>0</v>
      </c>
      <c r="T172" s="3">
        <f t="shared" si="163"/>
        <v>0</v>
      </c>
      <c r="U172" s="3">
        <f t="shared" si="163"/>
        <v>0</v>
      </c>
      <c r="V172" s="3">
        <f t="shared" si="163"/>
        <v>0</v>
      </c>
      <c r="W172" s="3">
        <f t="shared" si="163"/>
        <v>0</v>
      </c>
      <c r="X172" s="3">
        <f t="shared" si="163"/>
        <v>0</v>
      </c>
      <c r="Y172" s="3">
        <f t="shared" si="163"/>
        <v>0</v>
      </c>
      <c r="Z172" s="3">
        <f t="shared" si="163"/>
        <v>0</v>
      </c>
      <c r="AA172" s="3">
        <f t="shared" si="163"/>
        <v>0</v>
      </c>
      <c r="AB172" s="3">
        <f t="shared" si="163"/>
        <v>0</v>
      </c>
      <c r="AC172" s="3">
        <f t="shared" si="163"/>
        <v>0</v>
      </c>
      <c r="AD172" s="3">
        <f t="shared" si="163"/>
        <v>0</v>
      </c>
      <c r="AE172" s="3">
        <f t="shared" si="163"/>
        <v>0</v>
      </c>
      <c r="AF172" s="3">
        <f t="shared" si="163"/>
        <v>0</v>
      </c>
      <c r="AG172" s="3">
        <f t="shared" si="163"/>
        <v>0</v>
      </c>
      <c r="AH172" s="3">
        <f t="shared" si="163"/>
        <v>0</v>
      </c>
      <c r="AI172" s="3">
        <f t="shared" si="163"/>
        <v>0</v>
      </c>
      <c r="AJ172" s="3">
        <f t="shared" si="163"/>
        <v>0</v>
      </c>
      <c r="AK172" s="3">
        <f t="shared" si="163"/>
        <v>0</v>
      </c>
      <c r="AL172" s="3">
        <f t="shared" si="163"/>
        <v>0</v>
      </c>
      <c r="AM172" s="3">
        <f t="shared" si="163"/>
        <v>0</v>
      </c>
      <c r="AN172" s="3">
        <f t="shared" si="163"/>
        <v>0</v>
      </c>
      <c r="AO172" s="3">
        <f t="shared" si="163"/>
        <v>0</v>
      </c>
      <c r="AP172" s="3">
        <f t="shared" si="163"/>
        <v>0</v>
      </c>
      <c r="AQ172" s="3">
        <f t="shared" si="163"/>
        <v>0</v>
      </c>
      <c r="AR172" s="3">
        <f t="shared" si="163"/>
        <v>0</v>
      </c>
      <c r="AS172" s="3">
        <f t="shared" si="163"/>
        <v>0</v>
      </c>
      <c r="AT172" s="3">
        <f t="shared" si="163"/>
        <v>0</v>
      </c>
      <c r="AU172" s="3">
        <f t="shared" si="163"/>
        <v>0</v>
      </c>
      <c r="AV172" s="3">
        <f t="shared" si="163"/>
        <v>0</v>
      </c>
      <c r="AW172" s="3">
        <f t="shared" si="163"/>
        <v>0</v>
      </c>
      <c r="AX172" s="3">
        <f t="shared" si="163"/>
        <v>0</v>
      </c>
      <c r="AY172" s="3">
        <f t="shared" si="163"/>
        <v>0</v>
      </c>
      <c r="AZ172" s="3">
        <f t="shared" si="163"/>
        <v>0</v>
      </c>
      <c r="BA172" s="3">
        <f t="shared" si="163"/>
        <v>0</v>
      </c>
      <c r="BB172" s="3">
        <f t="shared" si="163"/>
        <v>0</v>
      </c>
      <c r="BC172" s="3">
        <f t="shared" si="163"/>
        <v>0</v>
      </c>
      <c r="BD172" s="3">
        <f t="shared" si="163"/>
        <v>0</v>
      </c>
      <c r="BE172" s="3">
        <f t="shared" si="163"/>
        <v>0</v>
      </c>
      <c r="BF172" s="3">
        <f t="shared" si="163"/>
        <v>0</v>
      </c>
      <c r="BG172" s="3">
        <f t="shared" si="163"/>
        <v>0</v>
      </c>
      <c r="BH172" s="3">
        <f t="shared" si="163"/>
        <v>0</v>
      </c>
      <c r="BI172" s="3">
        <f t="shared" si="163"/>
        <v>0</v>
      </c>
      <c r="BJ172" s="3">
        <f t="shared" si="163"/>
        <v>0</v>
      </c>
      <c r="BK172" s="3">
        <f t="shared" si="163"/>
        <v>0</v>
      </c>
      <c r="BL172" s="3">
        <f t="shared" si="163"/>
        <v>0</v>
      </c>
      <c r="BM172" s="3">
        <f t="shared" si="163"/>
        <v>0</v>
      </c>
      <c r="BN172" s="3">
        <f t="shared" si="163"/>
        <v>0</v>
      </c>
      <c r="BO172" s="3">
        <f t="shared" si="163"/>
        <v>0</v>
      </c>
      <c r="BP172" s="3">
        <f t="shared" si="163"/>
        <v>0</v>
      </c>
      <c r="BQ172" s="3">
        <f t="shared" si="163"/>
        <v>0</v>
      </c>
      <c r="BR172" s="3">
        <f t="shared" si="163"/>
        <v>0</v>
      </c>
    </row>
    <row r="173" spans="1:81" outlineLevel="1" x14ac:dyDescent="0.3">
      <c r="A173" s="7">
        <v>4</v>
      </c>
      <c r="B173" s="150" t="s">
        <v>118</v>
      </c>
      <c r="C173" s="150"/>
      <c r="D173" s="150"/>
      <c r="E173" s="150"/>
      <c r="F173" s="3">
        <v>0</v>
      </c>
      <c r="G173" s="3">
        <f t="shared" si="164"/>
        <v>0</v>
      </c>
      <c r="H173" s="3">
        <f t="shared" si="163"/>
        <v>0</v>
      </c>
      <c r="I173" s="3">
        <f t="shared" si="163"/>
        <v>1</v>
      </c>
      <c r="J173" s="3">
        <f t="shared" si="163"/>
        <v>0</v>
      </c>
      <c r="K173" s="3">
        <f t="shared" si="163"/>
        <v>0</v>
      </c>
      <c r="L173" s="3">
        <f t="shared" si="163"/>
        <v>0</v>
      </c>
      <c r="M173" s="3">
        <f t="shared" si="163"/>
        <v>0</v>
      </c>
      <c r="N173" s="3">
        <f t="shared" si="163"/>
        <v>0</v>
      </c>
      <c r="O173" s="3">
        <f t="shared" si="163"/>
        <v>0</v>
      </c>
      <c r="P173" s="3">
        <f t="shared" si="163"/>
        <v>0</v>
      </c>
      <c r="Q173" s="3">
        <f t="shared" si="163"/>
        <v>0</v>
      </c>
      <c r="R173" s="3">
        <f t="shared" si="163"/>
        <v>0</v>
      </c>
      <c r="S173" s="3">
        <f t="shared" si="163"/>
        <v>0</v>
      </c>
      <c r="T173" s="3">
        <f t="shared" si="163"/>
        <v>0</v>
      </c>
      <c r="U173" s="3">
        <f t="shared" si="163"/>
        <v>0</v>
      </c>
      <c r="V173" s="3">
        <f t="shared" si="163"/>
        <v>0</v>
      </c>
      <c r="W173" s="3">
        <f t="shared" si="163"/>
        <v>0</v>
      </c>
      <c r="X173" s="3">
        <f t="shared" si="163"/>
        <v>0</v>
      </c>
      <c r="Y173" s="3">
        <f t="shared" si="163"/>
        <v>0</v>
      </c>
      <c r="Z173" s="3">
        <f t="shared" si="163"/>
        <v>0</v>
      </c>
      <c r="AA173" s="3">
        <f t="shared" si="163"/>
        <v>0</v>
      </c>
      <c r="AB173" s="3">
        <f t="shared" si="163"/>
        <v>0</v>
      </c>
      <c r="AC173" s="3">
        <f t="shared" si="163"/>
        <v>0</v>
      </c>
      <c r="AD173" s="3">
        <f t="shared" si="163"/>
        <v>0</v>
      </c>
      <c r="AE173" s="3">
        <f t="shared" si="163"/>
        <v>0</v>
      </c>
      <c r="AF173" s="3">
        <f t="shared" si="163"/>
        <v>0</v>
      </c>
      <c r="AG173" s="3">
        <f t="shared" si="163"/>
        <v>0</v>
      </c>
      <c r="AH173" s="3">
        <f t="shared" si="163"/>
        <v>0</v>
      </c>
      <c r="AI173" s="3">
        <f t="shared" si="163"/>
        <v>0</v>
      </c>
      <c r="AJ173" s="3">
        <f t="shared" si="163"/>
        <v>0</v>
      </c>
      <c r="AK173" s="3">
        <f t="shared" si="163"/>
        <v>0</v>
      </c>
      <c r="AL173" s="3">
        <f t="shared" si="163"/>
        <v>0</v>
      </c>
      <c r="AM173" s="3">
        <f t="shared" si="163"/>
        <v>0</v>
      </c>
      <c r="AN173" s="3">
        <f t="shared" si="163"/>
        <v>0</v>
      </c>
      <c r="AO173" s="3">
        <f t="shared" si="163"/>
        <v>0</v>
      </c>
      <c r="AP173" s="3">
        <f t="shared" si="163"/>
        <v>0</v>
      </c>
      <c r="AQ173" s="3">
        <f t="shared" si="163"/>
        <v>0</v>
      </c>
      <c r="AR173" s="3">
        <f t="shared" si="163"/>
        <v>0</v>
      </c>
      <c r="AS173" s="3">
        <f t="shared" si="163"/>
        <v>0</v>
      </c>
      <c r="AT173" s="3">
        <f t="shared" si="163"/>
        <v>0</v>
      </c>
      <c r="AU173" s="3">
        <f t="shared" si="163"/>
        <v>0</v>
      </c>
      <c r="AV173" s="3">
        <f t="shared" si="163"/>
        <v>0</v>
      </c>
      <c r="AW173" s="3">
        <f t="shared" si="163"/>
        <v>0</v>
      </c>
      <c r="AX173" s="3">
        <f t="shared" si="163"/>
        <v>0</v>
      </c>
      <c r="AY173" s="3">
        <f t="shared" si="163"/>
        <v>0</v>
      </c>
      <c r="AZ173" s="3">
        <f t="shared" si="163"/>
        <v>0</v>
      </c>
      <c r="BA173" s="3">
        <f t="shared" si="163"/>
        <v>0</v>
      </c>
      <c r="BB173" s="3">
        <f t="shared" si="163"/>
        <v>0</v>
      </c>
      <c r="BC173" s="3">
        <f t="shared" si="163"/>
        <v>0</v>
      </c>
      <c r="BD173" s="3">
        <f t="shared" si="163"/>
        <v>0</v>
      </c>
      <c r="BE173" s="3">
        <f t="shared" si="163"/>
        <v>0</v>
      </c>
      <c r="BF173" s="3">
        <f t="shared" si="163"/>
        <v>0</v>
      </c>
      <c r="BG173" s="3">
        <f t="shared" si="163"/>
        <v>0</v>
      </c>
      <c r="BH173" s="3">
        <f t="shared" si="163"/>
        <v>0</v>
      </c>
      <c r="BI173" s="3">
        <f t="shared" si="163"/>
        <v>0</v>
      </c>
      <c r="BJ173" s="3">
        <f t="shared" si="163"/>
        <v>0</v>
      </c>
      <c r="BK173" s="3">
        <f t="shared" si="163"/>
        <v>0</v>
      </c>
      <c r="BL173" s="3">
        <f t="shared" si="163"/>
        <v>0</v>
      </c>
      <c r="BM173" s="3">
        <f t="shared" si="163"/>
        <v>0</v>
      </c>
      <c r="BN173" s="3">
        <f t="shared" si="163"/>
        <v>0</v>
      </c>
      <c r="BO173" s="3">
        <f t="shared" si="163"/>
        <v>0</v>
      </c>
      <c r="BP173" s="3">
        <f t="shared" si="163"/>
        <v>0</v>
      </c>
      <c r="BQ173" s="3">
        <f t="shared" si="163"/>
        <v>0</v>
      </c>
      <c r="BR173" s="3">
        <f t="shared" si="163"/>
        <v>0</v>
      </c>
    </row>
    <row r="174" spans="1:81" outlineLevel="1" x14ac:dyDescent="0.3">
      <c r="A174" s="7">
        <v>5</v>
      </c>
      <c r="B174" s="150" t="s">
        <v>119</v>
      </c>
      <c r="C174" s="150"/>
      <c r="D174" s="150"/>
      <c r="E174" s="150"/>
      <c r="F174" s="3">
        <v>0</v>
      </c>
      <c r="G174" s="3">
        <f t="shared" si="164"/>
        <v>0</v>
      </c>
      <c r="H174" s="3">
        <f t="shared" si="163"/>
        <v>0</v>
      </c>
      <c r="I174" s="3">
        <f t="shared" si="163"/>
        <v>0</v>
      </c>
      <c r="J174" s="3">
        <f t="shared" si="163"/>
        <v>1</v>
      </c>
      <c r="K174" s="3">
        <f t="shared" si="163"/>
        <v>0</v>
      </c>
      <c r="L174" s="3">
        <f t="shared" si="163"/>
        <v>0</v>
      </c>
      <c r="M174" s="3">
        <f t="shared" si="163"/>
        <v>0</v>
      </c>
      <c r="N174" s="3">
        <f t="shared" si="163"/>
        <v>0</v>
      </c>
      <c r="O174" s="3">
        <f t="shared" si="163"/>
        <v>0</v>
      </c>
      <c r="P174" s="3">
        <f t="shared" si="163"/>
        <v>0</v>
      </c>
      <c r="Q174" s="3">
        <f t="shared" si="163"/>
        <v>0</v>
      </c>
      <c r="R174" s="3">
        <f t="shared" si="163"/>
        <v>0</v>
      </c>
      <c r="S174" s="3">
        <f t="shared" si="163"/>
        <v>0</v>
      </c>
      <c r="T174" s="3">
        <f t="shared" si="163"/>
        <v>0</v>
      </c>
      <c r="U174" s="3">
        <f t="shared" si="163"/>
        <v>0</v>
      </c>
      <c r="V174" s="3">
        <f t="shared" si="163"/>
        <v>0</v>
      </c>
      <c r="W174" s="3">
        <f t="shared" si="163"/>
        <v>0</v>
      </c>
      <c r="X174" s="3">
        <f t="shared" si="163"/>
        <v>0</v>
      </c>
      <c r="Y174" s="3">
        <f t="shared" si="163"/>
        <v>0</v>
      </c>
      <c r="Z174" s="3">
        <f t="shared" si="163"/>
        <v>0</v>
      </c>
      <c r="AA174" s="3">
        <f t="shared" si="163"/>
        <v>0</v>
      </c>
      <c r="AB174" s="3">
        <f t="shared" si="163"/>
        <v>0</v>
      </c>
      <c r="AC174" s="3">
        <f t="shared" si="163"/>
        <v>0</v>
      </c>
      <c r="AD174" s="3">
        <f t="shared" si="163"/>
        <v>0</v>
      </c>
      <c r="AE174" s="3">
        <f t="shared" si="163"/>
        <v>0</v>
      </c>
      <c r="AF174" s="3">
        <f t="shared" si="163"/>
        <v>0</v>
      </c>
      <c r="AG174" s="3">
        <f t="shared" si="163"/>
        <v>0</v>
      </c>
      <c r="AH174" s="3">
        <f t="shared" si="163"/>
        <v>0</v>
      </c>
      <c r="AI174" s="3">
        <f t="shared" si="163"/>
        <v>0</v>
      </c>
      <c r="AJ174" s="3">
        <f t="shared" si="163"/>
        <v>0</v>
      </c>
      <c r="AK174" s="3">
        <f t="shared" si="163"/>
        <v>0</v>
      </c>
      <c r="AL174" s="3">
        <f t="shared" si="163"/>
        <v>0</v>
      </c>
      <c r="AM174" s="3">
        <f t="shared" si="163"/>
        <v>0</v>
      </c>
      <c r="AN174" s="3">
        <f t="shared" si="163"/>
        <v>0</v>
      </c>
      <c r="AO174" s="3">
        <f t="shared" si="163"/>
        <v>0</v>
      </c>
      <c r="AP174" s="3">
        <f t="shared" si="163"/>
        <v>0</v>
      </c>
      <c r="AQ174" s="3">
        <f t="shared" si="163"/>
        <v>0</v>
      </c>
      <c r="AR174" s="3">
        <f t="shared" si="163"/>
        <v>0</v>
      </c>
      <c r="AS174" s="3">
        <f t="shared" si="163"/>
        <v>0</v>
      </c>
      <c r="AT174" s="3">
        <f t="shared" si="163"/>
        <v>0</v>
      </c>
      <c r="AU174" s="3">
        <f t="shared" si="163"/>
        <v>0</v>
      </c>
      <c r="AV174" s="3">
        <f t="shared" si="163"/>
        <v>0</v>
      </c>
      <c r="AW174" s="3">
        <f t="shared" si="163"/>
        <v>0</v>
      </c>
      <c r="AX174" s="3">
        <f t="shared" si="163"/>
        <v>0</v>
      </c>
      <c r="AY174" s="3">
        <f t="shared" si="163"/>
        <v>0</v>
      </c>
      <c r="AZ174" s="3">
        <f t="shared" si="163"/>
        <v>0</v>
      </c>
      <c r="BA174" s="3">
        <f t="shared" si="163"/>
        <v>0</v>
      </c>
      <c r="BB174" s="3">
        <f t="shared" si="163"/>
        <v>0</v>
      </c>
      <c r="BC174" s="3">
        <f t="shared" si="163"/>
        <v>0</v>
      </c>
      <c r="BD174" s="3">
        <f t="shared" si="163"/>
        <v>0</v>
      </c>
      <c r="BE174" s="3">
        <f t="shared" si="163"/>
        <v>0</v>
      </c>
      <c r="BF174" s="3">
        <f t="shared" si="163"/>
        <v>0</v>
      </c>
      <c r="BG174" s="3">
        <f t="shared" si="163"/>
        <v>0</v>
      </c>
      <c r="BH174" s="3">
        <f t="shared" si="163"/>
        <v>0</v>
      </c>
      <c r="BI174" s="3">
        <f t="shared" si="163"/>
        <v>0</v>
      </c>
      <c r="BJ174" s="3">
        <f t="shared" si="163"/>
        <v>0</v>
      </c>
      <c r="BK174" s="3">
        <f t="shared" si="163"/>
        <v>0</v>
      </c>
      <c r="BL174" s="3">
        <f t="shared" si="163"/>
        <v>0</v>
      </c>
      <c r="BM174" s="3">
        <f t="shared" si="163"/>
        <v>0</v>
      </c>
      <c r="BN174" s="3">
        <f t="shared" si="163"/>
        <v>0</v>
      </c>
      <c r="BO174" s="3">
        <f t="shared" si="163"/>
        <v>0</v>
      </c>
      <c r="BP174" s="3">
        <f t="shared" si="163"/>
        <v>0</v>
      </c>
      <c r="BQ174" s="3">
        <f t="shared" si="163"/>
        <v>0</v>
      </c>
      <c r="BR174" s="3">
        <f t="shared" si="163"/>
        <v>0</v>
      </c>
    </row>
    <row r="175" spans="1:81" outlineLevel="1" x14ac:dyDescent="0.3">
      <c r="A175" s="7">
        <v>6</v>
      </c>
      <c r="B175" s="150" t="s">
        <v>120</v>
      </c>
      <c r="C175" s="150"/>
      <c r="D175" s="150"/>
      <c r="E175" s="150"/>
      <c r="F175" s="3">
        <v>0</v>
      </c>
      <c r="G175" s="3">
        <f t="shared" si="164"/>
        <v>0</v>
      </c>
      <c r="H175" s="3">
        <f t="shared" si="163"/>
        <v>0</v>
      </c>
      <c r="I175" s="3">
        <f t="shared" si="163"/>
        <v>0</v>
      </c>
      <c r="J175" s="3">
        <f t="shared" si="163"/>
        <v>0</v>
      </c>
      <c r="K175" s="3">
        <f t="shared" ref="K175:Z190" si="165">IF(J174=1,1,0)</f>
        <v>1</v>
      </c>
      <c r="L175" s="3">
        <f t="shared" si="165"/>
        <v>0</v>
      </c>
      <c r="M175" s="3">
        <f t="shared" si="165"/>
        <v>0</v>
      </c>
      <c r="N175" s="3">
        <f t="shared" si="165"/>
        <v>0</v>
      </c>
      <c r="O175" s="3">
        <f t="shared" si="165"/>
        <v>0</v>
      </c>
      <c r="P175" s="3">
        <f t="shared" si="165"/>
        <v>0</v>
      </c>
      <c r="Q175" s="3">
        <f t="shared" si="165"/>
        <v>0</v>
      </c>
      <c r="R175" s="3">
        <f t="shared" si="165"/>
        <v>0</v>
      </c>
      <c r="S175" s="3">
        <f t="shared" si="165"/>
        <v>0</v>
      </c>
      <c r="T175" s="3">
        <f t="shared" si="165"/>
        <v>0</v>
      </c>
      <c r="U175" s="3">
        <f t="shared" si="165"/>
        <v>0</v>
      </c>
      <c r="V175" s="3">
        <f t="shared" si="165"/>
        <v>0</v>
      </c>
      <c r="W175" s="3">
        <f t="shared" si="165"/>
        <v>0</v>
      </c>
      <c r="X175" s="3">
        <f t="shared" si="165"/>
        <v>0</v>
      </c>
      <c r="Y175" s="3">
        <f t="shared" si="165"/>
        <v>0</v>
      </c>
      <c r="Z175" s="3">
        <f t="shared" si="165"/>
        <v>0</v>
      </c>
      <c r="AA175" s="3">
        <f t="shared" ref="AA175:AP190" si="166">IF(Z174=1,1,0)</f>
        <v>0</v>
      </c>
      <c r="AB175" s="3">
        <f t="shared" si="166"/>
        <v>0</v>
      </c>
      <c r="AC175" s="3">
        <f t="shared" si="166"/>
        <v>0</v>
      </c>
      <c r="AD175" s="3">
        <f t="shared" si="166"/>
        <v>0</v>
      </c>
      <c r="AE175" s="3">
        <f t="shared" si="166"/>
        <v>0</v>
      </c>
      <c r="AF175" s="3">
        <f t="shared" si="166"/>
        <v>0</v>
      </c>
      <c r="AG175" s="3">
        <f t="shared" si="166"/>
        <v>0</v>
      </c>
      <c r="AH175" s="3">
        <f t="shared" si="166"/>
        <v>0</v>
      </c>
      <c r="AI175" s="3">
        <f t="shared" si="166"/>
        <v>0</v>
      </c>
      <c r="AJ175" s="3">
        <f t="shared" si="166"/>
        <v>0</v>
      </c>
      <c r="AK175" s="3">
        <f t="shared" si="166"/>
        <v>0</v>
      </c>
      <c r="AL175" s="3">
        <f t="shared" si="166"/>
        <v>0</v>
      </c>
      <c r="AM175" s="3">
        <f t="shared" si="166"/>
        <v>0</v>
      </c>
      <c r="AN175" s="3">
        <f t="shared" si="166"/>
        <v>0</v>
      </c>
      <c r="AO175" s="3">
        <f t="shared" si="166"/>
        <v>0</v>
      </c>
      <c r="AP175" s="3">
        <f t="shared" si="166"/>
        <v>0</v>
      </c>
      <c r="AQ175" s="3">
        <f t="shared" ref="AQ175:BF204" si="167">IF(AP174=1,1,0)</f>
        <v>0</v>
      </c>
      <c r="AR175" s="3">
        <f t="shared" si="167"/>
        <v>0</v>
      </c>
      <c r="AS175" s="3">
        <f t="shared" si="167"/>
        <v>0</v>
      </c>
      <c r="AT175" s="3">
        <f t="shared" si="167"/>
        <v>0</v>
      </c>
      <c r="AU175" s="3">
        <f t="shared" si="167"/>
        <v>0</v>
      </c>
      <c r="AV175" s="3">
        <f t="shared" si="167"/>
        <v>0</v>
      </c>
      <c r="AW175" s="3">
        <f t="shared" si="167"/>
        <v>0</v>
      </c>
      <c r="AX175" s="3">
        <f t="shared" si="167"/>
        <v>0</v>
      </c>
      <c r="AY175" s="3">
        <f t="shared" si="167"/>
        <v>0</v>
      </c>
      <c r="AZ175" s="3">
        <f t="shared" si="167"/>
        <v>0</v>
      </c>
      <c r="BA175" s="3">
        <f t="shared" si="167"/>
        <v>0</v>
      </c>
      <c r="BB175" s="3">
        <f t="shared" si="167"/>
        <v>0</v>
      </c>
      <c r="BC175" s="3">
        <f t="shared" si="167"/>
        <v>0</v>
      </c>
      <c r="BD175" s="3">
        <f t="shared" si="167"/>
        <v>0</v>
      </c>
      <c r="BE175" s="3">
        <f t="shared" si="167"/>
        <v>0</v>
      </c>
      <c r="BF175" s="3">
        <f t="shared" si="167"/>
        <v>0</v>
      </c>
      <c r="BG175" s="3">
        <f t="shared" ref="BG175:BR196" si="168">IF(BF174=1,1,0)</f>
        <v>0</v>
      </c>
      <c r="BH175" s="3">
        <f t="shared" si="168"/>
        <v>0</v>
      </c>
      <c r="BI175" s="3">
        <f t="shared" si="168"/>
        <v>0</v>
      </c>
      <c r="BJ175" s="3">
        <f t="shared" si="168"/>
        <v>0</v>
      </c>
      <c r="BK175" s="3">
        <f t="shared" si="168"/>
        <v>0</v>
      </c>
      <c r="BL175" s="3">
        <f t="shared" si="168"/>
        <v>0</v>
      </c>
      <c r="BM175" s="3">
        <f t="shared" si="168"/>
        <v>0</v>
      </c>
      <c r="BN175" s="3">
        <f t="shared" si="168"/>
        <v>0</v>
      </c>
      <c r="BO175" s="3">
        <f t="shared" si="168"/>
        <v>0</v>
      </c>
      <c r="BP175" s="3">
        <f t="shared" si="168"/>
        <v>0</v>
      </c>
      <c r="BQ175" s="3">
        <f t="shared" si="168"/>
        <v>0</v>
      </c>
      <c r="BR175" s="3">
        <f t="shared" si="168"/>
        <v>0</v>
      </c>
    </row>
    <row r="176" spans="1:81" outlineLevel="1" x14ac:dyDescent="0.3">
      <c r="A176" s="7">
        <v>7</v>
      </c>
      <c r="B176" s="150" t="s">
        <v>121</v>
      </c>
      <c r="C176" s="150"/>
      <c r="D176" s="150"/>
      <c r="E176" s="150"/>
      <c r="F176" s="3">
        <v>0</v>
      </c>
      <c r="G176" s="3">
        <f t="shared" si="164"/>
        <v>0</v>
      </c>
      <c r="H176" s="3">
        <f t="shared" ref="H176:W191" si="169">IF(G175=1,1,0)</f>
        <v>0</v>
      </c>
      <c r="I176" s="3">
        <f t="shared" si="169"/>
        <v>0</v>
      </c>
      <c r="J176" s="3">
        <f t="shared" si="169"/>
        <v>0</v>
      </c>
      <c r="K176" s="3">
        <f t="shared" si="169"/>
        <v>0</v>
      </c>
      <c r="L176" s="3">
        <f t="shared" si="169"/>
        <v>1</v>
      </c>
      <c r="M176" s="3">
        <f t="shared" si="169"/>
        <v>0</v>
      </c>
      <c r="N176" s="3">
        <f t="shared" si="169"/>
        <v>0</v>
      </c>
      <c r="O176" s="3">
        <f t="shared" si="169"/>
        <v>0</v>
      </c>
      <c r="P176" s="3">
        <f t="shared" si="169"/>
        <v>0</v>
      </c>
      <c r="Q176" s="3">
        <f t="shared" si="169"/>
        <v>0</v>
      </c>
      <c r="R176" s="3">
        <f t="shared" si="169"/>
        <v>0</v>
      </c>
      <c r="S176" s="3">
        <f t="shared" si="169"/>
        <v>0</v>
      </c>
      <c r="T176" s="3">
        <f t="shared" si="169"/>
        <v>0</v>
      </c>
      <c r="U176" s="3">
        <f t="shared" si="169"/>
        <v>0</v>
      </c>
      <c r="V176" s="3">
        <f t="shared" si="169"/>
        <v>0</v>
      </c>
      <c r="W176" s="3">
        <f t="shared" si="169"/>
        <v>0</v>
      </c>
      <c r="X176" s="3">
        <f t="shared" si="165"/>
        <v>0</v>
      </c>
      <c r="Y176" s="3">
        <f t="shared" si="165"/>
        <v>0</v>
      </c>
      <c r="Z176" s="3">
        <f t="shared" si="165"/>
        <v>0</v>
      </c>
      <c r="AA176" s="3">
        <f t="shared" si="166"/>
        <v>0</v>
      </c>
      <c r="AB176" s="3">
        <f t="shared" si="166"/>
        <v>0</v>
      </c>
      <c r="AC176" s="3">
        <f t="shared" si="166"/>
        <v>0</v>
      </c>
      <c r="AD176" s="3">
        <f t="shared" si="166"/>
        <v>0</v>
      </c>
      <c r="AE176" s="3">
        <f t="shared" si="166"/>
        <v>0</v>
      </c>
      <c r="AF176" s="3">
        <f t="shared" si="166"/>
        <v>0</v>
      </c>
      <c r="AG176" s="3">
        <f t="shared" si="166"/>
        <v>0</v>
      </c>
      <c r="AH176" s="3">
        <f t="shared" si="166"/>
        <v>0</v>
      </c>
      <c r="AI176" s="3">
        <f t="shared" si="166"/>
        <v>0</v>
      </c>
      <c r="AJ176" s="3">
        <f t="shared" si="166"/>
        <v>0</v>
      </c>
      <c r="AK176" s="3">
        <f t="shared" si="166"/>
        <v>0</v>
      </c>
      <c r="AL176" s="3">
        <f t="shared" si="166"/>
        <v>0</v>
      </c>
      <c r="AM176" s="3">
        <f t="shared" si="166"/>
        <v>0</v>
      </c>
      <c r="AN176" s="3">
        <f t="shared" si="166"/>
        <v>0</v>
      </c>
      <c r="AO176" s="3">
        <f t="shared" si="166"/>
        <v>0</v>
      </c>
      <c r="AP176" s="3">
        <f t="shared" si="166"/>
        <v>0</v>
      </c>
      <c r="AQ176" s="3">
        <f t="shared" si="167"/>
        <v>0</v>
      </c>
      <c r="AR176" s="3">
        <f t="shared" si="167"/>
        <v>0</v>
      </c>
      <c r="AS176" s="3">
        <f t="shared" si="167"/>
        <v>0</v>
      </c>
      <c r="AT176" s="3">
        <f t="shared" si="167"/>
        <v>0</v>
      </c>
      <c r="AU176" s="3">
        <f t="shared" si="167"/>
        <v>0</v>
      </c>
      <c r="AV176" s="3">
        <f t="shared" si="167"/>
        <v>0</v>
      </c>
      <c r="AW176" s="3">
        <f t="shared" si="167"/>
        <v>0</v>
      </c>
      <c r="AX176" s="3">
        <f t="shared" si="167"/>
        <v>0</v>
      </c>
      <c r="AY176" s="3">
        <f t="shared" si="167"/>
        <v>0</v>
      </c>
      <c r="AZ176" s="3">
        <f t="shared" si="167"/>
        <v>0</v>
      </c>
      <c r="BA176" s="3">
        <f t="shared" si="167"/>
        <v>0</v>
      </c>
      <c r="BB176" s="3">
        <f t="shared" si="167"/>
        <v>0</v>
      </c>
      <c r="BC176" s="3">
        <f t="shared" si="167"/>
        <v>0</v>
      </c>
      <c r="BD176" s="3">
        <f t="shared" si="167"/>
        <v>0</v>
      </c>
      <c r="BE176" s="3">
        <f t="shared" si="167"/>
        <v>0</v>
      </c>
      <c r="BF176" s="3">
        <f t="shared" si="167"/>
        <v>0</v>
      </c>
      <c r="BG176" s="3">
        <f t="shared" si="168"/>
        <v>0</v>
      </c>
      <c r="BH176" s="3">
        <f t="shared" si="168"/>
        <v>0</v>
      </c>
      <c r="BI176" s="3">
        <f t="shared" si="168"/>
        <v>0</v>
      </c>
      <c r="BJ176" s="3">
        <f t="shared" si="168"/>
        <v>0</v>
      </c>
      <c r="BK176" s="3">
        <f t="shared" si="168"/>
        <v>0</v>
      </c>
      <c r="BL176" s="3">
        <f t="shared" si="168"/>
        <v>0</v>
      </c>
      <c r="BM176" s="3">
        <f t="shared" si="168"/>
        <v>0</v>
      </c>
      <c r="BN176" s="3">
        <f t="shared" si="168"/>
        <v>0</v>
      </c>
      <c r="BO176" s="3">
        <f t="shared" si="168"/>
        <v>0</v>
      </c>
      <c r="BP176" s="3">
        <f t="shared" si="168"/>
        <v>0</v>
      </c>
      <c r="BQ176" s="3">
        <f t="shared" si="168"/>
        <v>0</v>
      </c>
      <c r="BR176" s="3">
        <f t="shared" si="168"/>
        <v>0</v>
      </c>
    </row>
    <row r="177" spans="1:70" outlineLevel="1" x14ac:dyDescent="0.3">
      <c r="A177" s="7">
        <v>8</v>
      </c>
      <c r="B177" s="150" t="s">
        <v>122</v>
      </c>
      <c r="C177" s="150"/>
      <c r="D177" s="150"/>
      <c r="E177" s="150"/>
      <c r="F177" s="3">
        <v>0</v>
      </c>
      <c r="G177" s="3">
        <f t="shared" si="164"/>
        <v>0</v>
      </c>
      <c r="H177" s="3">
        <f t="shared" si="169"/>
        <v>0</v>
      </c>
      <c r="I177" s="3">
        <f t="shared" si="169"/>
        <v>0</v>
      </c>
      <c r="J177" s="3">
        <f t="shared" si="169"/>
        <v>0</v>
      </c>
      <c r="K177" s="3">
        <f t="shared" si="169"/>
        <v>0</v>
      </c>
      <c r="L177" s="3">
        <f t="shared" si="169"/>
        <v>0</v>
      </c>
      <c r="M177" s="3">
        <f t="shared" si="169"/>
        <v>1</v>
      </c>
      <c r="N177" s="3">
        <f t="shared" si="169"/>
        <v>0</v>
      </c>
      <c r="O177" s="3">
        <f t="shared" si="169"/>
        <v>0</v>
      </c>
      <c r="P177" s="3">
        <f t="shared" si="169"/>
        <v>0</v>
      </c>
      <c r="Q177" s="3">
        <f t="shared" si="169"/>
        <v>0</v>
      </c>
      <c r="R177" s="3">
        <f t="shared" si="169"/>
        <v>0</v>
      </c>
      <c r="S177" s="3">
        <f t="shared" si="169"/>
        <v>0</v>
      </c>
      <c r="T177" s="3">
        <f t="shared" si="169"/>
        <v>0</v>
      </c>
      <c r="U177" s="3">
        <f t="shared" si="169"/>
        <v>0</v>
      </c>
      <c r="V177" s="3">
        <f t="shared" si="169"/>
        <v>0</v>
      </c>
      <c r="W177" s="3">
        <f t="shared" si="169"/>
        <v>0</v>
      </c>
      <c r="X177" s="3">
        <f t="shared" si="165"/>
        <v>0</v>
      </c>
      <c r="Y177" s="3">
        <f t="shared" si="165"/>
        <v>0</v>
      </c>
      <c r="Z177" s="3">
        <f t="shared" si="165"/>
        <v>0</v>
      </c>
      <c r="AA177" s="3">
        <f t="shared" si="166"/>
        <v>0</v>
      </c>
      <c r="AB177" s="3">
        <f t="shared" si="166"/>
        <v>0</v>
      </c>
      <c r="AC177" s="3">
        <f t="shared" si="166"/>
        <v>0</v>
      </c>
      <c r="AD177" s="3">
        <f t="shared" si="166"/>
        <v>0</v>
      </c>
      <c r="AE177" s="3">
        <f t="shared" si="166"/>
        <v>0</v>
      </c>
      <c r="AF177" s="3">
        <f t="shared" si="166"/>
        <v>0</v>
      </c>
      <c r="AG177" s="3">
        <f t="shared" si="166"/>
        <v>0</v>
      </c>
      <c r="AH177" s="3">
        <f t="shared" si="166"/>
        <v>0</v>
      </c>
      <c r="AI177" s="3">
        <f t="shared" si="166"/>
        <v>0</v>
      </c>
      <c r="AJ177" s="3">
        <f t="shared" si="166"/>
        <v>0</v>
      </c>
      <c r="AK177" s="3">
        <f t="shared" si="166"/>
        <v>0</v>
      </c>
      <c r="AL177" s="3">
        <f t="shared" si="166"/>
        <v>0</v>
      </c>
      <c r="AM177" s="3">
        <f t="shared" si="166"/>
        <v>0</v>
      </c>
      <c r="AN177" s="3">
        <f t="shared" si="166"/>
        <v>0</v>
      </c>
      <c r="AO177" s="3">
        <f t="shared" si="166"/>
        <v>0</v>
      </c>
      <c r="AP177" s="3">
        <f t="shared" si="166"/>
        <v>0</v>
      </c>
      <c r="AQ177" s="3">
        <f t="shared" si="167"/>
        <v>0</v>
      </c>
      <c r="AR177" s="3">
        <f t="shared" si="167"/>
        <v>0</v>
      </c>
      <c r="AS177" s="3">
        <f t="shared" si="167"/>
        <v>0</v>
      </c>
      <c r="AT177" s="3">
        <f t="shared" si="167"/>
        <v>0</v>
      </c>
      <c r="AU177" s="3">
        <f t="shared" si="167"/>
        <v>0</v>
      </c>
      <c r="AV177" s="3">
        <f t="shared" si="167"/>
        <v>0</v>
      </c>
      <c r="AW177" s="3">
        <f t="shared" si="167"/>
        <v>0</v>
      </c>
      <c r="AX177" s="3">
        <f t="shared" si="167"/>
        <v>0</v>
      </c>
      <c r="AY177" s="3">
        <f t="shared" si="167"/>
        <v>0</v>
      </c>
      <c r="AZ177" s="3">
        <f t="shared" si="167"/>
        <v>0</v>
      </c>
      <c r="BA177" s="3">
        <f t="shared" si="167"/>
        <v>0</v>
      </c>
      <c r="BB177" s="3">
        <f t="shared" si="167"/>
        <v>0</v>
      </c>
      <c r="BC177" s="3">
        <f t="shared" si="167"/>
        <v>0</v>
      </c>
      <c r="BD177" s="3">
        <f t="shared" si="167"/>
        <v>0</v>
      </c>
      <c r="BE177" s="3">
        <f t="shared" si="167"/>
        <v>0</v>
      </c>
      <c r="BF177" s="3">
        <f t="shared" si="167"/>
        <v>0</v>
      </c>
      <c r="BG177" s="3">
        <f t="shared" si="168"/>
        <v>0</v>
      </c>
      <c r="BH177" s="3">
        <f t="shared" si="168"/>
        <v>0</v>
      </c>
      <c r="BI177" s="3">
        <f t="shared" si="168"/>
        <v>0</v>
      </c>
      <c r="BJ177" s="3">
        <f t="shared" si="168"/>
        <v>0</v>
      </c>
      <c r="BK177" s="3">
        <f t="shared" si="168"/>
        <v>0</v>
      </c>
      <c r="BL177" s="3">
        <f t="shared" si="168"/>
        <v>0</v>
      </c>
      <c r="BM177" s="3">
        <f t="shared" si="168"/>
        <v>0</v>
      </c>
      <c r="BN177" s="3">
        <f t="shared" si="168"/>
        <v>0</v>
      </c>
      <c r="BO177" s="3">
        <f t="shared" si="168"/>
        <v>0</v>
      </c>
      <c r="BP177" s="3">
        <f t="shared" si="168"/>
        <v>0</v>
      </c>
      <c r="BQ177" s="3">
        <f t="shared" si="168"/>
        <v>0</v>
      </c>
      <c r="BR177" s="3">
        <f t="shared" si="168"/>
        <v>0</v>
      </c>
    </row>
    <row r="178" spans="1:70" outlineLevel="1" x14ac:dyDescent="0.3">
      <c r="A178" s="7">
        <v>9</v>
      </c>
      <c r="B178" s="150" t="s">
        <v>123</v>
      </c>
      <c r="C178" s="150"/>
      <c r="D178" s="150"/>
      <c r="E178" s="150"/>
      <c r="F178" s="3">
        <v>0</v>
      </c>
      <c r="G178" s="3">
        <f t="shared" si="164"/>
        <v>0</v>
      </c>
      <c r="H178" s="3">
        <f t="shared" si="169"/>
        <v>0</v>
      </c>
      <c r="I178" s="3">
        <f t="shared" si="169"/>
        <v>0</v>
      </c>
      <c r="J178" s="3">
        <f t="shared" si="169"/>
        <v>0</v>
      </c>
      <c r="K178" s="3">
        <f t="shared" si="169"/>
        <v>0</v>
      </c>
      <c r="L178" s="3">
        <f t="shared" si="169"/>
        <v>0</v>
      </c>
      <c r="M178" s="3">
        <f t="shared" si="169"/>
        <v>0</v>
      </c>
      <c r="N178" s="3">
        <f t="shared" si="169"/>
        <v>1</v>
      </c>
      <c r="O178" s="3">
        <f t="shared" si="169"/>
        <v>0</v>
      </c>
      <c r="P178" s="3">
        <f t="shared" si="169"/>
        <v>0</v>
      </c>
      <c r="Q178" s="3">
        <f t="shared" si="169"/>
        <v>0</v>
      </c>
      <c r="R178" s="3">
        <f t="shared" si="169"/>
        <v>0</v>
      </c>
      <c r="S178" s="3">
        <f t="shared" si="169"/>
        <v>0</v>
      </c>
      <c r="T178" s="3">
        <f t="shared" si="169"/>
        <v>0</v>
      </c>
      <c r="U178" s="3">
        <f t="shared" si="169"/>
        <v>0</v>
      </c>
      <c r="V178" s="3">
        <f t="shared" si="169"/>
        <v>0</v>
      </c>
      <c r="W178" s="3">
        <f t="shared" si="169"/>
        <v>0</v>
      </c>
      <c r="X178" s="3">
        <f t="shared" si="165"/>
        <v>0</v>
      </c>
      <c r="Y178" s="3">
        <f t="shared" si="165"/>
        <v>0</v>
      </c>
      <c r="Z178" s="3">
        <f t="shared" si="165"/>
        <v>0</v>
      </c>
      <c r="AA178" s="3">
        <f t="shared" si="166"/>
        <v>0</v>
      </c>
      <c r="AB178" s="3">
        <f t="shared" si="166"/>
        <v>0</v>
      </c>
      <c r="AC178" s="3">
        <f t="shared" si="166"/>
        <v>0</v>
      </c>
      <c r="AD178" s="3">
        <f t="shared" si="166"/>
        <v>0</v>
      </c>
      <c r="AE178" s="3">
        <f t="shared" si="166"/>
        <v>0</v>
      </c>
      <c r="AF178" s="3">
        <f t="shared" si="166"/>
        <v>0</v>
      </c>
      <c r="AG178" s="3">
        <f t="shared" si="166"/>
        <v>0</v>
      </c>
      <c r="AH178" s="3">
        <f t="shared" si="166"/>
        <v>0</v>
      </c>
      <c r="AI178" s="3">
        <f t="shared" si="166"/>
        <v>0</v>
      </c>
      <c r="AJ178" s="3">
        <f t="shared" si="166"/>
        <v>0</v>
      </c>
      <c r="AK178" s="3">
        <f t="shared" si="166"/>
        <v>0</v>
      </c>
      <c r="AL178" s="3">
        <f t="shared" si="166"/>
        <v>0</v>
      </c>
      <c r="AM178" s="3">
        <f t="shared" si="166"/>
        <v>0</v>
      </c>
      <c r="AN178" s="3">
        <f t="shared" si="166"/>
        <v>0</v>
      </c>
      <c r="AO178" s="3">
        <f t="shared" si="166"/>
        <v>0</v>
      </c>
      <c r="AP178" s="3">
        <f t="shared" si="166"/>
        <v>0</v>
      </c>
      <c r="AQ178" s="3">
        <f t="shared" si="167"/>
        <v>0</v>
      </c>
      <c r="AR178" s="3">
        <f t="shared" si="167"/>
        <v>0</v>
      </c>
      <c r="AS178" s="3">
        <f t="shared" si="167"/>
        <v>0</v>
      </c>
      <c r="AT178" s="3">
        <f t="shared" si="167"/>
        <v>0</v>
      </c>
      <c r="AU178" s="3">
        <f t="shared" si="167"/>
        <v>0</v>
      </c>
      <c r="AV178" s="3">
        <f t="shared" si="167"/>
        <v>0</v>
      </c>
      <c r="AW178" s="3">
        <f t="shared" si="167"/>
        <v>0</v>
      </c>
      <c r="AX178" s="3">
        <f t="shared" si="167"/>
        <v>0</v>
      </c>
      <c r="AY178" s="3">
        <f t="shared" si="167"/>
        <v>0</v>
      </c>
      <c r="AZ178" s="3">
        <f t="shared" si="167"/>
        <v>0</v>
      </c>
      <c r="BA178" s="3">
        <f t="shared" si="167"/>
        <v>0</v>
      </c>
      <c r="BB178" s="3">
        <f t="shared" si="167"/>
        <v>0</v>
      </c>
      <c r="BC178" s="3">
        <f t="shared" si="167"/>
        <v>0</v>
      </c>
      <c r="BD178" s="3">
        <f t="shared" si="167"/>
        <v>0</v>
      </c>
      <c r="BE178" s="3">
        <f t="shared" si="167"/>
        <v>0</v>
      </c>
      <c r="BF178" s="3">
        <f t="shared" si="167"/>
        <v>0</v>
      </c>
      <c r="BG178" s="3">
        <f t="shared" si="168"/>
        <v>0</v>
      </c>
      <c r="BH178" s="3">
        <f t="shared" si="168"/>
        <v>0</v>
      </c>
      <c r="BI178" s="3">
        <f t="shared" si="168"/>
        <v>0</v>
      </c>
      <c r="BJ178" s="3">
        <f t="shared" si="168"/>
        <v>0</v>
      </c>
      <c r="BK178" s="3">
        <f t="shared" si="168"/>
        <v>0</v>
      </c>
      <c r="BL178" s="3">
        <f t="shared" si="168"/>
        <v>0</v>
      </c>
      <c r="BM178" s="3">
        <f t="shared" si="168"/>
        <v>0</v>
      </c>
      <c r="BN178" s="3">
        <f t="shared" si="168"/>
        <v>0</v>
      </c>
      <c r="BO178" s="3">
        <f t="shared" si="168"/>
        <v>0</v>
      </c>
      <c r="BP178" s="3">
        <f t="shared" si="168"/>
        <v>0</v>
      </c>
      <c r="BQ178" s="3">
        <f t="shared" si="168"/>
        <v>0</v>
      </c>
      <c r="BR178" s="3">
        <f t="shared" si="168"/>
        <v>0</v>
      </c>
    </row>
    <row r="179" spans="1:70" outlineLevel="1" x14ac:dyDescent="0.3">
      <c r="A179" s="7">
        <v>10</v>
      </c>
      <c r="B179" s="150" t="s">
        <v>124</v>
      </c>
      <c r="C179" s="150"/>
      <c r="D179" s="150"/>
      <c r="E179" s="150"/>
      <c r="F179" s="3">
        <v>0</v>
      </c>
      <c r="G179" s="3">
        <f t="shared" si="164"/>
        <v>0</v>
      </c>
      <c r="H179" s="3">
        <f t="shared" si="169"/>
        <v>0</v>
      </c>
      <c r="I179" s="3">
        <f t="shared" si="169"/>
        <v>0</v>
      </c>
      <c r="J179" s="3">
        <f t="shared" si="169"/>
        <v>0</v>
      </c>
      <c r="K179" s="3">
        <f t="shared" si="169"/>
        <v>0</v>
      </c>
      <c r="L179" s="3">
        <f t="shared" si="169"/>
        <v>0</v>
      </c>
      <c r="M179" s="3">
        <f t="shared" si="169"/>
        <v>0</v>
      </c>
      <c r="N179" s="3">
        <f t="shared" si="169"/>
        <v>0</v>
      </c>
      <c r="O179" s="3">
        <f t="shared" si="169"/>
        <v>1</v>
      </c>
      <c r="P179" s="3">
        <f t="shared" si="169"/>
        <v>0</v>
      </c>
      <c r="Q179" s="3">
        <f t="shared" si="169"/>
        <v>0</v>
      </c>
      <c r="R179" s="3">
        <f t="shared" si="169"/>
        <v>0</v>
      </c>
      <c r="S179" s="3">
        <f t="shared" si="169"/>
        <v>0</v>
      </c>
      <c r="T179" s="3">
        <f t="shared" si="169"/>
        <v>0</v>
      </c>
      <c r="U179" s="3">
        <f t="shared" si="169"/>
        <v>0</v>
      </c>
      <c r="V179" s="3">
        <f t="shared" si="169"/>
        <v>0</v>
      </c>
      <c r="W179" s="3">
        <f t="shared" si="169"/>
        <v>0</v>
      </c>
      <c r="X179" s="3">
        <f t="shared" si="165"/>
        <v>0</v>
      </c>
      <c r="Y179" s="3">
        <f t="shared" si="165"/>
        <v>0</v>
      </c>
      <c r="Z179" s="3">
        <f t="shared" si="165"/>
        <v>0</v>
      </c>
      <c r="AA179" s="3">
        <f t="shared" si="166"/>
        <v>0</v>
      </c>
      <c r="AB179" s="3">
        <f t="shared" si="166"/>
        <v>0</v>
      </c>
      <c r="AC179" s="3">
        <f t="shared" si="166"/>
        <v>0</v>
      </c>
      <c r="AD179" s="3">
        <f t="shared" si="166"/>
        <v>0</v>
      </c>
      <c r="AE179" s="3">
        <f t="shared" si="166"/>
        <v>0</v>
      </c>
      <c r="AF179" s="3">
        <f t="shared" si="166"/>
        <v>0</v>
      </c>
      <c r="AG179" s="3">
        <f t="shared" si="166"/>
        <v>0</v>
      </c>
      <c r="AH179" s="3">
        <f t="shared" si="166"/>
        <v>0</v>
      </c>
      <c r="AI179" s="3">
        <f t="shared" si="166"/>
        <v>0</v>
      </c>
      <c r="AJ179" s="3">
        <f t="shared" si="166"/>
        <v>0</v>
      </c>
      <c r="AK179" s="3">
        <f t="shared" si="166"/>
        <v>0</v>
      </c>
      <c r="AL179" s="3">
        <f t="shared" si="166"/>
        <v>0</v>
      </c>
      <c r="AM179" s="3">
        <f t="shared" si="166"/>
        <v>0</v>
      </c>
      <c r="AN179" s="3">
        <f t="shared" si="166"/>
        <v>0</v>
      </c>
      <c r="AO179" s="3">
        <f t="shared" si="166"/>
        <v>0</v>
      </c>
      <c r="AP179" s="3">
        <f t="shared" si="166"/>
        <v>0</v>
      </c>
      <c r="AQ179" s="3">
        <f t="shared" si="167"/>
        <v>0</v>
      </c>
      <c r="AR179" s="3">
        <f t="shared" si="167"/>
        <v>0</v>
      </c>
      <c r="AS179" s="3">
        <f t="shared" si="167"/>
        <v>0</v>
      </c>
      <c r="AT179" s="3">
        <f t="shared" si="167"/>
        <v>0</v>
      </c>
      <c r="AU179" s="3">
        <f t="shared" si="167"/>
        <v>0</v>
      </c>
      <c r="AV179" s="3">
        <f t="shared" si="167"/>
        <v>0</v>
      </c>
      <c r="AW179" s="3">
        <f t="shared" si="167"/>
        <v>0</v>
      </c>
      <c r="AX179" s="3">
        <f t="shared" si="167"/>
        <v>0</v>
      </c>
      <c r="AY179" s="3">
        <f t="shared" si="167"/>
        <v>0</v>
      </c>
      <c r="AZ179" s="3">
        <f t="shared" si="167"/>
        <v>0</v>
      </c>
      <c r="BA179" s="3">
        <f t="shared" si="167"/>
        <v>0</v>
      </c>
      <c r="BB179" s="3">
        <f t="shared" si="167"/>
        <v>0</v>
      </c>
      <c r="BC179" s="3">
        <f t="shared" si="167"/>
        <v>0</v>
      </c>
      <c r="BD179" s="3">
        <f t="shared" si="167"/>
        <v>0</v>
      </c>
      <c r="BE179" s="3">
        <f t="shared" si="167"/>
        <v>0</v>
      </c>
      <c r="BF179" s="3">
        <f t="shared" si="167"/>
        <v>0</v>
      </c>
      <c r="BG179" s="3">
        <f t="shared" si="168"/>
        <v>0</v>
      </c>
      <c r="BH179" s="3">
        <f t="shared" si="168"/>
        <v>0</v>
      </c>
      <c r="BI179" s="3">
        <f t="shared" si="168"/>
        <v>0</v>
      </c>
      <c r="BJ179" s="3">
        <f t="shared" si="168"/>
        <v>0</v>
      </c>
      <c r="BK179" s="3">
        <f t="shared" si="168"/>
        <v>0</v>
      </c>
      <c r="BL179" s="3">
        <f t="shared" si="168"/>
        <v>0</v>
      </c>
      <c r="BM179" s="3">
        <f t="shared" si="168"/>
        <v>0</v>
      </c>
      <c r="BN179" s="3">
        <f t="shared" si="168"/>
        <v>0</v>
      </c>
      <c r="BO179" s="3">
        <f t="shared" si="168"/>
        <v>0</v>
      </c>
      <c r="BP179" s="3">
        <f t="shared" si="168"/>
        <v>0</v>
      </c>
      <c r="BQ179" s="3">
        <f t="shared" si="168"/>
        <v>0</v>
      </c>
      <c r="BR179" s="3">
        <f t="shared" si="168"/>
        <v>0</v>
      </c>
    </row>
    <row r="180" spans="1:70" outlineLevel="1" x14ac:dyDescent="0.3">
      <c r="A180" s="7">
        <v>11</v>
      </c>
      <c r="B180" s="150" t="s">
        <v>125</v>
      </c>
      <c r="C180" s="150"/>
      <c r="D180" s="150"/>
      <c r="E180" s="150"/>
      <c r="F180" s="3">
        <v>0</v>
      </c>
      <c r="G180" s="3">
        <f t="shared" si="164"/>
        <v>0</v>
      </c>
      <c r="H180" s="3">
        <f t="shared" si="169"/>
        <v>0</v>
      </c>
      <c r="I180" s="3">
        <f t="shared" si="169"/>
        <v>0</v>
      </c>
      <c r="J180" s="3">
        <f t="shared" si="169"/>
        <v>0</v>
      </c>
      <c r="K180" s="3">
        <f t="shared" si="169"/>
        <v>0</v>
      </c>
      <c r="L180" s="3">
        <f t="shared" si="169"/>
        <v>0</v>
      </c>
      <c r="M180" s="3">
        <f t="shared" si="169"/>
        <v>0</v>
      </c>
      <c r="N180" s="3">
        <f t="shared" si="169"/>
        <v>0</v>
      </c>
      <c r="O180" s="3">
        <f t="shared" si="169"/>
        <v>0</v>
      </c>
      <c r="P180" s="3">
        <f t="shared" si="169"/>
        <v>1</v>
      </c>
      <c r="Q180" s="3">
        <f t="shared" si="169"/>
        <v>0</v>
      </c>
      <c r="R180" s="3">
        <f t="shared" si="169"/>
        <v>0</v>
      </c>
      <c r="S180" s="3">
        <f t="shared" si="169"/>
        <v>0</v>
      </c>
      <c r="T180" s="3">
        <f t="shared" si="169"/>
        <v>0</v>
      </c>
      <c r="U180" s="3">
        <f t="shared" si="169"/>
        <v>0</v>
      </c>
      <c r="V180" s="3">
        <f t="shared" si="169"/>
        <v>0</v>
      </c>
      <c r="W180" s="3">
        <f t="shared" si="169"/>
        <v>0</v>
      </c>
      <c r="X180" s="3">
        <f t="shared" si="165"/>
        <v>0</v>
      </c>
      <c r="Y180" s="3">
        <f t="shared" si="165"/>
        <v>0</v>
      </c>
      <c r="Z180" s="3">
        <f t="shared" si="165"/>
        <v>0</v>
      </c>
      <c r="AA180" s="3">
        <f t="shared" si="166"/>
        <v>0</v>
      </c>
      <c r="AB180" s="3">
        <f t="shared" si="166"/>
        <v>0</v>
      </c>
      <c r="AC180" s="3">
        <f t="shared" si="166"/>
        <v>0</v>
      </c>
      <c r="AD180" s="3">
        <f t="shared" si="166"/>
        <v>0</v>
      </c>
      <c r="AE180" s="3">
        <f t="shared" si="166"/>
        <v>0</v>
      </c>
      <c r="AF180" s="3">
        <f t="shared" si="166"/>
        <v>0</v>
      </c>
      <c r="AG180" s="3">
        <f t="shared" si="166"/>
        <v>0</v>
      </c>
      <c r="AH180" s="3">
        <f t="shared" si="166"/>
        <v>0</v>
      </c>
      <c r="AI180" s="3">
        <f t="shared" si="166"/>
        <v>0</v>
      </c>
      <c r="AJ180" s="3">
        <f t="shared" si="166"/>
        <v>0</v>
      </c>
      <c r="AK180" s="3">
        <f t="shared" si="166"/>
        <v>0</v>
      </c>
      <c r="AL180" s="3">
        <f t="shared" si="166"/>
        <v>0</v>
      </c>
      <c r="AM180" s="3">
        <f t="shared" si="166"/>
        <v>0</v>
      </c>
      <c r="AN180" s="3">
        <f t="shared" si="166"/>
        <v>0</v>
      </c>
      <c r="AO180" s="3">
        <f t="shared" si="166"/>
        <v>0</v>
      </c>
      <c r="AP180" s="3">
        <f t="shared" si="166"/>
        <v>0</v>
      </c>
      <c r="AQ180" s="3">
        <f t="shared" si="167"/>
        <v>0</v>
      </c>
      <c r="AR180" s="3">
        <f t="shared" si="167"/>
        <v>0</v>
      </c>
      <c r="AS180" s="3">
        <f t="shared" si="167"/>
        <v>0</v>
      </c>
      <c r="AT180" s="3">
        <f t="shared" si="167"/>
        <v>0</v>
      </c>
      <c r="AU180" s="3">
        <f t="shared" si="167"/>
        <v>0</v>
      </c>
      <c r="AV180" s="3">
        <f t="shared" si="167"/>
        <v>0</v>
      </c>
      <c r="AW180" s="3">
        <f t="shared" si="167"/>
        <v>0</v>
      </c>
      <c r="AX180" s="3">
        <f t="shared" si="167"/>
        <v>0</v>
      </c>
      <c r="AY180" s="3">
        <f t="shared" si="167"/>
        <v>0</v>
      </c>
      <c r="AZ180" s="3">
        <f t="shared" si="167"/>
        <v>0</v>
      </c>
      <c r="BA180" s="3">
        <f t="shared" si="167"/>
        <v>0</v>
      </c>
      <c r="BB180" s="3">
        <f t="shared" si="167"/>
        <v>0</v>
      </c>
      <c r="BC180" s="3">
        <f t="shared" si="167"/>
        <v>0</v>
      </c>
      <c r="BD180" s="3">
        <f t="shared" si="167"/>
        <v>0</v>
      </c>
      <c r="BE180" s="3">
        <f t="shared" si="167"/>
        <v>0</v>
      </c>
      <c r="BF180" s="3">
        <f t="shared" si="167"/>
        <v>0</v>
      </c>
      <c r="BG180" s="3">
        <f t="shared" si="168"/>
        <v>0</v>
      </c>
      <c r="BH180" s="3">
        <f t="shared" si="168"/>
        <v>0</v>
      </c>
      <c r="BI180" s="3">
        <f t="shared" si="168"/>
        <v>0</v>
      </c>
      <c r="BJ180" s="3">
        <f t="shared" si="168"/>
        <v>0</v>
      </c>
      <c r="BK180" s="3">
        <f t="shared" si="168"/>
        <v>0</v>
      </c>
      <c r="BL180" s="3">
        <f t="shared" si="168"/>
        <v>0</v>
      </c>
      <c r="BM180" s="3">
        <f t="shared" si="168"/>
        <v>0</v>
      </c>
      <c r="BN180" s="3">
        <f t="shared" si="168"/>
        <v>0</v>
      </c>
      <c r="BO180" s="3">
        <f t="shared" si="168"/>
        <v>0</v>
      </c>
      <c r="BP180" s="3">
        <f t="shared" si="168"/>
        <v>0</v>
      </c>
      <c r="BQ180" s="3">
        <f t="shared" si="168"/>
        <v>0</v>
      </c>
      <c r="BR180" s="3">
        <f t="shared" si="168"/>
        <v>0</v>
      </c>
    </row>
    <row r="181" spans="1:70" outlineLevel="1" x14ac:dyDescent="0.3">
      <c r="A181" s="7">
        <v>12</v>
      </c>
      <c r="B181" s="150" t="s">
        <v>126</v>
      </c>
      <c r="C181" s="150"/>
      <c r="D181" s="150"/>
      <c r="E181" s="150"/>
      <c r="F181" s="3">
        <v>0</v>
      </c>
      <c r="G181" s="3">
        <f t="shared" si="164"/>
        <v>0</v>
      </c>
      <c r="H181" s="3">
        <f t="shared" si="169"/>
        <v>0</v>
      </c>
      <c r="I181" s="3">
        <f t="shared" si="169"/>
        <v>0</v>
      </c>
      <c r="J181" s="3">
        <f t="shared" si="169"/>
        <v>0</v>
      </c>
      <c r="K181" s="3">
        <f t="shared" si="169"/>
        <v>0</v>
      </c>
      <c r="L181" s="3">
        <f t="shared" si="169"/>
        <v>0</v>
      </c>
      <c r="M181" s="3">
        <f t="shared" si="169"/>
        <v>0</v>
      </c>
      <c r="N181" s="3">
        <f t="shared" si="169"/>
        <v>0</v>
      </c>
      <c r="O181" s="3">
        <f t="shared" si="169"/>
        <v>0</v>
      </c>
      <c r="P181" s="3">
        <f t="shared" si="169"/>
        <v>0</v>
      </c>
      <c r="Q181" s="3">
        <f t="shared" si="169"/>
        <v>1</v>
      </c>
      <c r="R181" s="3">
        <f t="shared" si="169"/>
        <v>0</v>
      </c>
      <c r="S181" s="3">
        <f t="shared" si="169"/>
        <v>0</v>
      </c>
      <c r="T181" s="3">
        <f t="shared" si="169"/>
        <v>0</v>
      </c>
      <c r="U181" s="3">
        <f t="shared" si="169"/>
        <v>0</v>
      </c>
      <c r="V181" s="3">
        <f t="shared" si="169"/>
        <v>0</v>
      </c>
      <c r="W181" s="3">
        <f t="shared" si="169"/>
        <v>0</v>
      </c>
      <c r="X181" s="3">
        <f t="shared" si="165"/>
        <v>0</v>
      </c>
      <c r="Y181" s="3">
        <f t="shared" si="165"/>
        <v>0</v>
      </c>
      <c r="Z181" s="3">
        <f t="shared" si="165"/>
        <v>0</v>
      </c>
      <c r="AA181" s="3">
        <f t="shared" si="166"/>
        <v>0</v>
      </c>
      <c r="AB181" s="3">
        <f t="shared" si="166"/>
        <v>0</v>
      </c>
      <c r="AC181" s="3">
        <f t="shared" si="166"/>
        <v>0</v>
      </c>
      <c r="AD181" s="3">
        <f t="shared" si="166"/>
        <v>0</v>
      </c>
      <c r="AE181" s="3">
        <f t="shared" si="166"/>
        <v>0</v>
      </c>
      <c r="AF181" s="3">
        <f t="shared" si="166"/>
        <v>0</v>
      </c>
      <c r="AG181" s="3">
        <f t="shared" si="166"/>
        <v>0</v>
      </c>
      <c r="AH181" s="3">
        <f t="shared" si="166"/>
        <v>0</v>
      </c>
      <c r="AI181" s="3">
        <f t="shared" si="166"/>
        <v>0</v>
      </c>
      <c r="AJ181" s="3">
        <f t="shared" si="166"/>
        <v>0</v>
      </c>
      <c r="AK181" s="3">
        <f t="shared" si="166"/>
        <v>0</v>
      </c>
      <c r="AL181" s="3">
        <f t="shared" si="166"/>
        <v>0</v>
      </c>
      <c r="AM181" s="3">
        <f t="shared" si="166"/>
        <v>0</v>
      </c>
      <c r="AN181" s="3">
        <f t="shared" si="166"/>
        <v>0</v>
      </c>
      <c r="AO181" s="3">
        <f t="shared" si="166"/>
        <v>0</v>
      </c>
      <c r="AP181" s="3">
        <f t="shared" si="166"/>
        <v>0</v>
      </c>
      <c r="AQ181" s="3">
        <f t="shared" si="167"/>
        <v>0</v>
      </c>
      <c r="AR181" s="3">
        <f t="shared" si="167"/>
        <v>0</v>
      </c>
      <c r="AS181" s="3">
        <f t="shared" si="167"/>
        <v>0</v>
      </c>
      <c r="AT181" s="3">
        <f t="shared" si="167"/>
        <v>0</v>
      </c>
      <c r="AU181" s="3">
        <f t="shared" si="167"/>
        <v>0</v>
      </c>
      <c r="AV181" s="3">
        <f t="shared" si="167"/>
        <v>0</v>
      </c>
      <c r="AW181" s="3">
        <f t="shared" si="167"/>
        <v>0</v>
      </c>
      <c r="AX181" s="3">
        <f t="shared" si="167"/>
        <v>0</v>
      </c>
      <c r="AY181" s="3">
        <f t="shared" si="167"/>
        <v>0</v>
      </c>
      <c r="AZ181" s="3">
        <f t="shared" si="167"/>
        <v>0</v>
      </c>
      <c r="BA181" s="3">
        <f t="shared" si="167"/>
        <v>0</v>
      </c>
      <c r="BB181" s="3">
        <f t="shared" si="167"/>
        <v>0</v>
      </c>
      <c r="BC181" s="3">
        <f t="shared" si="167"/>
        <v>0</v>
      </c>
      <c r="BD181" s="3">
        <f t="shared" si="167"/>
        <v>0</v>
      </c>
      <c r="BE181" s="3">
        <f t="shared" si="167"/>
        <v>0</v>
      </c>
      <c r="BF181" s="3">
        <f t="shared" si="167"/>
        <v>0</v>
      </c>
      <c r="BG181" s="3">
        <f t="shared" si="168"/>
        <v>0</v>
      </c>
      <c r="BH181" s="3">
        <f t="shared" si="168"/>
        <v>0</v>
      </c>
      <c r="BI181" s="3">
        <f t="shared" si="168"/>
        <v>0</v>
      </c>
      <c r="BJ181" s="3">
        <f t="shared" si="168"/>
        <v>0</v>
      </c>
      <c r="BK181" s="3">
        <f t="shared" si="168"/>
        <v>0</v>
      </c>
      <c r="BL181" s="3">
        <f t="shared" si="168"/>
        <v>0</v>
      </c>
      <c r="BM181" s="3">
        <f t="shared" si="168"/>
        <v>0</v>
      </c>
      <c r="BN181" s="3">
        <f t="shared" si="168"/>
        <v>0</v>
      </c>
      <c r="BO181" s="3">
        <f t="shared" si="168"/>
        <v>0</v>
      </c>
      <c r="BP181" s="3">
        <f t="shared" si="168"/>
        <v>0</v>
      </c>
      <c r="BQ181" s="3">
        <f t="shared" si="168"/>
        <v>0</v>
      </c>
      <c r="BR181" s="3">
        <f t="shared" si="168"/>
        <v>0</v>
      </c>
    </row>
    <row r="182" spans="1:70" outlineLevel="1" x14ac:dyDescent="0.3">
      <c r="A182" s="7">
        <v>13</v>
      </c>
      <c r="B182" s="150" t="s">
        <v>8</v>
      </c>
      <c r="C182" s="150"/>
      <c r="D182" s="150"/>
      <c r="E182" s="150"/>
      <c r="F182" s="3">
        <v>0</v>
      </c>
      <c r="G182" s="3">
        <f t="shared" si="164"/>
        <v>0</v>
      </c>
      <c r="H182" s="3">
        <f t="shared" si="169"/>
        <v>0</v>
      </c>
      <c r="I182" s="3">
        <f t="shared" si="169"/>
        <v>0</v>
      </c>
      <c r="J182" s="3">
        <f t="shared" si="169"/>
        <v>0</v>
      </c>
      <c r="K182" s="3">
        <f t="shared" si="169"/>
        <v>0</v>
      </c>
      <c r="L182" s="3">
        <f t="shared" si="169"/>
        <v>0</v>
      </c>
      <c r="M182" s="3">
        <f t="shared" si="169"/>
        <v>0</v>
      </c>
      <c r="N182" s="3">
        <f t="shared" si="169"/>
        <v>0</v>
      </c>
      <c r="O182" s="3">
        <f t="shared" si="169"/>
        <v>0</v>
      </c>
      <c r="P182" s="3">
        <f t="shared" si="169"/>
        <v>0</v>
      </c>
      <c r="Q182" s="3">
        <f t="shared" si="169"/>
        <v>0</v>
      </c>
      <c r="R182" s="3">
        <f t="shared" si="169"/>
        <v>1</v>
      </c>
      <c r="S182" s="3">
        <f t="shared" si="169"/>
        <v>0</v>
      </c>
      <c r="T182" s="3">
        <f t="shared" si="169"/>
        <v>0</v>
      </c>
      <c r="U182" s="3">
        <f t="shared" si="169"/>
        <v>0</v>
      </c>
      <c r="V182" s="3">
        <f t="shared" si="169"/>
        <v>0</v>
      </c>
      <c r="W182" s="3">
        <f t="shared" si="169"/>
        <v>0</v>
      </c>
      <c r="X182" s="3">
        <f t="shared" si="165"/>
        <v>0</v>
      </c>
      <c r="Y182" s="3">
        <f t="shared" si="165"/>
        <v>0</v>
      </c>
      <c r="Z182" s="3">
        <f t="shared" si="165"/>
        <v>0</v>
      </c>
      <c r="AA182" s="3">
        <f t="shared" si="166"/>
        <v>0</v>
      </c>
      <c r="AB182" s="3">
        <f t="shared" si="166"/>
        <v>0</v>
      </c>
      <c r="AC182" s="3">
        <f t="shared" si="166"/>
        <v>0</v>
      </c>
      <c r="AD182" s="3">
        <f t="shared" si="166"/>
        <v>0</v>
      </c>
      <c r="AE182" s="3">
        <f t="shared" si="166"/>
        <v>0</v>
      </c>
      <c r="AF182" s="3">
        <f t="shared" si="166"/>
        <v>0</v>
      </c>
      <c r="AG182" s="3">
        <f t="shared" si="166"/>
        <v>0</v>
      </c>
      <c r="AH182" s="3">
        <f t="shared" si="166"/>
        <v>0</v>
      </c>
      <c r="AI182" s="3">
        <f t="shared" si="166"/>
        <v>0</v>
      </c>
      <c r="AJ182" s="3">
        <f t="shared" si="166"/>
        <v>0</v>
      </c>
      <c r="AK182" s="3">
        <f t="shared" si="166"/>
        <v>0</v>
      </c>
      <c r="AL182" s="3">
        <f t="shared" si="166"/>
        <v>0</v>
      </c>
      <c r="AM182" s="3">
        <f t="shared" si="166"/>
        <v>0</v>
      </c>
      <c r="AN182" s="3">
        <f t="shared" si="166"/>
        <v>0</v>
      </c>
      <c r="AO182" s="3">
        <f t="shared" si="166"/>
        <v>0</v>
      </c>
      <c r="AP182" s="3">
        <f t="shared" si="166"/>
        <v>0</v>
      </c>
      <c r="AQ182" s="3">
        <f t="shared" si="167"/>
        <v>0</v>
      </c>
      <c r="AR182" s="3">
        <f t="shared" si="167"/>
        <v>0</v>
      </c>
      <c r="AS182" s="3">
        <f t="shared" si="167"/>
        <v>0</v>
      </c>
      <c r="AT182" s="3">
        <f t="shared" si="167"/>
        <v>0</v>
      </c>
      <c r="AU182" s="3">
        <f t="shared" si="167"/>
        <v>0</v>
      </c>
      <c r="AV182" s="3">
        <f t="shared" si="167"/>
        <v>0</v>
      </c>
      <c r="AW182" s="3">
        <f t="shared" si="167"/>
        <v>0</v>
      </c>
      <c r="AX182" s="3">
        <f t="shared" si="167"/>
        <v>0</v>
      </c>
      <c r="AY182" s="3">
        <f t="shared" si="167"/>
        <v>0</v>
      </c>
      <c r="AZ182" s="3">
        <f t="shared" si="167"/>
        <v>0</v>
      </c>
      <c r="BA182" s="3">
        <f t="shared" si="167"/>
        <v>0</v>
      </c>
      <c r="BB182" s="3">
        <f t="shared" si="167"/>
        <v>0</v>
      </c>
      <c r="BC182" s="3">
        <f t="shared" si="167"/>
        <v>0</v>
      </c>
      <c r="BD182" s="3">
        <f t="shared" si="167"/>
        <v>0</v>
      </c>
      <c r="BE182" s="3">
        <f t="shared" si="167"/>
        <v>0</v>
      </c>
      <c r="BF182" s="3">
        <f t="shared" si="167"/>
        <v>0</v>
      </c>
      <c r="BG182" s="3">
        <f t="shared" si="168"/>
        <v>0</v>
      </c>
      <c r="BH182" s="3">
        <f t="shared" si="168"/>
        <v>0</v>
      </c>
      <c r="BI182" s="3">
        <f t="shared" si="168"/>
        <v>0</v>
      </c>
      <c r="BJ182" s="3">
        <f t="shared" si="168"/>
        <v>0</v>
      </c>
      <c r="BK182" s="3">
        <f t="shared" si="168"/>
        <v>0</v>
      </c>
      <c r="BL182" s="3">
        <f t="shared" si="168"/>
        <v>0</v>
      </c>
      <c r="BM182" s="3">
        <f t="shared" si="168"/>
        <v>0</v>
      </c>
      <c r="BN182" s="3">
        <f t="shared" si="168"/>
        <v>0</v>
      </c>
      <c r="BO182" s="3">
        <f t="shared" si="168"/>
        <v>0</v>
      </c>
      <c r="BP182" s="3">
        <f t="shared" si="168"/>
        <v>0</v>
      </c>
      <c r="BQ182" s="3">
        <f t="shared" si="168"/>
        <v>0</v>
      </c>
      <c r="BR182" s="3">
        <f t="shared" si="168"/>
        <v>0</v>
      </c>
    </row>
    <row r="183" spans="1:70" outlineLevel="1" x14ac:dyDescent="0.3">
      <c r="A183" s="7">
        <v>14</v>
      </c>
      <c r="B183" s="150" t="s">
        <v>9</v>
      </c>
      <c r="C183" s="150"/>
      <c r="D183" s="150"/>
      <c r="E183" s="150"/>
      <c r="F183" s="3">
        <v>0</v>
      </c>
      <c r="G183" s="3">
        <f t="shared" si="164"/>
        <v>0</v>
      </c>
      <c r="H183" s="3">
        <f t="shared" si="169"/>
        <v>0</v>
      </c>
      <c r="I183" s="3">
        <f t="shared" si="169"/>
        <v>0</v>
      </c>
      <c r="J183" s="3">
        <f t="shared" si="169"/>
        <v>0</v>
      </c>
      <c r="K183" s="3">
        <f t="shared" si="169"/>
        <v>0</v>
      </c>
      <c r="L183" s="3">
        <f t="shared" si="169"/>
        <v>0</v>
      </c>
      <c r="M183" s="3">
        <f t="shared" si="169"/>
        <v>0</v>
      </c>
      <c r="N183" s="3">
        <f t="shared" si="169"/>
        <v>0</v>
      </c>
      <c r="O183" s="3">
        <f t="shared" si="169"/>
        <v>0</v>
      </c>
      <c r="P183" s="3">
        <f t="shared" si="169"/>
        <v>0</v>
      </c>
      <c r="Q183" s="3">
        <f t="shared" si="169"/>
        <v>0</v>
      </c>
      <c r="R183" s="3">
        <f t="shared" si="169"/>
        <v>0</v>
      </c>
      <c r="S183" s="3">
        <f t="shared" si="169"/>
        <v>1</v>
      </c>
      <c r="T183" s="3">
        <f t="shared" si="169"/>
        <v>0</v>
      </c>
      <c r="U183" s="3">
        <f t="shared" si="169"/>
        <v>0</v>
      </c>
      <c r="V183" s="3">
        <f t="shared" si="169"/>
        <v>0</v>
      </c>
      <c r="W183" s="3">
        <f t="shared" si="169"/>
        <v>0</v>
      </c>
      <c r="X183" s="3">
        <f t="shared" si="165"/>
        <v>0</v>
      </c>
      <c r="Y183" s="3">
        <f t="shared" si="165"/>
        <v>0</v>
      </c>
      <c r="Z183" s="3">
        <f t="shared" si="165"/>
        <v>0</v>
      </c>
      <c r="AA183" s="3">
        <f t="shared" si="166"/>
        <v>0</v>
      </c>
      <c r="AB183" s="3">
        <f t="shared" si="166"/>
        <v>0</v>
      </c>
      <c r="AC183" s="3">
        <f t="shared" si="166"/>
        <v>0</v>
      </c>
      <c r="AD183" s="3">
        <f t="shared" si="166"/>
        <v>0</v>
      </c>
      <c r="AE183" s="3">
        <f t="shared" si="166"/>
        <v>0</v>
      </c>
      <c r="AF183" s="3">
        <f t="shared" si="166"/>
        <v>0</v>
      </c>
      <c r="AG183" s="3">
        <f t="shared" si="166"/>
        <v>0</v>
      </c>
      <c r="AH183" s="3">
        <f t="shared" si="166"/>
        <v>0</v>
      </c>
      <c r="AI183" s="3">
        <f t="shared" si="166"/>
        <v>0</v>
      </c>
      <c r="AJ183" s="3">
        <f t="shared" si="166"/>
        <v>0</v>
      </c>
      <c r="AK183" s="3">
        <f t="shared" si="166"/>
        <v>0</v>
      </c>
      <c r="AL183" s="3">
        <f t="shared" si="166"/>
        <v>0</v>
      </c>
      <c r="AM183" s="3">
        <f t="shared" si="166"/>
        <v>0</v>
      </c>
      <c r="AN183" s="3">
        <f t="shared" si="166"/>
        <v>0</v>
      </c>
      <c r="AO183" s="3">
        <f t="shared" si="166"/>
        <v>0</v>
      </c>
      <c r="AP183" s="3">
        <f t="shared" si="166"/>
        <v>0</v>
      </c>
      <c r="AQ183" s="3">
        <f t="shared" si="167"/>
        <v>0</v>
      </c>
      <c r="AR183" s="3">
        <f t="shared" si="167"/>
        <v>0</v>
      </c>
      <c r="AS183" s="3">
        <f t="shared" si="167"/>
        <v>0</v>
      </c>
      <c r="AT183" s="3">
        <f t="shared" si="167"/>
        <v>0</v>
      </c>
      <c r="AU183" s="3">
        <f t="shared" si="167"/>
        <v>0</v>
      </c>
      <c r="AV183" s="3">
        <f t="shared" si="167"/>
        <v>0</v>
      </c>
      <c r="AW183" s="3">
        <f t="shared" si="167"/>
        <v>0</v>
      </c>
      <c r="AX183" s="3">
        <f t="shared" si="167"/>
        <v>0</v>
      </c>
      <c r="AY183" s="3">
        <f t="shared" si="167"/>
        <v>0</v>
      </c>
      <c r="AZ183" s="3">
        <f t="shared" si="167"/>
        <v>0</v>
      </c>
      <c r="BA183" s="3">
        <f t="shared" si="167"/>
        <v>0</v>
      </c>
      <c r="BB183" s="3">
        <f t="shared" si="167"/>
        <v>0</v>
      </c>
      <c r="BC183" s="3">
        <f t="shared" si="167"/>
        <v>0</v>
      </c>
      <c r="BD183" s="3">
        <f t="shared" si="167"/>
        <v>0</v>
      </c>
      <c r="BE183" s="3">
        <f t="shared" si="167"/>
        <v>0</v>
      </c>
      <c r="BF183" s="3">
        <f t="shared" si="167"/>
        <v>0</v>
      </c>
      <c r="BG183" s="3">
        <f t="shared" si="168"/>
        <v>0</v>
      </c>
      <c r="BH183" s="3">
        <f t="shared" si="168"/>
        <v>0</v>
      </c>
      <c r="BI183" s="3">
        <f t="shared" si="168"/>
        <v>0</v>
      </c>
      <c r="BJ183" s="3">
        <f t="shared" si="168"/>
        <v>0</v>
      </c>
      <c r="BK183" s="3">
        <f t="shared" si="168"/>
        <v>0</v>
      </c>
      <c r="BL183" s="3">
        <f t="shared" si="168"/>
        <v>0</v>
      </c>
      <c r="BM183" s="3">
        <f t="shared" si="168"/>
        <v>0</v>
      </c>
      <c r="BN183" s="3">
        <f t="shared" si="168"/>
        <v>0</v>
      </c>
      <c r="BO183" s="3">
        <f t="shared" si="168"/>
        <v>0</v>
      </c>
      <c r="BP183" s="3">
        <f t="shared" si="168"/>
        <v>0</v>
      </c>
      <c r="BQ183" s="3">
        <f t="shared" si="168"/>
        <v>0</v>
      </c>
      <c r="BR183" s="3">
        <f t="shared" si="168"/>
        <v>0</v>
      </c>
    </row>
    <row r="184" spans="1:70" outlineLevel="1" x14ac:dyDescent="0.3">
      <c r="A184" s="7">
        <v>15</v>
      </c>
      <c r="B184" s="150" t="s">
        <v>10</v>
      </c>
      <c r="C184" s="150"/>
      <c r="D184" s="150"/>
      <c r="E184" s="150"/>
      <c r="F184" s="3">
        <v>0</v>
      </c>
      <c r="G184" s="3">
        <f t="shared" si="164"/>
        <v>0</v>
      </c>
      <c r="H184" s="3">
        <f t="shared" si="169"/>
        <v>0</v>
      </c>
      <c r="I184" s="3">
        <f t="shared" si="169"/>
        <v>0</v>
      </c>
      <c r="J184" s="3">
        <f t="shared" si="169"/>
        <v>0</v>
      </c>
      <c r="K184" s="3">
        <f t="shared" si="169"/>
        <v>0</v>
      </c>
      <c r="L184" s="3">
        <f t="shared" si="169"/>
        <v>0</v>
      </c>
      <c r="M184" s="3">
        <f t="shared" si="169"/>
        <v>0</v>
      </c>
      <c r="N184" s="3">
        <f t="shared" si="169"/>
        <v>0</v>
      </c>
      <c r="O184" s="3">
        <f t="shared" si="169"/>
        <v>0</v>
      </c>
      <c r="P184" s="3">
        <f t="shared" si="169"/>
        <v>0</v>
      </c>
      <c r="Q184" s="3">
        <f t="shared" si="169"/>
        <v>0</v>
      </c>
      <c r="R184" s="3">
        <f t="shared" si="169"/>
        <v>0</v>
      </c>
      <c r="S184" s="3">
        <f t="shared" si="169"/>
        <v>0</v>
      </c>
      <c r="T184" s="3">
        <f t="shared" si="169"/>
        <v>1</v>
      </c>
      <c r="U184" s="3">
        <f t="shared" si="169"/>
        <v>0</v>
      </c>
      <c r="V184" s="3">
        <f t="shared" si="169"/>
        <v>0</v>
      </c>
      <c r="W184" s="3">
        <f t="shared" si="169"/>
        <v>0</v>
      </c>
      <c r="X184" s="3">
        <f t="shared" si="165"/>
        <v>0</v>
      </c>
      <c r="Y184" s="3">
        <f t="shared" si="165"/>
        <v>0</v>
      </c>
      <c r="Z184" s="3">
        <f t="shared" si="165"/>
        <v>0</v>
      </c>
      <c r="AA184" s="3">
        <f t="shared" si="166"/>
        <v>0</v>
      </c>
      <c r="AB184" s="3">
        <f t="shared" si="166"/>
        <v>0</v>
      </c>
      <c r="AC184" s="3">
        <f t="shared" si="166"/>
        <v>0</v>
      </c>
      <c r="AD184" s="3">
        <f t="shared" si="166"/>
        <v>0</v>
      </c>
      <c r="AE184" s="3">
        <f t="shared" si="166"/>
        <v>0</v>
      </c>
      <c r="AF184" s="3">
        <f t="shared" si="166"/>
        <v>0</v>
      </c>
      <c r="AG184" s="3">
        <f t="shared" si="166"/>
        <v>0</v>
      </c>
      <c r="AH184" s="3">
        <f t="shared" si="166"/>
        <v>0</v>
      </c>
      <c r="AI184" s="3">
        <f t="shared" si="166"/>
        <v>0</v>
      </c>
      <c r="AJ184" s="3">
        <f t="shared" si="166"/>
        <v>0</v>
      </c>
      <c r="AK184" s="3">
        <f t="shared" si="166"/>
        <v>0</v>
      </c>
      <c r="AL184" s="3">
        <f t="shared" si="166"/>
        <v>0</v>
      </c>
      <c r="AM184" s="3">
        <f t="shared" si="166"/>
        <v>0</v>
      </c>
      <c r="AN184" s="3">
        <f t="shared" si="166"/>
        <v>0</v>
      </c>
      <c r="AO184" s="3">
        <f t="shared" si="166"/>
        <v>0</v>
      </c>
      <c r="AP184" s="3">
        <f t="shared" si="166"/>
        <v>0</v>
      </c>
      <c r="AQ184" s="3">
        <f t="shared" si="167"/>
        <v>0</v>
      </c>
      <c r="AR184" s="3">
        <f t="shared" si="167"/>
        <v>0</v>
      </c>
      <c r="AS184" s="3">
        <f t="shared" si="167"/>
        <v>0</v>
      </c>
      <c r="AT184" s="3">
        <f t="shared" si="167"/>
        <v>0</v>
      </c>
      <c r="AU184" s="3">
        <f t="shared" si="167"/>
        <v>0</v>
      </c>
      <c r="AV184" s="3">
        <f t="shared" si="167"/>
        <v>0</v>
      </c>
      <c r="AW184" s="3">
        <f t="shared" si="167"/>
        <v>0</v>
      </c>
      <c r="AX184" s="3">
        <f t="shared" si="167"/>
        <v>0</v>
      </c>
      <c r="AY184" s="3">
        <f t="shared" si="167"/>
        <v>0</v>
      </c>
      <c r="AZ184" s="3">
        <f t="shared" si="167"/>
        <v>0</v>
      </c>
      <c r="BA184" s="3">
        <f t="shared" si="167"/>
        <v>0</v>
      </c>
      <c r="BB184" s="3">
        <f t="shared" si="167"/>
        <v>0</v>
      </c>
      <c r="BC184" s="3">
        <f t="shared" si="167"/>
        <v>0</v>
      </c>
      <c r="BD184" s="3">
        <f t="shared" si="167"/>
        <v>0</v>
      </c>
      <c r="BE184" s="3">
        <f t="shared" si="167"/>
        <v>0</v>
      </c>
      <c r="BF184" s="3">
        <f t="shared" si="167"/>
        <v>0</v>
      </c>
      <c r="BG184" s="3">
        <f t="shared" si="168"/>
        <v>0</v>
      </c>
      <c r="BH184" s="3">
        <f t="shared" si="168"/>
        <v>0</v>
      </c>
      <c r="BI184" s="3">
        <f t="shared" si="168"/>
        <v>0</v>
      </c>
      <c r="BJ184" s="3">
        <f t="shared" si="168"/>
        <v>0</v>
      </c>
      <c r="BK184" s="3">
        <f t="shared" si="168"/>
        <v>0</v>
      </c>
      <c r="BL184" s="3">
        <f t="shared" si="168"/>
        <v>0</v>
      </c>
      <c r="BM184" s="3">
        <f t="shared" si="168"/>
        <v>0</v>
      </c>
      <c r="BN184" s="3">
        <f t="shared" si="168"/>
        <v>0</v>
      </c>
      <c r="BO184" s="3">
        <f t="shared" si="168"/>
        <v>0</v>
      </c>
      <c r="BP184" s="3">
        <f t="shared" si="168"/>
        <v>0</v>
      </c>
      <c r="BQ184" s="3">
        <f t="shared" si="168"/>
        <v>0</v>
      </c>
      <c r="BR184" s="3">
        <f t="shared" si="168"/>
        <v>0</v>
      </c>
    </row>
    <row r="185" spans="1:70" outlineLevel="1" x14ac:dyDescent="0.3">
      <c r="A185" s="7">
        <v>16</v>
      </c>
      <c r="B185" s="150" t="s">
        <v>127</v>
      </c>
      <c r="C185" s="150"/>
      <c r="D185" s="150"/>
      <c r="E185" s="150"/>
      <c r="F185" s="3">
        <v>0</v>
      </c>
      <c r="G185" s="3">
        <f t="shared" si="164"/>
        <v>0</v>
      </c>
      <c r="H185" s="3">
        <f t="shared" si="169"/>
        <v>0</v>
      </c>
      <c r="I185" s="3">
        <f t="shared" si="169"/>
        <v>0</v>
      </c>
      <c r="J185" s="3">
        <f t="shared" si="169"/>
        <v>0</v>
      </c>
      <c r="K185" s="3">
        <f t="shared" si="169"/>
        <v>0</v>
      </c>
      <c r="L185" s="3">
        <f t="shared" si="169"/>
        <v>0</v>
      </c>
      <c r="M185" s="3">
        <f t="shared" si="169"/>
        <v>0</v>
      </c>
      <c r="N185" s="3">
        <f t="shared" si="169"/>
        <v>0</v>
      </c>
      <c r="O185" s="3">
        <f t="shared" si="169"/>
        <v>0</v>
      </c>
      <c r="P185" s="3">
        <f t="shared" si="169"/>
        <v>0</v>
      </c>
      <c r="Q185" s="3">
        <f t="shared" si="169"/>
        <v>0</v>
      </c>
      <c r="R185" s="3">
        <f t="shared" si="169"/>
        <v>0</v>
      </c>
      <c r="S185" s="3">
        <f t="shared" si="169"/>
        <v>0</v>
      </c>
      <c r="T185" s="3">
        <f t="shared" si="169"/>
        <v>0</v>
      </c>
      <c r="U185" s="3">
        <f t="shared" si="169"/>
        <v>1</v>
      </c>
      <c r="V185" s="3">
        <f t="shared" si="169"/>
        <v>0</v>
      </c>
      <c r="W185" s="3">
        <f t="shared" si="169"/>
        <v>0</v>
      </c>
      <c r="X185" s="3">
        <f t="shared" si="165"/>
        <v>0</v>
      </c>
      <c r="Y185" s="3">
        <f t="shared" si="165"/>
        <v>0</v>
      </c>
      <c r="Z185" s="3">
        <f t="shared" si="165"/>
        <v>0</v>
      </c>
      <c r="AA185" s="3">
        <f t="shared" si="166"/>
        <v>0</v>
      </c>
      <c r="AB185" s="3">
        <f t="shared" si="166"/>
        <v>0</v>
      </c>
      <c r="AC185" s="3">
        <f t="shared" si="166"/>
        <v>0</v>
      </c>
      <c r="AD185" s="3">
        <f t="shared" si="166"/>
        <v>0</v>
      </c>
      <c r="AE185" s="3">
        <f t="shared" si="166"/>
        <v>0</v>
      </c>
      <c r="AF185" s="3">
        <f t="shared" si="166"/>
        <v>0</v>
      </c>
      <c r="AG185" s="3">
        <f t="shared" si="166"/>
        <v>0</v>
      </c>
      <c r="AH185" s="3">
        <f t="shared" si="166"/>
        <v>0</v>
      </c>
      <c r="AI185" s="3">
        <f t="shared" si="166"/>
        <v>0</v>
      </c>
      <c r="AJ185" s="3">
        <f t="shared" si="166"/>
        <v>0</v>
      </c>
      <c r="AK185" s="3">
        <f t="shared" si="166"/>
        <v>0</v>
      </c>
      <c r="AL185" s="3">
        <f t="shared" si="166"/>
        <v>0</v>
      </c>
      <c r="AM185" s="3">
        <f t="shared" si="166"/>
        <v>0</v>
      </c>
      <c r="AN185" s="3">
        <f t="shared" si="166"/>
        <v>0</v>
      </c>
      <c r="AO185" s="3">
        <f t="shared" si="166"/>
        <v>0</v>
      </c>
      <c r="AP185" s="3">
        <f t="shared" si="166"/>
        <v>0</v>
      </c>
      <c r="AQ185" s="3">
        <f t="shared" si="167"/>
        <v>0</v>
      </c>
      <c r="AR185" s="3">
        <f t="shared" si="167"/>
        <v>0</v>
      </c>
      <c r="AS185" s="3">
        <f t="shared" si="167"/>
        <v>0</v>
      </c>
      <c r="AT185" s="3">
        <f t="shared" si="167"/>
        <v>0</v>
      </c>
      <c r="AU185" s="3">
        <f t="shared" si="167"/>
        <v>0</v>
      </c>
      <c r="AV185" s="3">
        <f t="shared" si="167"/>
        <v>0</v>
      </c>
      <c r="AW185" s="3">
        <f t="shared" si="167"/>
        <v>0</v>
      </c>
      <c r="AX185" s="3">
        <f t="shared" si="167"/>
        <v>0</v>
      </c>
      <c r="AY185" s="3">
        <f t="shared" si="167"/>
        <v>0</v>
      </c>
      <c r="AZ185" s="3">
        <f t="shared" si="167"/>
        <v>0</v>
      </c>
      <c r="BA185" s="3">
        <f t="shared" si="167"/>
        <v>0</v>
      </c>
      <c r="BB185" s="3">
        <f t="shared" si="167"/>
        <v>0</v>
      </c>
      <c r="BC185" s="3">
        <f t="shared" si="167"/>
        <v>0</v>
      </c>
      <c r="BD185" s="3">
        <f t="shared" si="167"/>
        <v>0</v>
      </c>
      <c r="BE185" s="3">
        <f t="shared" si="167"/>
        <v>0</v>
      </c>
      <c r="BF185" s="3">
        <f t="shared" si="167"/>
        <v>0</v>
      </c>
      <c r="BG185" s="3">
        <f t="shared" si="168"/>
        <v>0</v>
      </c>
      <c r="BH185" s="3">
        <f t="shared" si="168"/>
        <v>0</v>
      </c>
      <c r="BI185" s="3">
        <f t="shared" si="168"/>
        <v>0</v>
      </c>
      <c r="BJ185" s="3">
        <f t="shared" si="168"/>
        <v>0</v>
      </c>
      <c r="BK185" s="3">
        <f t="shared" si="168"/>
        <v>0</v>
      </c>
      <c r="BL185" s="3">
        <f t="shared" si="168"/>
        <v>0</v>
      </c>
      <c r="BM185" s="3">
        <f t="shared" si="168"/>
        <v>0</v>
      </c>
      <c r="BN185" s="3">
        <f t="shared" si="168"/>
        <v>0</v>
      </c>
      <c r="BO185" s="3">
        <f t="shared" si="168"/>
        <v>0</v>
      </c>
      <c r="BP185" s="3">
        <f t="shared" si="168"/>
        <v>0</v>
      </c>
      <c r="BQ185" s="3">
        <f t="shared" si="168"/>
        <v>0</v>
      </c>
      <c r="BR185" s="3">
        <f t="shared" si="168"/>
        <v>0</v>
      </c>
    </row>
    <row r="186" spans="1:70" outlineLevel="1" x14ac:dyDescent="0.3">
      <c r="A186" s="7">
        <v>17</v>
      </c>
      <c r="B186" s="150" t="s">
        <v>128</v>
      </c>
      <c r="C186" s="150"/>
      <c r="D186" s="150"/>
      <c r="E186" s="150"/>
      <c r="F186" s="3">
        <v>0</v>
      </c>
      <c r="G186" s="3">
        <f t="shared" si="164"/>
        <v>0</v>
      </c>
      <c r="H186" s="3">
        <f t="shared" si="169"/>
        <v>0</v>
      </c>
      <c r="I186" s="3">
        <f t="shared" si="169"/>
        <v>0</v>
      </c>
      <c r="J186" s="3">
        <f t="shared" si="169"/>
        <v>0</v>
      </c>
      <c r="K186" s="3">
        <f t="shared" si="169"/>
        <v>0</v>
      </c>
      <c r="L186" s="3">
        <f t="shared" si="169"/>
        <v>0</v>
      </c>
      <c r="M186" s="3">
        <f t="shared" si="169"/>
        <v>0</v>
      </c>
      <c r="N186" s="3">
        <f t="shared" si="169"/>
        <v>0</v>
      </c>
      <c r="O186" s="3">
        <f t="shared" si="169"/>
        <v>0</v>
      </c>
      <c r="P186" s="3">
        <f t="shared" si="169"/>
        <v>0</v>
      </c>
      <c r="Q186" s="3">
        <f t="shared" si="169"/>
        <v>0</v>
      </c>
      <c r="R186" s="3">
        <f t="shared" si="169"/>
        <v>0</v>
      </c>
      <c r="S186" s="3">
        <f t="shared" si="169"/>
        <v>0</v>
      </c>
      <c r="T186" s="3">
        <f t="shared" si="169"/>
        <v>0</v>
      </c>
      <c r="U186" s="3">
        <f t="shared" si="169"/>
        <v>0</v>
      </c>
      <c r="V186" s="3">
        <f t="shared" si="169"/>
        <v>1</v>
      </c>
      <c r="W186" s="3">
        <f t="shared" si="169"/>
        <v>0</v>
      </c>
      <c r="X186" s="3">
        <f t="shared" si="165"/>
        <v>0</v>
      </c>
      <c r="Y186" s="3">
        <f t="shared" si="165"/>
        <v>0</v>
      </c>
      <c r="Z186" s="3">
        <f t="shared" si="165"/>
        <v>0</v>
      </c>
      <c r="AA186" s="3">
        <f t="shared" si="166"/>
        <v>0</v>
      </c>
      <c r="AB186" s="3">
        <f t="shared" si="166"/>
        <v>0</v>
      </c>
      <c r="AC186" s="3">
        <f t="shared" si="166"/>
        <v>0</v>
      </c>
      <c r="AD186" s="3">
        <f t="shared" si="166"/>
        <v>0</v>
      </c>
      <c r="AE186" s="3">
        <f t="shared" si="166"/>
        <v>0</v>
      </c>
      <c r="AF186" s="3">
        <f t="shared" si="166"/>
        <v>0</v>
      </c>
      <c r="AG186" s="3">
        <f t="shared" si="166"/>
        <v>0</v>
      </c>
      <c r="AH186" s="3">
        <f t="shared" si="166"/>
        <v>0</v>
      </c>
      <c r="AI186" s="3">
        <f t="shared" si="166"/>
        <v>0</v>
      </c>
      <c r="AJ186" s="3">
        <f t="shared" si="166"/>
        <v>0</v>
      </c>
      <c r="AK186" s="3">
        <f t="shared" si="166"/>
        <v>0</v>
      </c>
      <c r="AL186" s="3">
        <f t="shared" si="166"/>
        <v>0</v>
      </c>
      <c r="AM186" s="3">
        <f t="shared" si="166"/>
        <v>0</v>
      </c>
      <c r="AN186" s="3">
        <f t="shared" si="166"/>
        <v>0</v>
      </c>
      <c r="AO186" s="3">
        <f t="shared" si="166"/>
        <v>0</v>
      </c>
      <c r="AP186" s="3">
        <f t="shared" si="166"/>
        <v>0</v>
      </c>
      <c r="AQ186" s="3">
        <f t="shared" si="167"/>
        <v>0</v>
      </c>
      <c r="AR186" s="3">
        <f t="shared" si="167"/>
        <v>0</v>
      </c>
      <c r="AS186" s="3">
        <f t="shared" si="167"/>
        <v>0</v>
      </c>
      <c r="AT186" s="3">
        <f t="shared" si="167"/>
        <v>0</v>
      </c>
      <c r="AU186" s="3">
        <f t="shared" si="167"/>
        <v>0</v>
      </c>
      <c r="AV186" s="3">
        <f t="shared" si="167"/>
        <v>0</v>
      </c>
      <c r="AW186" s="3">
        <f t="shared" si="167"/>
        <v>0</v>
      </c>
      <c r="AX186" s="3">
        <f t="shared" si="167"/>
        <v>0</v>
      </c>
      <c r="AY186" s="3">
        <f t="shared" si="167"/>
        <v>0</v>
      </c>
      <c r="AZ186" s="3">
        <f t="shared" si="167"/>
        <v>0</v>
      </c>
      <c r="BA186" s="3">
        <f t="shared" si="167"/>
        <v>0</v>
      </c>
      <c r="BB186" s="3">
        <f t="shared" si="167"/>
        <v>0</v>
      </c>
      <c r="BC186" s="3">
        <f t="shared" si="167"/>
        <v>0</v>
      </c>
      <c r="BD186" s="3">
        <f t="shared" si="167"/>
        <v>0</v>
      </c>
      <c r="BE186" s="3">
        <f t="shared" si="167"/>
        <v>0</v>
      </c>
      <c r="BF186" s="3">
        <f t="shared" si="167"/>
        <v>0</v>
      </c>
      <c r="BG186" s="3">
        <f t="shared" si="168"/>
        <v>0</v>
      </c>
      <c r="BH186" s="3">
        <f t="shared" si="168"/>
        <v>0</v>
      </c>
      <c r="BI186" s="3">
        <f t="shared" si="168"/>
        <v>0</v>
      </c>
      <c r="BJ186" s="3">
        <f t="shared" si="168"/>
        <v>0</v>
      </c>
      <c r="BK186" s="3">
        <f t="shared" si="168"/>
        <v>0</v>
      </c>
      <c r="BL186" s="3">
        <f t="shared" si="168"/>
        <v>0</v>
      </c>
      <c r="BM186" s="3">
        <f t="shared" si="168"/>
        <v>0</v>
      </c>
      <c r="BN186" s="3">
        <f t="shared" si="168"/>
        <v>0</v>
      </c>
      <c r="BO186" s="3">
        <f t="shared" si="168"/>
        <v>0</v>
      </c>
      <c r="BP186" s="3">
        <f t="shared" si="168"/>
        <v>0</v>
      </c>
      <c r="BQ186" s="3">
        <f t="shared" si="168"/>
        <v>0</v>
      </c>
      <c r="BR186" s="3">
        <f t="shared" si="168"/>
        <v>0</v>
      </c>
    </row>
    <row r="187" spans="1:70" outlineLevel="1" x14ac:dyDescent="0.3">
      <c r="A187" s="7">
        <v>18</v>
      </c>
      <c r="B187" s="150" t="s">
        <v>129</v>
      </c>
      <c r="C187" s="150"/>
      <c r="D187" s="150"/>
      <c r="E187" s="150"/>
      <c r="F187" s="3">
        <v>0</v>
      </c>
      <c r="G187" s="3">
        <f t="shared" si="164"/>
        <v>0</v>
      </c>
      <c r="H187" s="3">
        <f t="shared" si="169"/>
        <v>0</v>
      </c>
      <c r="I187" s="3">
        <f t="shared" si="169"/>
        <v>0</v>
      </c>
      <c r="J187" s="3">
        <f t="shared" si="169"/>
        <v>0</v>
      </c>
      <c r="K187" s="3">
        <f t="shared" si="169"/>
        <v>0</v>
      </c>
      <c r="L187" s="3">
        <f t="shared" si="169"/>
        <v>0</v>
      </c>
      <c r="M187" s="3">
        <f t="shared" si="169"/>
        <v>0</v>
      </c>
      <c r="N187" s="3">
        <f t="shared" si="169"/>
        <v>0</v>
      </c>
      <c r="O187" s="3">
        <f t="shared" si="169"/>
        <v>0</v>
      </c>
      <c r="P187" s="3">
        <f t="shared" si="169"/>
        <v>0</v>
      </c>
      <c r="Q187" s="3">
        <f t="shared" si="169"/>
        <v>0</v>
      </c>
      <c r="R187" s="3">
        <f t="shared" si="169"/>
        <v>0</v>
      </c>
      <c r="S187" s="3">
        <f t="shared" si="169"/>
        <v>0</v>
      </c>
      <c r="T187" s="3">
        <f t="shared" si="169"/>
        <v>0</v>
      </c>
      <c r="U187" s="3">
        <f t="shared" si="169"/>
        <v>0</v>
      </c>
      <c r="V187" s="3">
        <f t="shared" si="169"/>
        <v>0</v>
      </c>
      <c r="W187" s="3">
        <f t="shared" si="169"/>
        <v>1</v>
      </c>
      <c r="X187" s="3">
        <f t="shared" si="165"/>
        <v>0</v>
      </c>
      <c r="Y187" s="3">
        <f t="shared" si="165"/>
        <v>0</v>
      </c>
      <c r="Z187" s="3">
        <f t="shared" si="165"/>
        <v>0</v>
      </c>
      <c r="AA187" s="3">
        <f t="shared" si="166"/>
        <v>0</v>
      </c>
      <c r="AB187" s="3">
        <f t="shared" si="166"/>
        <v>0</v>
      </c>
      <c r="AC187" s="3">
        <f t="shared" si="166"/>
        <v>0</v>
      </c>
      <c r="AD187" s="3">
        <f t="shared" si="166"/>
        <v>0</v>
      </c>
      <c r="AE187" s="3">
        <f t="shared" si="166"/>
        <v>0</v>
      </c>
      <c r="AF187" s="3">
        <f t="shared" si="166"/>
        <v>0</v>
      </c>
      <c r="AG187" s="3">
        <f t="shared" si="166"/>
        <v>0</v>
      </c>
      <c r="AH187" s="3">
        <f t="shared" si="166"/>
        <v>0</v>
      </c>
      <c r="AI187" s="3">
        <f t="shared" si="166"/>
        <v>0</v>
      </c>
      <c r="AJ187" s="3">
        <f t="shared" si="166"/>
        <v>0</v>
      </c>
      <c r="AK187" s="3">
        <f t="shared" si="166"/>
        <v>0</v>
      </c>
      <c r="AL187" s="3">
        <f t="shared" si="166"/>
        <v>0</v>
      </c>
      <c r="AM187" s="3">
        <f t="shared" si="166"/>
        <v>0</v>
      </c>
      <c r="AN187" s="3">
        <f t="shared" si="166"/>
        <v>0</v>
      </c>
      <c r="AO187" s="3">
        <f t="shared" si="166"/>
        <v>0</v>
      </c>
      <c r="AP187" s="3">
        <f t="shared" si="166"/>
        <v>0</v>
      </c>
      <c r="AQ187" s="3">
        <f t="shared" si="167"/>
        <v>0</v>
      </c>
      <c r="AR187" s="3">
        <f t="shared" si="167"/>
        <v>0</v>
      </c>
      <c r="AS187" s="3">
        <f t="shared" si="167"/>
        <v>0</v>
      </c>
      <c r="AT187" s="3">
        <f t="shared" si="167"/>
        <v>0</v>
      </c>
      <c r="AU187" s="3">
        <f t="shared" si="167"/>
        <v>0</v>
      </c>
      <c r="AV187" s="3">
        <f t="shared" si="167"/>
        <v>0</v>
      </c>
      <c r="AW187" s="3">
        <f t="shared" si="167"/>
        <v>0</v>
      </c>
      <c r="AX187" s="3">
        <f t="shared" si="167"/>
        <v>0</v>
      </c>
      <c r="AY187" s="3">
        <f t="shared" si="167"/>
        <v>0</v>
      </c>
      <c r="AZ187" s="3">
        <f t="shared" si="167"/>
        <v>0</v>
      </c>
      <c r="BA187" s="3">
        <f t="shared" si="167"/>
        <v>0</v>
      </c>
      <c r="BB187" s="3">
        <f t="shared" si="167"/>
        <v>0</v>
      </c>
      <c r="BC187" s="3">
        <f t="shared" si="167"/>
        <v>0</v>
      </c>
      <c r="BD187" s="3">
        <f t="shared" si="167"/>
        <v>0</v>
      </c>
      <c r="BE187" s="3">
        <f t="shared" si="167"/>
        <v>0</v>
      </c>
      <c r="BF187" s="3">
        <f t="shared" si="167"/>
        <v>0</v>
      </c>
      <c r="BG187" s="3">
        <f t="shared" si="168"/>
        <v>0</v>
      </c>
      <c r="BH187" s="3">
        <f t="shared" si="168"/>
        <v>0</v>
      </c>
      <c r="BI187" s="3">
        <f t="shared" si="168"/>
        <v>0</v>
      </c>
      <c r="BJ187" s="3">
        <f t="shared" si="168"/>
        <v>0</v>
      </c>
      <c r="BK187" s="3">
        <f t="shared" si="168"/>
        <v>0</v>
      </c>
      <c r="BL187" s="3">
        <f t="shared" si="168"/>
        <v>0</v>
      </c>
      <c r="BM187" s="3">
        <f t="shared" si="168"/>
        <v>0</v>
      </c>
      <c r="BN187" s="3">
        <f t="shared" si="168"/>
        <v>0</v>
      </c>
      <c r="BO187" s="3">
        <f t="shared" si="168"/>
        <v>0</v>
      </c>
      <c r="BP187" s="3">
        <f t="shared" si="168"/>
        <v>0</v>
      </c>
      <c r="BQ187" s="3">
        <f t="shared" si="168"/>
        <v>0</v>
      </c>
      <c r="BR187" s="3">
        <f t="shared" si="168"/>
        <v>0</v>
      </c>
    </row>
    <row r="188" spans="1:70" outlineLevel="1" x14ac:dyDescent="0.3">
      <c r="A188" s="7">
        <v>19</v>
      </c>
      <c r="B188" s="150" t="s">
        <v>130</v>
      </c>
      <c r="C188" s="150"/>
      <c r="D188" s="150"/>
      <c r="E188" s="150"/>
      <c r="F188" s="3">
        <v>0</v>
      </c>
      <c r="G188" s="3">
        <f t="shared" si="164"/>
        <v>0</v>
      </c>
      <c r="H188" s="3">
        <f t="shared" si="169"/>
        <v>0</v>
      </c>
      <c r="I188" s="3">
        <f t="shared" si="169"/>
        <v>0</v>
      </c>
      <c r="J188" s="3">
        <f t="shared" si="169"/>
        <v>0</v>
      </c>
      <c r="K188" s="3">
        <f t="shared" si="169"/>
        <v>0</v>
      </c>
      <c r="L188" s="3">
        <f t="shared" si="169"/>
        <v>0</v>
      </c>
      <c r="M188" s="3">
        <f t="shared" si="169"/>
        <v>0</v>
      </c>
      <c r="N188" s="3">
        <f t="shared" si="169"/>
        <v>0</v>
      </c>
      <c r="O188" s="3">
        <f t="shared" si="169"/>
        <v>0</v>
      </c>
      <c r="P188" s="3">
        <f t="shared" si="169"/>
        <v>0</v>
      </c>
      <c r="Q188" s="3">
        <f t="shared" si="169"/>
        <v>0</v>
      </c>
      <c r="R188" s="3">
        <f t="shared" si="169"/>
        <v>0</v>
      </c>
      <c r="S188" s="3">
        <f t="shared" si="169"/>
        <v>0</v>
      </c>
      <c r="T188" s="3">
        <f t="shared" si="169"/>
        <v>0</v>
      </c>
      <c r="U188" s="3">
        <f t="shared" si="169"/>
        <v>0</v>
      </c>
      <c r="V188" s="3">
        <f t="shared" si="169"/>
        <v>0</v>
      </c>
      <c r="W188" s="3">
        <f t="shared" si="169"/>
        <v>0</v>
      </c>
      <c r="X188" s="3">
        <f t="shared" si="165"/>
        <v>1</v>
      </c>
      <c r="Y188" s="3">
        <f t="shared" si="165"/>
        <v>0</v>
      </c>
      <c r="Z188" s="3">
        <f t="shared" si="165"/>
        <v>0</v>
      </c>
      <c r="AA188" s="3">
        <f t="shared" si="166"/>
        <v>0</v>
      </c>
      <c r="AB188" s="3">
        <f t="shared" si="166"/>
        <v>0</v>
      </c>
      <c r="AC188" s="3">
        <f t="shared" si="166"/>
        <v>0</v>
      </c>
      <c r="AD188" s="3">
        <f t="shared" si="166"/>
        <v>0</v>
      </c>
      <c r="AE188" s="3">
        <f t="shared" si="166"/>
        <v>0</v>
      </c>
      <c r="AF188" s="3">
        <f t="shared" si="166"/>
        <v>0</v>
      </c>
      <c r="AG188" s="3">
        <f t="shared" si="166"/>
        <v>0</v>
      </c>
      <c r="AH188" s="3">
        <f t="shared" si="166"/>
        <v>0</v>
      </c>
      <c r="AI188" s="3">
        <f t="shared" si="166"/>
        <v>0</v>
      </c>
      <c r="AJ188" s="3">
        <f t="shared" si="166"/>
        <v>0</v>
      </c>
      <c r="AK188" s="3">
        <f t="shared" si="166"/>
        <v>0</v>
      </c>
      <c r="AL188" s="3">
        <f t="shared" si="166"/>
        <v>0</v>
      </c>
      <c r="AM188" s="3">
        <f t="shared" si="166"/>
        <v>0</v>
      </c>
      <c r="AN188" s="3">
        <f t="shared" si="166"/>
        <v>0</v>
      </c>
      <c r="AO188" s="3">
        <f t="shared" si="166"/>
        <v>0</v>
      </c>
      <c r="AP188" s="3">
        <f t="shared" si="166"/>
        <v>0</v>
      </c>
      <c r="AQ188" s="3">
        <f t="shared" si="167"/>
        <v>0</v>
      </c>
      <c r="AR188" s="3">
        <f t="shared" si="167"/>
        <v>0</v>
      </c>
      <c r="AS188" s="3">
        <f t="shared" si="167"/>
        <v>0</v>
      </c>
      <c r="AT188" s="3">
        <f t="shared" si="167"/>
        <v>0</v>
      </c>
      <c r="AU188" s="3">
        <f t="shared" si="167"/>
        <v>0</v>
      </c>
      <c r="AV188" s="3">
        <f t="shared" si="167"/>
        <v>0</v>
      </c>
      <c r="AW188" s="3">
        <f t="shared" si="167"/>
        <v>0</v>
      </c>
      <c r="AX188" s="3">
        <f t="shared" si="167"/>
        <v>0</v>
      </c>
      <c r="AY188" s="3">
        <f t="shared" si="167"/>
        <v>0</v>
      </c>
      <c r="AZ188" s="3">
        <f t="shared" si="167"/>
        <v>0</v>
      </c>
      <c r="BA188" s="3">
        <f t="shared" si="167"/>
        <v>0</v>
      </c>
      <c r="BB188" s="3">
        <f t="shared" si="167"/>
        <v>0</v>
      </c>
      <c r="BC188" s="3">
        <f t="shared" si="167"/>
        <v>0</v>
      </c>
      <c r="BD188" s="3">
        <f t="shared" si="167"/>
        <v>0</v>
      </c>
      <c r="BE188" s="3">
        <f t="shared" si="167"/>
        <v>0</v>
      </c>
      <c r="BF188" s="3">
        <f t="shared" si="167"/>
        <v>0</v>
      </c>
      <c r="BG188" s="3">
        <f t="shared" si="168"/>
        <v>0</v>
      </c>
      <c r="BH188" s="3">
        <f t="shared" si="168"/>
        <v>0</v>
      </c>
      <c r="BI188" s="3">
        <f t="shared" si="168"/>
        <v>0</v>
      </c>
      <c r="BJ188" s="3">
        <f t="shared" si="168"/>
        <v>0</v>
      </c>
      <c r="BK188" s="3">
        <f t="shared" si="168"/>
        <v>0</v>
      </c>
      <c r="BL188" s="3">
        <f t="shared" si="168"/>
        <v>0</v>
      </c>
      <c r="BM188" s="3">
        <f t="shared" si="168"/>
        <v>0</v>
      </c>
      <c r="BN188" s="3">
        <f t="shared" si="168"/>
        <v>0</v>
      </c>
      <c r="BO188" s="3">
        <f t="shared" si="168"/>
        <v>0</v>
      </c>
      <c r="BP188" s="3">
        <f t="shared" si="168"/>
        <v>0</v>
      </c>
      <c r="BQ188" s="3">
        <f t="shared" si="168"/>
        <v>0</v>
      </c>
      <c r="BR188" s="3">
        <f t="shared" si="168"/>
        <v>0</v>
      </c>
    </row>
    <row r="189" spans="1:70" outlineLevel="1" x14ac:dyDescent="0.3">
      <c r="A189" s="7">
        <v>20</v>
      </c>
      <c r="B189" s="150" t="s">
        <v>131</v>
      </c>
      <c r="C189" s="150"/>
      <c r="D189" s="150"/>
      <c r="E189" s="150"/>
      <c r="F189" s="3">
        <v>0</v>
      </c>
      <c r="G189" s="3">
        <f t="shared" si="164"/>
        <v>0</v>
      </c>
      <c r="H189" s="3">
        <f t="shared" si="169"/>
        <v>0</v>
      </c>
      <c r="I189" s="3">
        <f t="shared" si="169"/>
        <v>0</v>
      </c>
      <c r="J189" s="3">
        <f t="shared" si="169"/>
        <v>0</v>
      </c>
      <c r="K189" s="3">
        <f t="shared" si="169"/>
        <v>0</v>
      </c>
      <c r="L189" s="3">
        <f t="shared" si="169"/>
        <v>0</v>
      </c>
      <c r="M189" s="3">
        <f t="shared" si="169"/>
        <v>0</v>
      </c>
      <c r="N189" s="3">
        <f t="shared" si="169"/>
        <v>0</v>
      </c>
      <c r="O189" s="3">
        <f t="shared" si="169"/>
        <v>0</v>
      </c>
      <c r="P189" s="3">
        <f t="shared" si="169"/>
        <v>0</v>
      </c>
      <c r="Q189" s="3">
        <f t="shared" si="169"/>
        <v>0</v>
      </c>
      <c r="R189" s="3">
        <f t="shared" si="169"/>
        <v>0</v>
      </c>
      <c r="S189" s="3">
        <f t="shared" si="169"/>
        <v>0</v>
      </c>
      <c r="T189" s="3">
        <f t="shared" si="169"/>
        <v>0</v>
      </c>
      <c r="U189" s="3">
        <f t="shared" si="169"/>
        <v>0</v>
      </c>
      <c r="V189" s="3">
        <f t="shared" si="169"/>
        <v>0</v>
      </c>
      <c r="W189" s="3">
        <f t="shared" si="169"/>
        <v>0</v>
      </c>
      <c r="X189" s="3">
        <f t="shared" si="165"/>
        <v>0</v>
      </c>
      <c r="Y189" s="3">
        <f t="shared" si="165"/>
        <v>1</v>
      </c>
      <c r="Z189" s="3">
        <f t="shared" si="165"/>
        <v>0</v>
      </c>
      <c r="AA189" s="3">
        <f t="shared" si="166"/>
        <v>0</v>
      </c>
      <c r="AB189" s="3">
        <f t="shared" si="166"/>
        <v>0</v>
      </c>
      <c r="AC189" s="3">
        <f t="shared" si="166"/>
        <v>0</v>
      </c>
      <c r="AD189" s="3">
        <f t="shared" si="166"/>
        <v>0</v>
      </c>
      <c r="AE189" s="3">
        <f t="shared" si="166"/>
        <v>0</v>
      </c>
      <c r="AF189" s="3">
        <f t="shared" si="166"/>
        <v>0</v>
      </c>
      <c r="AG189" s="3">
        <f t="shared" si="166"/>
        <v>0</v>
      </c>
      <c r="AH189" s="3">
        <f t="shared" si="166"/>
        <v>0</v>
      </c>
      <c r="AI189" s="3">
        <f t="shared" si="166"/>
        <v>0</v>
      </c>
      <c r="AJ189" s="3">
        <f t="shared" si="166"/>
        <v>0</v>
      </c>
      <c r="AK189" s="3">
        <f t="shared" si="166"/>
        <v>0</v>
      </c>
      <c r="AL189" s="3">
        <f t="shared" si="166"/>
        <v>0</v>
      </c>
      <c r="AM189" s="3">
        <f t="shared" si="166"/>
        <v>0</v>
      </c>
      <c r="AN189" s="3">
        <f t="shared" si="166"/>
        <v>0</v>
      </c>
      <c r="AO189" s="3">
        <f t="shared" si="166"/>
        <v>0</v>
      </c>
      <c r="AP189" s="3">
        <f t="shared" si="166"/>
        <v>0</v>
      </c>
      <c r="AQ189" s="3">
        <f t="shared" si="167"/>
        <v>0</v>
      </c>
      <c r="AR189" s="3">
        <f t="shared" si="167"/>
        <v>0</v>
      </c>
      <c r="AS189" s="3">
        <f t="shared" si="167"/>
        <v>0</v>
      </c>
      <c r="AT189" s="3">
        <f t="shared" si="167"/>
        <v>0</v>
      </c>
      <c r="AU189" s="3">
        <f t="shared" si="167"/>
        <v>0</v>
      </c>
      <c r="AV189" s="3">
        <f t="shared" si="167"/>
        <v>0</v>
      </c>
      <c r="AW189" s="3">
        <f t="shared" si="167"/>
        <v>0</v>
      </c>
      <c r="AX189" s="3">
        <f t="shared" si="167"/>
        <v>0</v>
      </c>
      <c r="AY189" s="3">
        <f t="shared" si="167"/>
        <v>0</v>
      </c>
      <c r="AZ189" s="3">
        <f t="shared" si="167"/>
        <v>0</v>
      </c>
      <c r="BA189" s="3">
        <f t="shared" si="167"/>
        <v>0</v>
      </c>
      <c r="BB189" s="3">
        <f t="shared" si="167"/>
        <v>0</v>
      </c>
      <c r="BC189" s="3">
        <f t="shared" si="167"/>
        <v>0</v>
      </c>
      <c r="BD189" s="3">
        <f t="shared" si="167"/>
        <v>0</v>
      </c>
      <c r="BE189" s="3">
        <f t="shared" si="167"/>
        <v>0</v>
      </c>
      <c r="BF189" s="3">
        <f t="shared" si="167"/>
        <v>0</v>
      </c>
      <c r="BG189" s="3">
        <f t="shared" si="168"/>
        <v>0</v>
      </c>
      <c r="BH189" s="3">
        <f t="shared" si="168"/>
        <v>0</v>
      </c>
      <c r="BI189" s="3">
        <f t="shared" si="168"/>
        <v>0</v>
      </c>
      <c r="BJ189" s="3">
        <f t="shared" si="168"/>
        <v>0</v>
      </c>
      <c r="BK189" s="3">
        <f t="shared" si="168"/>
        <v>0</v>
      </c>
      <c r="BL189" s="3">
        <f t="shared" si="168"/>
        <v>0</v>
      </c>
      <c r="BM189" s="3">
        <f t="shared" si="168"/>
        <v>0</v>
      </c>
      <c r="BN189" s="3">
        <f t="shared" si="168"/>
        <v>0</v>
      </c>
      <c r="BO189" s="3">
        <f t="shared" si="168"/>
        <v>0</v>
      </c>
      <c r="BP189" s="3">
        <f t="shared" si="168"/>
        <v>0</v>
      </c>
      <c r="BQ189" s="3">
        <f t="shared" si="168"/>
        <v>0</v>
      </c>
      <c r="BR189" s="3">
        <f t="shared" si="168"/>
        <v>0</v>
      </c>
    </row>
    <row r="190" spans="1:70" outlineLevel="1" x14ac:dyDescent="0.3">
      <c r="A190" s="7">
        <v>21</v>
      </c>
      <c r="B190" s="150" t="s">
        <v>11</v>
      </c>
      <c r="C190" s="150"/>
      <c r="D190" s="150"/>
      <c r="E190" s="150"/>
      <c r="F190" s="3">
        <v>0</v>
      </c>
      <c r="G190" s="3">
        <f t="shared" si="164"/>
        <v>0</v>
      </c>
      <c r="H190" s="3">
        <f t="shared" si="169"/>
        <v>0</v>
      </c>
      <c r="I190" s="3">
        <f t="shared" si="169"/>
        <v>0</v>
      </c>
      <c r="J190" s="3">
        <f t="shared" si="169"/>
        <v>0</v>
      </c>
      <c r="K190" s="3">
        <f t="shared" si="169"/>
        <v>0</v>
      </c>
      <c r="L190" s="3">
        <f t="shared" si="169"/>
        <v>0</v>
      </c>
      <c r="M190" s="3">
        <f t="shared" si="169"/>
        <v>0</v>
      </c>
      <c r="N190" s="3">
        <f t="shared" si="169"/>
        <v>0</v>
      </c>
      <c r="O190" s="3">
        <f t="shared" si="169"/>
        <v>0</v>
      </c>
      <c r="P190" s="3">
        <f t="shared" si="169"/>
        <v>0</v>
      </c>
      <c r="Q190" s="3">
        <f t="shared" si="169"/>
        <v>0</v>
      </c>
      <c r="R190" s="3">
        <f t="shared" si="169"/>
        <v>0</v>
      </c>
      <c r="S190" s="3">
        <f t="shared" si="169"/>
        <v>0</v>
      </c>
      <c r="T190" s="3">
        <f t="shared" si="169"/>
        <v>0</v>
      </c>
      <c r="U190" s="3">
        <f t="shared" si="169"/>
        <v>0</v>
      </c>
      <c r="V190" s="3">
        <f t="shared" si="169"/>
        <v>0</v>
      </c>
      <c r="W190" s="3">
        <f t="shared" si="169"/>
        <v>0</v>
      </c>
      <c r="X190" s="3">
        <f t="shared" si="165"/>
        <v>0</v>
      </c>
      <c r="Y190" s="3">
        <f t="shared" si="165"/>
        <v>0</v>
      </c>
      <c r="Z190" s="3">
        <f t="shared" si="165"/>
        <v>1</v>
      </c>
      <c r="AA190" s="3">
        <f t="shared" si="166"/>
        <v>0</v>
      </c>
      <c r="AB190" s="3">
        <f t="shared" si="166"/>
        <v>0</v>
      </c>
      <c r="AC190" s="3">
        <f t="shared" si="166"/>
        <v>0</v>
      </c>
      <c r="AD190" s="3">
        <f t="shared" si="166"/>
        <v>0</v>
      </c>
      <c r="AE190" s="3">
        <f t="shared" si="166"/>
        <v>0</v>
      </c>
      <c r="AF190" s="3">
        <f t="shared" si="166"/>
        <v>0</v>
      </c>
      <c r="AG190" s="3">
        <f t="shared" si="166"/>
        <v>0</v>
      </c>
      <c r="AH190" s="3">
        <f t="shared" si="166"/>
        <v>0</v>
      </c>
      <c r="AI190" s="3">
        <f t="shared" si="166"/>
        <v>0</v>
      </c>
      <c r="AJ190" s="3">
        <f t="shared" si="166"/>
        <v>0</v>
      </c>
      <c r="AK190" s="3">
        <f t="shared" si="166"/>
        <v>0</v>
      </c>
      <c r="AL190" s="3">
        <f t="shared" si="166"/>
        <v>0</v>
      </c>
      <c r="AM190" s="3">
        <f t="shared" si="166"/>
        <v>0</v>
      </c>
      <c r="AN190" s="3">
        <f t="shared" si="166"/>
        <v>0</v>
      </c>
      <c r="AO190" s="3">
        <f t="shared" si="166"/>
        <v>0</v>
      </c>
      <c r="AP190" s="3">
        <f t="shared" ref="AP190:BE205" si="170">IF(AO189=1,1,0)</f>
        <v>0</v>
      </c>
      <c r="AQ190" s="3">
        <f t="shared" si="170"/>
        <v>0</v>
      </c>
      <c r="AR190" s="3">
        <f t="shared" si="170"/>
        <v>0</v>
      </c>
      <c r="AS190" s="3">
        <f t="shared" si="170"/>
        <v>0</v>
      </c>
      <c r="AT190" s="3">
        <f t="shared" si="170"/>
        <v>0</v>
      </c>
      <c r="AU190" s="3">
        <f t="shared" si="170"/>
        <v>0</v>
      </c>
      <c r="AV190" s="3">
        <f t="shared" si="170"/>
        <v>0</v>
      </c>
      <c r="AW190" s="3">
        <f t="shared" si="170"/>
        <v>0</v>
      </c>
      <c r="AX190" s="3">
        <f t="shared" si="170"/>
        <v>0</v>
      </c>
      <c r="AY190" s="3">
        <f t="shared" si="170"/>
        <v>0</v>
      </c>
      <c r="AZ190" s="3">
        <f t="shared" si="170"/>
        <v>0</v>
      </c>
      <c r="BA190" s="3">
        <f t="shared" si="170"/>
        <v>0</v>
      </c>
      <c r="BB190" s="3">
        <f t="shared" si="170"/>
        <v>0</v>
      </c>
      <c r="BC190" s="3">
        <f t="shared" si="170"/>
        <v>0</v>
      </c>
      <c r="BD190" s="3">
        <f t="shared" si="170"/>
        <v>0</v>
      </c>
      <c r="BE190" s="3">
        <f t="shared" si="170"/>
        <v>0</v>
      </c>
      <c r="BF190" s="3">
        <f t="shared" si="167"/>
        <v>0</v>
      </c>
      <c r="BG190" s="3">
        <f t="shared" si="168"/>
        <v>0</v>
      </c>
      <c r="BH190" s="3">
        <f t="shared" si="168"/>
        <v>0</v>
      </c>
      <c r="BI190" s="3">
        <f t="shared" si="168"/>
        <v>0</v>
      </c>
      <c r="BJ190" s="3">
        <f t="shared" si="168"/>
        <v>0</v>
      </c>
      <c r="BK190" s="3">
        <f t="shared" si="168"/>
        <v>0</v>
      </c>
      <c r="BL190" s="3">
        <f t="shared" si="168"/>
        <v>0</v>
      </c>
      <c r="BM190" s="3">
        <f t="shared" si="168"/>
        <v>0</v>
      </c>
      <c r="BN190" s="3">
        <f t="shared" si="168"/>
        <v>0</v>
      </c>
      <c r="BO190" s="3">
        <f t="shared" si="168"/>
        <v>0</v>
      </c>
      <c r="BP190" s="3">
        <f t="shared" si="168"/>
        <v>0</v>
      </c>
      <c r="BQ190" s="3">
        <f t="shared" si="168"/>
        <v>0</v>
      </c>
      <c r="BR190" s="3">
        <f t="shared" si="168"/>
        <v>0</v>
      </c>
    </row>
    <row r="191" spans="1:70" outlineLevel="1" x14ac:dyDescent="0.3">
      <c r="A191" s="7">
        <v>22</v>
      </c>
      <c r="B191" s="150" t="s">
        <v>132</v>
      </c>
      <c r="C191" s="150"/>
      <c r="D191" s="150"/>
      <c r="E191" s="150"/>
      <c r="F191" s="3">
        <v>0</v>
      </c>
      <c r="G191" s="3">
        <f t="shared" si="164"/>
        <v>0</v>
      </c>
      <c r="H191" s="3">
        <f t="shared" si="169"/>
        <v>0</v>
      </c>
      <c r="I191" s="3">
        <f t="shared" si="169"/>
        <v>0</v>
      </c>
      <c r="J191" s="3">
        <f t="shared" si="169"/>
        <v>0</v>
      </c>
      <c r="K191" s="3">
        <f t="shared" si="169"/>
        <v>0</v>
      </c>
      <c r="L191" s="3">
        <f t="shared" si="169"/>
        <v>0</v>
      </c>
      <c r="M191" s="3">
        <f t="shared" si="169"/>
        <v>0</v>
      </c>
      <c r="N191" s="3">
        <f t="shared" si="169"/>
        <v>0</v>
      </c>
      <c r="O191" s="3">
        <f t="shared" si="169"/>
        <v>0</v>
      </c>
      <c r="P191" s="3">
        <f t="shared" si="169"/>
        <v>0</v>
      </c>
      <c r="Q191" s="3">
        <f t="shared" si="169"/>
        <v>0</v>
      </c>
      <c r="R191" s="3">
        <f t="shared" si="169"/>
        <v>0</v>
      </c>
      <c r="S191" s="3">
        <f t="shared" si="169"/>
        <v>0</v>
      </c>
      <c r="T191" s="3">
        <f t="shared" si="169"/>
        <v>0</v>
      </c>
      <c r="U191" s="3">
        <f t="shared" si="169"/>
        <v>0</v>
      </c>
      <c r="V191" s="3">
        <f t="shared" si="169"/>
        <v>0</v>
      </c>
      <c r="W191" s="3">
        <f t="shared" ref="W191:AL206" si="171">IF(V190=1,1,0)</f>
        <v>0</v>
      </c>
      <c r="X191" s="3">
        <f t="shared" si="171"/>
        <v>0</v>
      </c>
      <c r="Y191" s="3">
        <f t="shared" si="171"/>
        <v>0</v>
      </c>
      <c r="Z191" s="3">
        <f t="shared" si="171"/>
        <v>0</v>
      </c>
      <c r="AA191" s="3">
        <f t="shared" si="171"/>
        <v>1</v>
      </c>
      <c r="AB191" s="3">
        <f t="shared" si="171"/>
        <v>0</v>
      </c>
      <c r="AC191" s="3">
        <f t="shared" si="171"/>
        <v>0</v>
      </c>
      <c r="AD191" s="3">
        <f t="shared" si="171"/>
        <v>0</v>
      </c>
      <c r="AE191" s="3">
        <f t="shared" si="171"/>
        <v>0</v>
      </c>
      <c r="AF191" s="3">
        <f t="shared" si="171"/>
        <v>0</v>
      </c>
      <c r="AG191" s="3">
        <f t="shared" si="171"/>
        <v>0</v>
      </c>
      <c r="AH191" s="3">
        <f t="shared" si="171"/>
        <v>0</v>
      </c>
      <c r="AI191" s="3">
        <f t="shared" si="171"/>
        <v>0</v>
      </c>
      <c r="AJ191" s="3">
        <f t="shared" si="171"/>
        <v>0</v>
      </c>
      <c r="AK191" s="3">
        <f t="shared" si="171"/>
        <v>0</v>
      </c>
      <c r="AL191" s="3">
        <f t="shared" si="171"/>
        <v>0</v>
      </c>
      <c r="AM191" s="3">
        <f t="shared" ref="AM191:BB206" si="172">IF(AL190=1,1,0)</f>
        <v>0</v>
      </c>
      <c r="AN191" s="3">
        <f t="shared" si="172"/>
        <v>0</v>
      </c>
      <c r="AO191" s="3">
        <f t="shared" si="172"/>
        <v>0</v>
      </c>
      <c r="AP191" s="3">
        <f t="shared" si="172"/>
        <v>0</v>
      </c>
      <c r="AQ191" s="3">
        <f t="shared" si="172"/>
        <v>0</v>
      </c>
      <c r="AR191" s="3">
        <f t="shared" si="172"/>
        <v>0</v>
      </c>
      <c r="AS191" s="3">
        <f t="shared" si="172"/>
        <v>0</v>
      </c>
      <c r="AT191" s="3">
        <f t="shared" si="172"/>
        <v>0</v>
      </c>
      <c r="AU191" s="3">
        <f t="shared" si="172"/>
        <v>0</v>
      </c>
      <c r="AV191" s="3">
        <f t="shared" si="172"/>
        <v>0</v>
      </c>
      <c r="AW191" s="3">
        <f t="shared" si="172"/>
        <v>0</v>
      </c>
      <c r="AX191" s="3">
        <f t="shared" si="172"/>
        <v>0</v>
      </c>
      <c r="AY191" s="3">
        <f t="shared" si="172"/>
        <v>0</v>
      </c>
      <c r="AZ191" s="3">
        <f t="shared" si="172"/>
        <v>0</v>
      </c>
      <c r="BA191" s="3">
        <f t="shared" si="172"/>
        <v>0</v>
      </c>
      <c r="BB191" s="3">
        <f t="shared" si="172"/>
        <v>0</v>
      </c>
      <c r="BC191" s="3">
        <f t="shared" si="170"/>
        <v>0</v>
      </c>
      <c r="BD191" s="3">
        <f t="shared" si="170"/>
        <v>0</v>
      </c>
      <c r="BE191" s="3">
        <f t="shared" si="170"/>
        <v>0</v>
      </c>
      <c r="BF191" s="3">
        <f t="shared" si="167"/>
        <v>0</v>
      </c>
      <c r="BG191" s="3">
        <f t="shared" si="168"/>
        <v>0</v>
      </c>
      <c r="BH191" s="3">
        <f t="shared" si="168"/>
        <v>0</v>
      </c>
      <c r="BI191" s="3">
        <f t="shared" si="168"/>
        <v>0</v>
      </c>
      <c r="BJ191" s="3">
        <f t="shared" si="168"/>
        <v>0</v>
      </c>
      <c r="BK191" s="3">
        <f t="shared" si="168"/>
        <v>0</v>
      </c>
      <c r="BL191" s="3">
        <f t="shared" si="168"/>
        <v>0</v>
      </c>
      <c r="BM191" s="3">
        <f t="shared" si="168"/>
        <v>0</v>
      </c>
      <c r="BN191" s="3">
        <f t="shared" si="168"/>
        <v>0</v>
      </c>
      <c r="BO191" s="3">
        <f t="shared" si="168"/>
        <v>0</v>
      </c>
      <c r="BP191" s="3">
        <f t="shared" si="168"/>
        <v>0</v>
      </c>
      <c r="BQ191" s="3">
        <f t="shared" si="168"/>
        <v>0</v>
      </c>
      <c r="BR191" s="3">
        <f t="shared" si="168"/>
        <v>0</v>
      </c>
    </row>
    <row r="192" spans="1:70" outlineLevel="1" x14ac:dyDescent="0.3">
      <c r="A192" s="7">
        <v>23</v>
      </c>
      <c r="B192" s="150" t="s">
        <v>133</v>
      </c>
      <c r="C192" s="150"/>
      <c r="D192" s="150"/>
      <c r="E192" s="150"/>
      <c r="F192" s="3">
        <v>0</v>
      </c>
      <c r="G192" s="3">
        <f t="shared" si="164"/>
        <v>0</v>
      </c>
      <c r="H192" s="3">
        <f t="shared" ref="H192:W207" si="173">IF(G191=1,1,0)</f>
        <v>0</v>
      </c>
      <c r="I192" s="3">
        <f t="shared" si="173"/>
        <v>0</v>
      </c>
      <c r="J192" s="3">
        <f t="shared" si="173"/>
        <v>0</v>
      </c>
      <c r="K192" s="3">
        <f t="shared" si="173"/>
        <v>0</v>
      </c>
      <c r="L192" s="3">
        <f t="shared" si="173"/>
        <v>0</v>
      </c>
      <c r="M192" s="3">
        <f t="shared" si="173"/>
        <v>0</v>
      </c>
      <c r="N192" s="3">
        <f t="shared" si="173"/>
        <v>0</v>
      </c>
      <c r="O192" s="3">
        <f t="shared" si="173"/>
        <v>0</v>
      </c>
      <c r="P192" s="3">
        <f t="shared" si="173"/>
        <v>0</v>
      </c>
      <c r="Q192" s="3">
        <f t="shared" si="173"/>
        <v>0</v>
      </c>
      <c r="R192" s="3">
        <f t="shared" si="173"/>
        <v>0</v>
      </c>
      <c r="S192" s="3">
        <f t="shared" si="173"/>
        <v>0</v>
      </c>
      <c r="T192" s="3">
        <f t="shared" si="173"/>
        <v>0</v>
      </c>
      <c r="U192" s="3">
        <f t="shared" si="173"/>
        <v>0</v>
      </c>
      <c r="V192" s="3">
        <f t="shared" si="173"/>
        <v>0</v>
      </c>
      <c r="W192" s="3">
        <f t="shared" si="173"/>
        <v>0</v>
      </c>
      <c r="X192" s="3">
        <f t="shared" si="171"/>
        <v>0</v>
      </c>
      <c r="Y192" s="3">
        <f t="shared" si="171"/>
        <v>0</v>
      </c>
      <c r="Z192" s="3">
        <f t="shared" si="171"/>
        <v>0</v>
      </c>
      <c r="AA192" s="3">
        <f t="shared" si="171"/>
        <v>0</v>
      </c>
      <c r="AB192" s="3">
        <f t="shared" si="171"/>
        <v>1</v>
      </c>
      <c r="AC192" s="3">
        <f t="shared" si="171"/>
        <v>0</v>
      </c>
      <c r="AD192" s="3">
        <f t="shared" si="171"/>
        <v>0</v>
      </c>
      <c r="AE192" s="3">
        <f t="shared" si="171"/>
        <v>0</v>
      </c>
      <c r="AF192" s="3">
        <f t="shared" si="171"/>
        <v>0</v>
      </c>
      <c r="AG192" s="3">
        <f t="shared" si="171"/>
        <v>0</v>
      </c>
      <c r="AH192" s="3">
        <f t="shared" si="171"/>
        <v>0</v>
      </c>
      <c r="AI192" s="3">
        <f t="shared" si="171"/>
        <v>0</v>
      </c>
      <c r="AJ192" s="3">
        <f t="shared" si="171"/>
        <v>0</v>
      </c>
      <c r="AK192" s="3">
        <f t="shared" si="171"/>
        <v>0</v>
      </c>
      <c r="AL192" s="3">
        <f t="shared" si="171"/>
        <v>0</v>
      </c>
      <c r="AM192" s="3">
        <f t="shared" si="172"/>
        <v>0</v>
      </c>
      <c r="AN192" s="3">
        <f t="shared" si="172"/>
        <v>0</v>
      </c>
      <c r="AO192" s="3">
        <f t="shared" si="172"/>
        <v>0</v>
      </c>
      <c r="AP192" s="3">
        <f t="shared" si="172"/>
        <v>0</v>
      </c>
      <c r="AQ192" s="3">
        <f t="shared" si="172"/>
        <v>0</v>
      </c>
      <c r="AR192" s="3">
        <f t="shared" si="172"/>
        <v>0</v>
      </c>
      <c r="AS192" s="3">
        <f t="shared" si="172"/>
        <v>0</v>
      </c>
      <c r="AT192" s="3">
        <f t="shared" si="172"/>
        <v>0</v>
      </c>
      <c r="AU192" s="3">
        <f t="shared" si="172"/>
        <v>0</v>
      </c>
      <c r="AV192" s="3">
        <f t="shared" si="172"/>
        <v>0</v>
      </c>
      <c r="AW192" s="3">
        <f t="shared" si="172"/>
        <v>0</v>
      </c>
      <c r="AX192" s="3">
        <f t="shared" si="172"/>
        <v>0</v>
      </c>
      <c r="AY192" s="3">
        <f t="shared" si="172"/>
        <v>0</v>
      </c>
      <c r="AZ192" s="3">
        <f t="shared" si="172"/>
        <v>0</v>
      </c>
      <c r="BA192" s="3">
        <f t="shared" si="172"/>
        <v>0</v>
      </c>
      <c r="BB192" s="3">
        <f t="shared" si="172"/>
        <v>0</v>
      </c>
      <c r="BC192" s="3">
        <f t="shared" si="170"/>
        <v>0</v>
      </c>
      <c r="BD192" s="3">
        <f t="shared" si="170"/>
        <v>0</v>
      </c>
      <c r="BE192" s="3">
        <f t="shared" si="170"/>
        <v>0</v>
      </c>
      <c r="BF192" s="3">
        <f t="shared" si="167"/>
        <v>0</v>
      </c>
      <c r="BG192" s="3">
        <f t="shared" si="168"/>
        <v>0</v>
      </c>
      <c r="BH192" s="3">
        <f t="shared" si="168"/>
        <v>0</v>
      </c>
      <c r="BI192" s="3">
        <f t="shared" si="168"/>
        <v>0</v>
      </c>
      <c r="BJ192" s="3">
        <f t="shared" si="168"/>
        <v>0</v>
      </c>
      <c r="BK192" s="3">
        <f t="shared" si="168"/>
        <v>0</v>
      </c>
      <c r="BL192" s="3">
        <f t="shared" si="168"/>
        <v>0</v>
      </c>
      <c r="BM192" s="3">
        <f t="shared" si="168"/>
        <v>0</v>
      </c>
      <c r="BN192" s="3">
        <f t="shared" si="168"/>
        <v>0</v>
      </c>
      <c r="BO192" s="3">
        <f t="shared" si="168"/>
        <v>0</v>
      </c>
      <c r="BP192" s="3">
        <f t="shared" si="168"/>
        <v>0</v>
      </c>
      <c r="BQ192" s="3">
        <f t="shared" si="168"/>
        <v>0</v>
      </c>
      <c r="BR192" s="3">
        <f t="shared" si="168"/>
        <v>0</v>
      </c>
    </row>
    <row r="193" spans="1:70" outlineLevel="1" x14ac:dyDescent="0.3">
      <c r="A193" s="7">
        <v>24</v>
      </c>
      <c r="B193" s="152" t="s">
        <v>286</v>
      </c>
      <c r="C193" s="151"/>
      <c r="D193" s="151"/>
      <c r="E193" s="153"/>
      <c r="F193" s="3">
        <v>0</v>
      </c>
      <c r="G193" s="3">
        <f t="shared" si="164"/>
        <v>0</v>
      </c>
      <c r="H193" s="3">
        <f t="shared" si="173"/>
        <v>0</v>
      </c>
      <c r="I193" s="3">
        <f t="shared" si="173"/>
        <v>0</v>
      </c>
      <c r="J193" s="3">
        <f t="shared" si="173"/>
        <v>0</v>
      </c>
      <c r="K193" s="3">
        <f t="shared" si="173"/>
        <v>0</v>
      </c>
      <c r="L193" s="3">
        <f t="shared" si="173"/>
        <v>0</v>
      </c>
      <c r="M193" s="3">
        <f t="shared" si="173"/>
        <v>0</v>
      </c>
      <c r="N193" s="3">
        <f t="shared" si="173"/>
        <v>0</v>
      </c>
      <c r="O193" s="3">
        <f t="shared" si="173"/>
        <v>0</v>
      </c>
      <c r="P193" s="3">
        <f t="shared" si="173"/>
        <v>0</v>
      </c>
      <c r="Q193" s="3">
        <f t="shared" si="173"/>
        <v>0</v>
      </c>
      <c r="R193" s="3">
        <f t="shared" si="173"/>
        <v>0</v>
      </c>
      <c r="S193" s="3">
        <f t="shared" si="173"/>
        <v>0</v>
      </c>
      <c r="T193" s="3">
        <f t="shared" si="173"/>
        <v>0</v>
      </c>
      <c r="U193" s="3">
        <f t="shared" si="173"/>
        <v>0</v>
      </c>
      <c r="V193" s="3">
        <f t="shared" si="173"/>
        <v>0</v>
      </c>
      <c r="W193" s="3">
        <f t="shared" si="173"/>
        <v>0</v>
      </c>
      <c r="X193" s="3">
        <f t="shared" si="171"/>
        <v>0</v>
      </c>
      <c r="Y193" s="3">
        <f t="shared" si="171"/>
        <v>0</v>
      </c>
      <c r="Z193" s="3">
        <f t="shared" si="171"/>
        <v>0</v>
      </c>
      <c r="AA193" s="3">
        <f t="shared" si="171"/>
        <v>0</v>
      </c>
      <c r="AB193" s="3">
        <f t="shared" si="171"/>
        <v>0</v>
      </c>
      <c r="AC193" s="3">
        <f t="shared" si="171"/>
        <v>1</v>
      </c>
      <c r="AD193" s="3">
        <f t="shared" si="171"/>
        <v>0</v>
      </c>
      <c r="AE193" s="3">
        <f t="shared" si="171"/>
        <v>0</v>
      </c>
      <c r="AF193" s="3">
        <f t="shared" si="171"/>
        <v>0</v>
      </c>
      <c r="AG193" s="3">
        <f t="shared" si="171"/>
        <v>0</v>
      </c>
      <c r="AH193" s="3">
        <f t="shared" si="171"/>
        <v>0</v>
      </c>
      <c r="AI193" s="3">
        <f t="shared" si="171"/>
        <v>0</v>
      </c>
      <c r="AJ193" s="3">
        <f t="shared" si="171"/>
        <v>0</v>
      </c>
      <c r="AK193" s="3">
        <f t="shared" si="171"/>
        <v>0</v>
      </c>
      <c r="AL193" s="3">
        <f t="shared" si="171"/>
        <v>0</v>
      </c>
      <c r="AM193" s="3">
        <f t="shared" si="172"/>
        <v>0</v>
      </c>
      <c r="AN193" s="3">
        <f t="shared" si="172"/>
        <v>0</v>
      </c>
      <c r="AO193" s="3">
        <f t="shared" si="172"/>
        <v>0</v>
      </c>
      <c r="AP193" s="3">
        <f t="shared" si="172"/>
        <v>0</v>
      </c>
      <c r="AQ193" s="3">
        <f t="shared" si="172"/>
        <v>0</v>
      </c>
      <c r="AR193" s="3">
        <f t="shared" si="172"/>
        <v>0</v>
      </c>
      <c r="AS193" s="3">
        <f t="shared" si="172"/>
        <v>0</v>
      </c>
      <c r="AT193" s="3">
        <f t="shared" si="172"/>
        <v>0</v>
      </c>
      <c r="AU193" s="3">
        <f t="shared" si="172"/>
        <v>0</v>
      </c>
      <c r="AV193" s="3">
        <f t="shared" si="172"/>
        <v>0</v>
      </c>
      <c r="AW193" s="3">
        <f t="shared" si="172"/>
        <v>0</v>
      </c>
      <c r="AX193" s="3">
        <f t="shared" si="172"/>
        <v>0</v>
      </c>
      <c r="AY193" s="3">
        <f t="shared" si="172"/>
        <v>0</v>
      </c>
      <c r="AZ193" s="3">
        <f t="shared" si="172"/>
        <v>0</v>
      </c>
      <c r="BA193" s="3">
        <f t="shared" si="172"/>
        <v>0</v>
      </c>
      <c r="BB193" s="3">
        <f t="shared" si="172"/>
        <v>0</v>
      </c>
      <c r="BC193" s="3">
        <f t="shared" si="170"/>
        <v>0</v>
      </c>
      <c r="BD193" s="3">
        <f t="shared" si="170"/>
        <v>0</v>
      </c>
      <c r="BE193" s="3">
        <f t="shared" si="170"/>
        <v>0</v>
      </c>
      <c r="BF193" s="3">
        <f t="shared" si="167"/>
        <v>0</v>
      </c>
      <c r="BG193" s="3">
        <f t="shared" si="168"/>
        <v>0</v>
      </c>
      <c r="BH193" s="3">
        <f t="shared" si="168"/>
        <v>0</v>
      </c>
      <c r="BI193" s="3">
        <f t="shared" si="168"/>
        <v>0</v>
      </c>
      <c r="BJ193" s="3">
        <f t="shared" si="168"/>
        <v>0</v>
      </c>
      <c r="BK193" s="3">
        <f t="shared" si="168"/>
        <v>0</v>
      </c>
      <c r="BL193" s="3">
        <f t="shared" si="168"/>
        <v>0</v>
      </c>
      <c r="BM193" s="3">
        <f t="shared" si="168"/>
        <v>0</v>
      </c>
      <c r="BN193" s="3">
        <f t="shared" si="168"/>
        <v>0</v>
      </c>
      <c r="BO193" s="3">
        <f t="shared" si="168"/>
        <v>0</v>
      </c>
      <c r="BP193" s="3">
        <f t="shared" si="168"/>
        <v>0</v>
      </c>
      <c r="BQ193" s="3">
        <f t="shared" si="168"/>
        <v>0</v>
      </c>
      <c r="BR193" s="3">
        <f t="shared" si="168"/>
        <v>0</v>
      </c>
    </row>
    <row r="194" spans="1:70" outlineLevel="1" x14ac:dyDescent="0.3">
      <c r="A194" s="7">
        <v>25</v>
      </c>
      <c r="B194" s="152" t="s">
        <v>287</v>
      </c>
      <c r="C194" s="151"/>
      <c r="D194" s="151"/>
      <c r="E194" s="153"/>
      <c r="F194" s="3">
        <v>0</v>
      </c>
      <c r="G194" s="3">
        <f t="shared" si="164"/>
        <v>0</v>
      </c>
      <c r="H194" s="3">
        <f t="shared" si="173"/>
        <v>0</v>
      </c>
      <c r="I194" s="3">
        <f t="shared" si="173"/>
        <v>0</v>
      </c>
      <c r="J194" s="3">
        <f t="shared" si="173"/>
        <v>0</v>
      </c>
      <c r="K194" s="3">
        <f t="shared" si="173"/>
        <v>0</v>
      </c>
      <c r="L194" s="3">
        <f t="shared" si="173"/>
        <v>0</v>
      </c>
      <c r="M194" s="3">
        <f t="shared" si="173"/>
        <v>0</v>
      </c>
      <c r="N194" s="3">
        <f t="shared" si="173"/>
        <v>0</v>
      </c>
      <c r="O194" s="3">
        <f t="shared" si="173"/>
        <v>0</v>
      </c>
      <c r="P194" s="3">
        <f t="shared" si="173"/>
        <v>0</v>
      </c>
      <c r="Q194" s="3">
        <f t="shared" si="173"/>
        <v>0</v>
      </c>
      <c r="R194" s="3">
        <f t="shared" si="173"/>
        <v>0</v>
      </c>
      <c r="S194" s="3">
        <f t="shared" si="173"/>
        <v>0</v>
      </c>
      <c r="T194" s="3">
        <f t="shared" si="173"/>
        <v>0</v>
      </c>
      <c r="U194" s="3">
        <f t="shared" si="173"/>
        <v>0</v>
      </c>
      <c r="V194" s="3">
        <f t="shared" si="173"/>
        <v>0</v>
      </c>
      <c r="W194" s="3">
        <f t="shared" si="173"/>
        <v>0</v>
      </c>
      <c r="X194" s="3">
        <f t="shared" si="171"/>
        <v>0</v>
      </c>
      <c r="Y194" s="3">
        <f t="shared" si="171"/>
        <v>0</v>
      </c>
      <c r="Z194" s="3">
        <f t="shared" si="171"/>
        <v>0</v>
      </c>
      <c r="AA194" s="3">
        <f t="shared" si="171"/>
        <v>0</v>
      </c>
      <c r="AB194" s="3">
        <f t="shared" si="171"/>
        <v>0</v>
      </c>
      <c r="AC194" s="3">
        <f t="shared" si="171"/>
        <v>0</v>
      </c>
      <c r="AD194" s="3">
        <f t="shared" si="171"/>
        <v>1</v>
      </c>
      <c r="AE194" s="3">
        <f t="shared" si="171"/>
        <v>0</v>
      </c>
      <c r="AF194" s="3">
        <f t="shared" si="171"/>
        <v>0</v>
      </c>
      <c r="AG194" s="3">
        <f t="shared" si="171"/>
        <v>0</v>
      </c>
      <c r="AH194" s="3">
        <f t="shared" si="171"/>
        <v>0</v>
      </c>
      <c r="AI194" s="3">
        <f t="shared" si="171"/>
        <v>0</v>
      </c>
      <c r="AJ194" s="3">
        <f t="shared" si="171"/>
        <v>0</v>
      </c>
      <c r="AK194" s="3">
        <f t="shared" si="171"/>
        <v>0</v>
      </c>
      <c r="AL194" s="3">
        <f t="shared" si="171"/>
        <v>0</v>
      </c>
      <c r="AM194" s="3">
        <f t="shared" si="172"/>
        <v>0</v>
      </c>
      <c r="AN194" s="3">
        <f t="shared" si="172"/>
        <v>0</v>
      </c>
      <c r="AO194" s="3">
        <f t="shared" si="172"/>
        <v>0</v>
      </c>
      <c r="AP194" s="3">
        <f t="shared" si="172"/>
        <v>0</v>
      </c>
      <c r="AQ194" s="3">
        <f t="shared" si="172"/>
        <v>0</v>
      </c>
      <c r="AR194" s="3">
        <f t="shared" si="172"/>
        <v>0</v>
      </c>
      <c r="AS194" s="3">
        <f t="shared" si="172"/>
        <v>0</v>
      </c>
      <c r="AT194" s="3">
        <f t="shared" si="172"/>
        <v>0</v>
      </c>
      <c r="AU194" s="3">
        <f t="shared" si="172"/>
        <v>0</v>
      </c>
      <c r="AV194" s="3">
        <f t="shared" si="172"/>
        <v>0</v>
      </c>
      <c r="AW194" s="3">
        <f t="shared" si="172"/>
        <v>0</v>
      </c>
      <c r="AX194" s="3">
        <f t="shared" si="172"/>
        <v>0</v>
      </c>
      <c r="AY194" s="3">
        <f t="shared" si="172"/>
        <v>0</v>
      </c>
      <c r="AZ194" s="3">
        <f t="shared" si="172"/>
        <v>0</v>
      </c>
      <c r="BA194" s="3">
        <f t="shared" si="172"/>
        <v>0</v>
      </c>
      <c r="BB194" s="3">
        <f t="shared" si="172"/>
        <v>0</v>
      </c>
      <c r="BC194" s="3">
        <f t="shared" si="170"/>
        <v>0</v>
      </c>
      <c r="BD194" s="3">
        <f t="shared" si="170"/>
        <v>0</v>
      </c>
      <c r="BE194" s="3">
        <f t="shared" si="170"/>
        <v>0</v>
      </c>
      <c r="BF194" s="3">
        <f t="shared" si="167"/>
        <v>0</v>
      </c>
      <c r="BG194" s="3">
        <f t="shared" si="168"/>
        <v>0</v>
      </c>
      <c r="BH194" s="3">
        <f t="shared" si="168"/>
        <v>0</v>
      </c>
      <c r="BI194" s="3">
        <f t="shared" si="168"/>
        <v>0</v>
      </c>
      <c r="BJ194" s="3">
        <f t="shared" si="168"/>
        <v>0</v>
      </c>
      <c r="BK194" s="3">
        <f t="shared" si="168"/>
        <v>0</v>
      </c>
      <c r="BL194" s="3">
        <f t="shared" si="168"/>
        <v>0</v>
      </c>
      <c r="BM194" s="3">
        <f t="shared" si="168"/>
        <v>0</v>
      </c>
      <c r="BN194" s="3">
        <f t="shared" si="168"/>
        <v>0</v>
      </c>
      <c r="BO194" s="3">
        <f t="shared" si="168"/>
        <v>0</v>
      </c>
      <c r="BP194" s="3">
        <f t="shared" si="168"/>
        <v>0</v>
      </c>
      <c r="BQ194" s="3">
        <f t="shared" si="168"/>
        <v>0</v>
      </c>
      <c r="BR194" s="3">
        <f t="shared" si="168"/>
        <v>0</v>
      </c>
    </row>
    <row r="195" spans="1:70" outlineLevel="1" x14ac:dyDescent="0.3">
      <c r="A195" s="7">
        <v>26</v>
      </c>
      <c r="B195" s="152" t="s">
        <v>288</v>
      </c>
      <c r="C195" s="151"/>
      <c r="D195" s="151"/>
      <c r="E195" s="153"/>
      <c r="F195" s="3">
        <v>0</v>
      </c>
      <c r="G195" s="3">
        <f t="shared" si="164"/>
        <v>0</v>
      </c>
      <c r="H195" s="3">
        <f t="shared" si="173"/>
        <v>0</v>
      </c>
      <c r="I195" s="3">
        <f t="shared" si="173"/>
        <v>0</v>
      </c>
      <c r="J195" s="3">
        <f t="shared" si="173"/>
        <v>0</v>
      </c>
      <c r="K195" s="3">
        <f t="shared" si="173"/>
        <v>0</v>
      </c>
      <c r="L195" s="3">
        <f t="shared" si="173"/>
        <v>0</v>
      </c>
      <c r="M195" s="3">
        <f t="shared" si="173"/>
        <v>0</v>
      </c>
      <c r="N195" s="3">
        <f t="shared" si="173"/>
        <v>0</v>
      </c>
      <c r="O195" s="3">
        <f t="shared" si="173"/>
        <v>0</v>
      </c>
      <c r="P195" s="3">
        <f t="shared" si="173"/>
        <v>0</v>
      </c>
      <c r="Q195" s="3">
        <f t="shared" si="173"/>
        <v>0</v>
      </c>
      <c r="R195" s="3">
        <f t="shared" si="173"/>
        <v>0</v>
      </c>
      <c r="S195" s="3">
        <f t="shared" si="173"/>
        <v>0</v>
      </c>
      <c r="T195" s="3">
        <f t="shared" si="173"/>
        <v>0</v>
      </c>
      <c r="U195" s="3">
        <f t="shared" si="173"/>
        <v>0</v>
      </c>
      <c r="V195" s="3">
        <f t="shared" si="173"/>
        <v>0</v>
      </c>
      <c r="W195" s="3">
        <f t="shared" si="173"/>
        <v>0</v>
      </c>
      <c r="X195" s="3">
        <f t="shared" si="171"/>
        <v>0</v>
      </c>
      <c r="Y195" s="3">
        <f t="shared" si="171"/>
        <v>0</v>
      </c>
      <c r="Z195" s="3">
        <f t="shared" si="171"/>
        <v>0</v>
      </c>
      <c r="AA195" s="3">
        <f t="shared" si="171"/>
        <v>0</v>
      </c>
      <c r="AB195" s="3">
        <f t="shared" si="171"/>
        <v>0</v>
      </c>
      <c r="AC195" s="3">
        <f t="shared" si="171"/>
        <v>0</v>
      </c>
      <c r="AD195" s="3">
        <f t="shared" si="171"/>
        <v>0</v>
      </c>
      <c r="AE195" s="3">
        <f t="shared" si="171"/>
        <v>1</v>
      </c>
      <c r="AF195" s="3">
        <f t="shared" si="171"/>
        <v>0</v>
      </c>
      <c r="AG195" s="3">
        <f t="shared" si="171"/>
        <v>0</v>
      </c>
      <c r="AH195" s="3">
        <f t="shared" si="171"/>
        <v>0</v>
      </c>
      <c r="AI195" s="3">
        <f t="shared" si="171"/>
        <v>0</v>
      </c>
      <c r="AJ195" s="3">
        <f t="shared" si="171"/>
        <v>0</v>
      </c>
      <c r="AK195" s="3">
        <f t="shared" si="171"/>
        <v>0</v>
      </c>
      <c r="AL195" s="3">
        <f t="shared" si="171"/>
        <v>0</v>
      </c>
      <c r="AM195" s="3">
        <f t="shared" si="172"/>
        <v>0</v>
      </c>
      <c r="AN195" s="3">
        <f t="shared" si="172"/>
        <v>0</v>
      </c>
      <c r="AO195" s="3">
        <f t="shared" si="172"/>
        <v>0</v>
      </c>
      <c r="AP195" s="3">
        <f t="shared" si="172"/>
        <v>0</v>
      </c>
      <c r="AQ195" s="3">
        <f t="shared" si="172"/>
        <v>0</v>
      </c>
      <c r="AR195" s="3">
        <f t="shared" si="172"/>
        <v>0</v>
      </c>
      <c r="AS195" s="3">
        <f t="shared" si="172"/>
        <v>0</v>
      </c>
      <c r="AT195" s="3">
        <f t="shared" si="172"/>
        <v>0</v>
      </c>
      <c r="AU195" s="3">
        <f t="shared" si="172"/>
        <v>0</v>
      </c>
      <c r="AV195" s="3">
        <f t="shared" si="172"/>
        <v>0</v>
      </c>
      <c r="AW195" s="3">
        <f t="shared" si="172"/>
        <v>0</v>
      </c>
      <c r="AX195" s="3">
        <f t="shared" si="172"/>
        <v>0</v>
      </c>
      <c r="AY195" s="3">
        <f t="shared" si="172"/>
        <v>0</v>
      </c>
      <c r="AZ195" s="3">
        <f t="shared" si="172"/>
        <v>0</v>
      </c>
      <c r="BA195" s="3">
        <f t="shared" si="172"/>
        <v>0</v>
      </c>
      <c r="BB195" s="3">
        <f t="shared" si="172"/>
        <v>0</v>
      </c>
      <c r="BC195" s="3">
        <f t="shared" si="170"/>
        <v>0</v>
      </c>
      <c r="BD195" s="3">
        <f t="shared" si="170"/>
        <v>0</v>
      </c>
      <c r="BE195" s="3">
        <f t="shared" si="170"/>
        <v>0</v>
      </c>
      <c r="BF195" s="3">
        <f t="shared" si="167"/>
        <v>0</v>
      </c>
      <c r="BG195" s="3">
        <f t="shared" si="168"/>
        <v>0</v>
      </c>
      <c r="BH195" s="3">
        <f t="shared" si="168"/>
        <v>0</v>
      </c>
      <c r="BI195" s="3">
        <f t="shared" si="168"/>
        <v>0</v>
      </c>
      <c r="BJ195" s="3">
        <f t="shared" si="168"/>
        <v>0</v>
      </c>
      <c r="BK195" s="3">
        <f t="shared" si="168"/>
        <v>0</v>
      </c>
      <c r="BL195" s="3">
        <f t="shared" si="168"/>
        <v>0</v>
      </c>
      <c r="BM195" s="3">
        <f t="shared" si="168"/>
        <v>0</v>
      </c>
      <c r="BN195" s="3">
        <f t="shared" si="168"/>
        <v>0</v>
      </c>
      <c r="BO195" s="3">
        <f t="shared" si="168"/>
        <v>0</v>
      </c>
      <c r="BP195" s="3">
        <f t="shared" si="168"/>
        <v>0</v>
      </c>
      <c r="BQ195" s="3">
        <f t="shared" si="168"/>
        <v>0</v>
      </c>
      <c r="BR195" s="3">
        <f t="shared" si="168"/>
        <v>0</v>
      </c>
    </row>
    <row r="196" spans="1:70" outlineLevel="1" x14ac:dyDescent="0.3">
      <c r="A196" s="7">
        <v>27</v>
      </c>
      <c r="B196" s="150" t="s">
        <v>134</v>
      </c>
      <c r="C196" s="150"/>
      <c r="D196" s="150"/>
      <c r="E196" s="150"/>
      <c r="F196" s="3">
        <v>0</v>
      </c>
      <c r="G196" s="3">
        <f t="shared" si="164"/>
        <v>0</v>
      </c>
      <c r="H196" s="3">
        <f t="shared" si="173"/>
        <v>0</v>
      </c>
      <c r="I196" s="3">
        <f t="shared" si="173"/>
        <v>0</v>
      </c>
      <c r="J196" s="3">
        <f t="shared" si="173"/>
        <v>0</v>
      </c>
      <c r="K196" s="3">
        <f t="shared" si="173"/>
        <v>0</v>
      </c>
      <c r="L196" s="3">
        <f t="shared" si="173"/>
        <v>0</v>
      </c>
      <c r="M196" s="3">
        <f t="shared" si="173"/>
        <v>0</v>
      </c>
      <c r="N196" s="3">
        <f t="shared" si="173"/>
        <v>0</v>
      </c>
      <c r="O196" s="3">
        <f t="shared" si="173"/>
        <v>0</v>
      </c>
      <c r="P196" s="3">
        <f t="shared" si="173"/>
        <v>0</v>
      </c>
      <c r="Q196" s="3">
        <f t="shared" si="173"/>
        <v>0</v>
      </c>
      <c r="R196" s="3">
        <f t="shared" si="173"/>
        <v>0</v>
      </c>
      <c r="S196" s="3">
        <f t="shared" si="173"/>
        <v>0</v>
      </c>
      <c r="T196" s="3">
        <f t="shared" si="173"/>
        <v>0</v>
      </c>
      <c r="U196" s="3">
        <f t="shared" si="173"/>
        <v>0</v>
      </c>
      <c r="V196" s="3">
        <f t="shared" si="173"/>
        <v>0</v>
      </c>
      <c r="W196" s="3">
        <f t="shared" si="173"/>
        <v>0</v>
      </c>
      <c r="X196" s="3">
        <f t="shared" si="171"/>
        <v>0</v>
      </c>
      <c r="Y196" s="3">
        <f t="shared" si="171"/>
        <v>0</v>
      </c>
      <c r="Z196" s="3">
        <f t="shared" si="171"/>
        <v>0</v>
      </c>
      <c r="AA196" s="3">
        <f t="shared" si="171"/>
        <v>0</v>
      </c>
      <c r="AB196" s="3">
        <f t="shared" si="171"/>
        <v>0</v>
      </c>
      <c r="AC196" s="3">
        <f t="shared" si="171"/>
        <v>0</v>
      </c>
      <c r="AD196" s="3">
        <f t="shared" si="171"/>
        <v>0</v>
      </c>
      <c r="AE196" s="3">
        <f t="shared" si="171"/>
        <v>0</v>
      </c>
      <c r="AF196" s="3">
        <f t="shared" si="171"/>
        <v>1</v>
      </c>
      <c r="AG196" s="3">
        <f t="shared" si="171"/>
        <v>0</v>
      </c>
      <c r="AH196" s="3">
        <f t="shared" si="171"/>
        <v>0</v>
      </c>
      <c r="AI196" s="3">
        <f t="shared" si="171"/>
        <v>0</v>
      </c>
      <c r="AJ196" s="3">
        <f t="shared" si="171"/>
        <v>0</v>
      </c>
      <c r="AK196" s="3">
        <f t="shared" si="171"/>
        <v>0</v>
      </c>
      <c r="AL196" s="3">
        <f t="shared" si="171"/>
        <v>0</v>
      </c>
      <c r="AM196" s="3">
        <f t="shared" si="172"/>
        <v>0</v>
      </c>
      <c r="AN196" s="3">
        <f t="shared" si="172"/>
        <v>0</v>
      </c>
      <c r="AO196" s="3">
        <f t="shared" si="172"/>
        <v>0</v>
      </c>
      <c r="AP196" s="3">
        <f t="shared" si="172"/>
        <v>0</v>
      </c>
      <c r="AQ196" s="3">
        <f t="shared" si="172"/>
        <v>0</v>
      </c>
      <c r="AR196" s="3">
        <f t="shared" si="172"/>
        <v>0</v>
      </c>
      <c r="AS196" s="3">
        <f t="shared" si="172"/>
        <v>0</v>
      </c>
      <c r="AT196" s="3">
        <f t="shared" si="172"/>
        <v>0</v>
      </c>
      <c r="AU196" s="3">
        <f t="shared" si="172"/>
        <v>0</v>
      </c>
      <c r="AV196" s="3">
        <f t="shared" si="172"/>
        <v>0</v>
      </c>
      <c r="AW196" s="3">
        <f t="shared" si="172"/>
        <v>0</v>
      </c>
      <c r="AX196" s="3">
        <f t="shared" si="172"/>
        <v>0</v>
      </c>
      <c r="AY196" s="3">
        <f t="shared" si="172"/>
        <v>0</v>
      </c>
      <c r="AZ196" s="3">
        <f t="shared" si="172"/>
        <v>0</v>
      </c>
      <c r="BA196" s="3">
        <f t="shared" si="172"/>
        <v>0</v>
      </c>
      <c r="BB196" s="3">
        <f t="shared" si="172"/>
        <v>0</v>
      </c>
      <c r="BC196" s="3">
        <f t="shared" si="170"/>
        <v>0</v>
      </c>
      <c r="BD196" s="3">
        <f t="shared" si="170"/>
        <v>0</v>
      </c>
      <c r="BE196" s="3">
        <f t="shared" si="170"/>
        <v>0</v>
      </c>
      <c r="BF196" s="3">
        <f t="shared" si="167"/>
        <v>0</v>
      </c>
      <c r="BG196" s="3">
        <f t="shared" si="168"/>
        <v>0</v>
      </c>
      <c r="BH196" s="3">
        <f t="shared" si="168"/>
        <v>0</v>
      </c>
      <c r="BI196" s="3">
        <f t="shared" si="168"/>
        <v>0</v>
      </c>
      <c r="BJ196" s="3">
        <f t="shared" ref="BJ196:BR196" si="174">IF(BI195=1,1,0)</f>
        <v>0</v>
      </c>
      <c r="BK196" s="3">
        <f t="shared" si="174"/>
        <v>0</v>
      </c>
      <c r="BL196" s="3">
        <f t="shared" si="174"/>
        <v>0</v>
      </c>
      <c r="BM196" s="3">
        <f t="shared" si="174"/>
        <v>0</v>
      </c>
      <c r="BN196" s="3">
        <f t="shared" si="174"/>
        <v>0</v>
      </c>
      <c r="BO196" s="3">
        <f t="shared" si="174"/>
        <v>0</v>
      </c>
      <c r="BP196" s="3">
        <f t="shared" si="174"/>
        <v>0</v>
      </c>
      <c r="BQ196" s="3">
        <f t="shared" si="174"/>
        <v>0</v>
      </c>
      <c r="BR196" s="3">
        <f t="shared" si="174"/>
        <v>0</v>
      </c>
    </row>
    <row r="197" spans="1:70" outlineLevel="1" x14ac:dyDescent="0.3">
      <c r="A197" s="7">
        <v>28</v>
      </c>
      <c r="B197" s="150" t="s">
        <v>114</v>
      </c>
      <c r="C197" s="150"/>
      <c r="D197" s="150"/>
      <c r="E197" s="150"/>
      <c r="F197" s="3">
        <v>0</v>
      </c>
      <c r="G197" s="3">
        <f t="shared" si="164"/>
        <v>0</v>
      </c>
      <c r="H197" s="3">
        <f t="shared" si="173"/>
        <v>0</v>
      </c>
      <c r="I197" s="3">
        <f t="shared" si="173"/>
        <v>0</v>
      </c>
      <c r="J197" s="3">
        <f t="shared" si="173"/>
        <v>0</v>
      </c>
      <c r="K197" s="3">
        <f t="shared" si="173"/>
        <v>0</v>
      </c>
      <c r="L197" s="3">
        <f t="shared" si="173"/>
        <v>0</v>
      </c>
      <c r="M197" s="3">
        <f t="shared" si="173"/>
        <v>0</v>
      </c>
      <c r="N197" s="3">
        <f t="shared" si="173"/>
        <v>0</v>
      </c>
      <c r="O197" s="3">
        <f t="shared" si="173"/>
        <v>0</v>
      </c>
      <c r="P197" s="3">
        <f t="shared" si="173"/>
        <v>0</v>
      </c>
      <c r="Q197" s="3">
        <f t="shared" si="173"/>
        <v>0</v>
      </c>
      <c r="R197" s="3">
        <f t="shared" si="173"/>
        <v>0</v>
      </c>
      <c r="S197" s="3">
        <f t="shared" si="173"/>
        <v>0</v>
      </c>
      <c r="T197" s="3">
        <f t="shared" si="173"/>
        <v>0</v>
      </c>
      <c r="U197" s="3">
        <f t="shared" si="173"/>
        <v>0</v>
      </c>
      <c r="V197" s="3">
        <f t="shared" si="173"/>
        <v>0</v>
      </c>
      <c r="W197" s="3">
        <f t="shared" si="173"/>
        <v>0</v>
      </c>
      <c r="X197" s="3">
        <f t="shared" si="171"/>
        <v>0</v>
      </c>
      <c r="Y197" s="3">
        <f t="shared" si="171"/>
        <v>0</v>
      </c>
      <c r="Z197" s="3">
        <f t="shared" si="171"/>
        <v>0</v>
      </c>
      <c r="AA197" s="3">
        <f t="shared" si="171"/>
        <v>0</v>
      </c>
      <c r="AB197" s="3">
        <f t="shared" si="171"/>
        <v>0</v>
      </c>
      <c r="AC197" s="3">
        <f t="shared" si="171"/>
        <v>0</v>
      </c>
      <c r="AD197" s="3">
        <f t="shared" si="171"/>
        <v>0</v>
      </c>
      <c r="AE197" s="3">
        <f t="shared" si="171"/>
        <v>0</v>
      </c>
      <c r="AF197" s="3">
        <f t="shared" si="171"/>
        <v>0</v>
      </c>
      <c r="AG197" s="3">
        <f t="shared" si="171"/>
        <v>1</v>
      </c>
      <c r="AH197" s="3">
        <f t="shared" si="171"/>
        <v>0</v>
      </c>
      <c r="AI197" s="3">
        <f t="shared" si="171"/>
        <v>0</v>
      </c>
      <c r="AJ197" s="3">
        <f t="shared" si="171"/>
        <v>0</v>
      </c>
      <c r="AK197" s="3">
        <f t="shared" si="171"/>
        <v>0</v>
      </c>
      <c r="AL197" s="3">
        <f t="shared" si="171"/>
        <v>0</v>
      </c>
      <c r="AM197" s="3">
        <f t="shared" si="172"/>
        <v>0</v>
      </c>
      <c r="AN197" s="3">
        <f t="shared" si="172"/>
        <v>0</v>
      </c>
      <c r="AO197" s="3">
        <f t="shared" si="172"/>
        <v>0</v>
      </c>
      <c r="AP197" s="3">
        <f t="shared" si="172"/>
        <v>0</v>
      </c>
      <c r="AQ197" s="3">
        <f t="shared" si="172"/>
        <v>0</v>
      </c>
      <c r="AR197" s="3">
        <f t="shared" si="172"/>
        <v>0</v>
      </c>
      <c r="AS197" s="3">
        <f t="shared" si="172"/>
        <v>0</v>
      </c>
      <c r="AT197" s="3">
        <f t="shared" si="172"/>
        <v>0</v>
      </c>
      <c r="AU197" s="3">
        <f t="shared" si="172"/>
        <v>0</v>
      </c>
      <c r="AV197" s="3">
        <f t="shared" si="172"/>
        <v>0</v>
      </c>
      <c r="AW197" s="3">
        <f t="shared" si="172"/>
        <v>0</v>
      </c>
      <c r="AX197" s="3">
        <f t="shared" si="172"/>
        <v>0</v>
      </c>
      <c r="AY197" s="3">
        <f t="shared" si="172"/>
        <v>0</v>
      </c>
      <c r="AZ197" s="3">
        <f t="shared" si="172"/>
        <v>0</v>
      </c>
      <c r="BA197" s="3">
        <f t="shared" si="172"/>
        <v>0</v>
      </c>
      <c r="BB197" s="3">
        <f t="shared" si="172"/>
        <v>0</v>
      </c>
      <c r="BC197" s="3">
        <f t="shared" si="170"/>
        <v>0</v>
      </c>
      <c r="BD197" s="3">
        <f t="shared" si="170"/>
        <v>0</v>
      </c>
      <c r="BE197" s="3">
        <f t="shared" si="170"/>
        <v>0</v>
      </c>
      <c r="BF197" s="3">
        <f t="shared" si="167"/>
        <v>0</v>
      </c>
      <c r="BG197" s="3">
        <f t="shared" ref="BG197:BR204" si="175">IF(BF196=1,1,0)</f>
        <v>0</v>
      </c>
      <c r="BH197" s="3">
        <f t="shared" si="175"/>
        <v>0</v>
      </c>
      <c r="BI197" s="3">
        <f t="shared" si="175"/>
        <v>0</v>
      </c>
      <c r="BJ197" s="3">
        <f t="shared" si="175"/>
        <v>0</v>
      </c>
      <c r="BK197" s="3">
        <f t="shared" si="175"/>
        <v>0</v>
      </c>
      <c r="BL197" s="3">
        <f t="shared" si="175"/>
        <v>0</v>
      </c>
      <c r="BM197" s="3">
        <f t="shared" si="175"/>
        <v>0</v>
      </c>
      <c r="BN197" s="3">
        <f t="shared" si="175"/>
        <v>0</v>
      </c>
      <c r="BO197" s="3">
        <f t="shared" si="175"/>
        <v>0</v>
      </c>
      <c r="BP197" s="3">
        <f t="shared" si="175"/>
        <v>0</v>
      </c>
      <c r="BQ197" s="3">
        <f t="shared" si="175"/>
        <v>0</v>
      </c>
      <c r="BR197" s="3">
        <f t="shared" si="175"/>
        <v>0</v>
      </c>
    </row>
    <row r="198" spans="1:70" outlineLevel="1" x14ac:dyDescent="0.3">
      <c r="A198" s="7">
        <v>29</v>
      </c>
      <c r="B198" s="150" t="s">
        <v>135</v>
      </c>
      <c r="C198" s="150"/>
      <c r="D198" s="150"/>
      <c r="E198" s="150"/>
      <c r="F198" s="3">
        <v>0</v>
      </c>
      <c r="G198" s="3">
        <f t="shared" si="164"/>
        <v>0</v>
      </c>
      <c r="H198" s="3">
        <f t="shared" si="173"/>
        <v>0</v>
      </c>
      <c r="I198" s="3">
        <f t="shared" si="173"/>
        <v>0</v>
      </c>
      <c r="J198" s="3">
        <f t="shared" si="173"/>
        <v>0</v>
      </c>
      <c r="K198" s="3">
        <f t="shared" si="173"/>
        <v>0</v>
      </c>
      <c r="L198" s="3">
        <f t="shared" si="173"/>
        <v>0</v>
      </c>
      <c r="M198" s="3">
        <f t="shared" si="173"/>
        <v>0</v>
      </c>
      <c r="N198" s="3">
        <f t="shared" si="173"/>
        <v>0</v>
      </c>
      <c r="O198" s="3">
        <f t="shared" si="173"/>
        <v>0</v>
      </c>
      <c r="P198" s="3">
        <f t="shared" si="173"/>
        <v>0</v>
      </c>
      <c r="Q198" s="3">
        <f t="shared" si="173"/>
        <v>0</v>
      </c>
      <c r="R198" s="3">
        <f t="shared" si="173"/>
        <v>0</v>
      </c>
      <c r="S198" s="3">
        <f t="shared" si="173"/>
        <v>0</v>
      </c>
      <c r="T198" s="3">
        <f t="shared" si="173"/>
        <v>0</v>
      </c>
      <c r="U198" s="3">
        <f t="shared" si="173"/>
        <v>0</v>
      </c>
      <c r="V198" s="3">
        <f t="shared" si="173"/>
        <v>0</v>
      </c>
      <c r="W198" s="3">
        <f t="shared" si="173"/>
        <v>0</v>
      </c>
      <c r="X198" s="3">
        <f t="shared" si="171"/>
        <v>0</v>
      </c>
      <c r="Y198" s="3">
        <f t="shared" si="171"/>
        <v>0</v>
      </c>
      <c r="Z198" s="3">
        <f t="shared" si="171"/>
        <v>0</v>
      </c>
      <c r="AA198" s="3">
        <f t="shared" si="171"/>
        <v>0</v>
      </c>
      <c r="AB198" s="3">
        <f t="shared" si="171"/>
        <v>0</v>
      </c>
      <c r="AC198" s="3">
        <f t="shared" si="171"/>
        <v>0</v>
      </c>
      <c r="AD198" s="3">
        <f t="shared" si="171"/>
        <v>0</v>
      </c>
      <c r="AE198" s="3">
        <f t="shared" si="171"/>
        <v>0</v>
      </c>
      <c r="AF198" s="3">
        <f t="shared" si="171"/>
        <v>0</v>
      </c>
      <c r="AG198" s="3">
        <f t="shared" si="171"/>
        <v>0</v>
      </c>
      <c r="AH198" s="3">
        <f t="shared" si="171"/>
        <v>1</v>
      </c>
      <c r="AI198" s="3">
        <f t="shared" si="171"/>
        <v>0</v>
      </c>
      <c r="AJ198" s="3">
        <f t="shared" si="171"/>
        <v>0</v>
      </c>
      <c r="AK198" s="3">
        <f t="shared" si="171"/>
        <v>0</v>
      </c>
      <c r="AL198" s="3">
        <f t="shared" si="171"/>
        <v>0</v>
      </c>
      <c r="AM198" s="3">
        <f t="shared" si="172"/>
        <v>0</v>
      </c>
      <c r="AN198" s="3">
        <f t="shared" si="172"/>
        <v>0</v>
      </c>
      <c r="AO198" s="3">
        <f t="shared" si="172"/>
        <v>0</v>
      </c>
      <c r="AP198" s="3">
        <f t="shared" si="172"/>
        <v>0</v>
      </c>
      <c r="AQ198" s="3">
        <f t="shared" si="172"/>
        <v>0</v>
      </c>
      <c r="AR198" s="3">
        <f t="shared" si="172"/>
        <v>0</v>
      </c>
      <c r="AS198" s="3">
        <f t="shared" si="172"/>
        <v>0</v>
      </c>
      <c r="AT198" s="3">
        <f t="shared" si="172"/>
        <v>0</v>
      </c>
      <c r="AU198" s="3">
        <f t="shared" si="172"/>
        <v>0</v>
      </c>
      <c r="AV198" s="3">
        <f t="shared" si="172"/>
        <v>0</v>
      </c>
      <c r="AW198" s="3">
        <f t="shared" si="172"/>
        <v>0</v>
      </c>
      <c r="AX198" s="3">
        <f t="shared" si="172"/>
        <v>0</v>
      </c>
      <c r="AY198" s="3">
        <f t="shared" si="172"/>
        <v>0</v>
      </c>
      <c r="AZ198" s="3">
        <f t="shared" si="172"/>
        <v>0</v>
      </c>
      <c r="BA198" s="3">
        <f t="shared" si="172"/>
        <v>0</v>
      </c>
      <c r="BB198" s="3">
        <f t="shared" si="172"/>
        <v>0</v>
      </c>
      <c r="BC198" s="3">
        <f t="shared" si="170"/>
        <v>0</v>
      </c>
      <c r="BD198" s="3">
        <f t="shared" si="170"/>
        <v>0</v>
      </c>
      <c r="BE198" s="3">
        <f t="shared" si="170"/>
        <v>0</v>
      </c>
      <c r="BF198" s="3">
        <f t="shared" si="167"/>
        <v>0</v>
      </c>
      <c r="BG198" s="3">
        <f t="shared" si="175"/>
        <v>0</v>
      </c>
      <c r="BH198" s="3">
        <f t="shared" si="175"/>
        <v>0</v>
      </c>
      <c r="BI198" s="3">
        <f t="shared" si="175"/>
        <v>0</v>
      </c>
      <c r="BJ198" s="3">
        <f t="shared" si="175"/>
        <v>0</v>
      </c>
      <c r="BK198" s="3">
        <f t="shared" si="175"/>
        <v>0</v>
      </c>
      <c r="BL198" s="3">
        <f t="shared" si="175"/>
        <v>0</v>
      </c>
      <c r="BM198" s="3">
        <f t="shared" si="175"/>
        <v>0</v>
      </c>
      <c r="BN198" s="3">
        <f t="shared" si="175"/>
        <v>0</v>
      </c>
      <c r="BO198" s="3">
        <f t="shared" si="175"/>
        <v>0</v>
      </c>
      <c r="BP198" s="3">
        <f t="shared" si="175"/>
        <v>0</v>
      </c>
      <c r="BQ198" s="3">
        <f t="shared" si="175"/>
        <v>0</v>
      </c>
      <c r="BR198" s="3">
        <f t="shared" si="175"/>
        <v>0</v>
      </c>
    </row>
    <row r="199" spans="1:70" outlineLevel="1" x14ac:dyDescent="0.3">
      <c r="A199" s="7">
        <v>30</v>
      </c>
      <c r="B199" s="150" t="s">
        <v>136</v>
      </c>
      <c r="C199" s="150"/>
      <c r="D199" s="150"/>
      <c r="E199" s="150"/>
      <c r="F199" s="3">
        <v>0</v>
      </c>
      <c r="G199" s="3">
        <f t="shared" si="164"/>
        <v>0</v>
      </c>
      <c r="H199" s="3">
        <f t="shared" si="173"/>
        <v>0</v>
      </c>
      <c r="I199" s="3">
        <f t="shared" si="173"/>
        <v>0</v>
      </c>
      <c r="J199" s="3">
        <f t="shared" si="173"/>
        <v>0</v>
      </c>
      <c r="K199" s="3">
        <f t="shared" si="173"/>
        <v>0</v>
      </c>
      <c r="L199" s="3">
        <f t="shared" si="173"/>
        <v>0</v>
      </c>
      <c r="M199" s="3">
        <f t="shared" si="173"/>
        <v>0</v>
      </c>
      <c r="N199" s="3">
        <f t="shared" si="173"/>
        <v>0</v>
      </c>
      <c r="O199" s="3">
        <f t="shared" si="173"/>
        <v>0</v>
      </c>
      <c r="P199" s="3">
        <f t="shared" si="173"/>
        <v>0</v>
      </c>
      <c r="Q199" s="3">
        <f t="shared" si="173"/>
        <v>0</v>
      </c>
      <c r="R199" s="3">
        <f t="shared" si="173"/>
        <v>0</v>
      </c>
      <c r="S199" s="3">
        <f t="shared" si="173"/>
        <v>0</v>
      </c>
      <c r="T199" s="3">
        <f t="shared" si="173"/>
        <v>0</v>
      </c>
      <c r="U199" s="3">
        <f t="shared" si="173"/>
        <v>0</v>
      </c>
      <c r="V199" s="3">
        <f t="shared" si="173"/>
        <v>0</v>
      </c>
      <c r="W199" s="3">
        <f t="shared" si="173"/>
        <v>0</v>
      </c>
      <c r="X199" s="3">
        <f t="shared" si="171"/>
        <v>0</v>
      </c>
      <c r="Y199" s="3">
        <f t="shared" si="171"/>
        <v>0</v>
      </c>
      <c r="Z199" s="3">
        <f t="shared" si="171"/>
        <v>0</v>
      </c>
      <c r="AA199" s="3">
        <f t="shared" si="171"/>
        <v>0</v>
      </c>
      <c r="AB199" s="3">
        <f t="shared" si="171"/>
        <v>0</v>
      </c>
      <c r="AC199" s="3">
        <f t="shared" si="171"/>
        <v>0</v>
      </c>
      <c r="AD199" s="3">
        <f t="shared" si="171"/>
        <v>0</v>
      </c>
      <c r="AE199" s="3">
        <f t="shared" si="171"/>
        <v>0</v>
      </c>
      <c r="AF199" s="3">
        <f t="shared" si="171"/>
        <v>0</v>
      </c>
      <c r="AG199" s="3">
        <f t="shared" si="171"/>
        <v>0</v>
      </c>
      <c r="AH199" s="3">
        <f t="shared" si="171"/>
        <v>0</v>
      </c>
      <c r="AI199" s="3">
        <f t="shared" si="171"/>
        <v>1</v>
      </c>
      <c r="AJ199" s="3">
        <f t="shared" si="171"/>
        <v>0</v>
      </c>
      <c r="AK199" s="3">
        <f t="shared" si="171"/>
        <v>0</v>
      </c>
      <c r="AL199" s="3">
        <f t="shared" si="171"/>
        <v>0</v>
      </c>
      <c r="AM199" s="3">
        <f t="shared" si="172"/>
        <v>0</v>
      </c>
      <c r="AN199" s="3">
        <f t="shared" si="172"/>
        <v>0</v>
      </c>
      <c r="AO199" s="3">
        <f t="shared" si="172"/>
        <v>0</v>
      </c>
      <c r="AP199" s="3">
        <f t="shared" si="172"/>
        <v>0</v>
      </c>
      <c r="AQ199" s="3">
        <f t="shared" si="172"/>
        <v>0</v>
      </c>
      <c r="AR199" s="3">
        <f t="shared" si="172"/>
        <v>0</v>
      </c>
      <c r="AS199" s="3">
        <f t="shared" si="172"/>
        <v>0</v>
      </c>
      <c r="AT199" s="3">
        <f t="shared" si="172"/>
        <v>0</v>
      </c>
      <c r="AU199" s="3">
        <f t="shared" si="172"/>
        <v>0</v>
      </c>
      <c r="AV199" s="3">
        <f t="shared" si="172"/>
        <v>0</v>
      </c>
      <c r="AW199" s="3">
        <f t="shared" si="172"/>
        <v>0</v>
      </c>
      <c r="AX199" s="3">
        <f t="shared" si="172"/>
        <v>0</v>
      </c>
      <c r="AY199" s="3">
        <f t="shared" si="172"/>
        <v>0</v>
      </c>
      <c r="AZ199" s="3">
        <f t="shared" si="172"/>
        <v>0</v>
      </c>
      <c r="BA199" s="3">
        <f t="shared" si="172"/>
        <v>0</v>
      </c>
      <c r="BB199" s="3">
        <f t="shared" si="172"/>
        <v>0</v>
      </c>
      <c r="BC199" s="3">
        <f t="shared" si="170"/>
        <v>0</v>
      </c>
      <c r="BD199" s="3">
        <f t="shared" si="170"/>
        <v>0</v>
      </c>
      <c r="BE199" s="3">
        <f t="shared" si="170"/>
        <v>0</v>
      </c>
      <c r="BF199" s="3">
        <f t="shared" si="167"/>
        <v>0</v>
      </c>
      <c r="BG199" s="3">
        <f t="shared" si="175"/>
        <v>0</v>
      </c>
      <c r="BH199" s="3">
        <f t="shared" si="175"/>
        <v>0</v>
      </c>
      <c r="BI199" s="3">
        <f t="shared" si="175"/>
        <v>0</v>
      </c>
      <c r="BJ199" s="3">
        <f t="shared" si="175"/>
        <v>0</v>
      </c>
      <c r="BK199" s="3">
        <f t="shared" si="175"/>
        <v>0</v>
      </c>
      <c r="BL199" s="3">
        <f t="shared" si="175"/>
        <v>0</v>
      </c>
      <c r="BM199" s="3">
        <f t="shared" si="175"/>
        <v>0</v>
      </c>
      <c r="BN199" s="3">
        <f t="shared" si="175"/>
        <v>0</v>
      </c>
      <c r="BO199" s="3">
        <f t="shared" si="175"/>
        <v>0</v>
      </c>
      <c r="BP199" s="3">
        <f t="shared" si="175"/>
        <v>0</v>
      </c>
      <c r="BQ199" s="3">
        <f t="shared" si="175"/>
        <v>0</v>
      </c>
      <c r="BR199" s="3">
        <f t="shared" si="175"/>
        <v>0</v>
      </c>
    </row>
    <row r="200" spans="1:70" outlineLevel="1" x14ac:dyDescent="0.3">
      <c r="A200" s="7">
        <v>31</v>
      </c>
      <c r="B200" s="150" t="s">
        <v>137</v>
      </c>
      <c r="C200" s="150"/>
      <c r="D200" s="150"/>
      <c r="E200" s="150"/>
      <c r="F200" s="3">
        <v>0</v>
      </c>
      <c r="G200" s="3">
        <f t="shared" si="164"/>
        <v>0</v>
      </c>
      <c r="H200" s="3">
        <f t="shared" si="173"/>
        <v>0</v>
      </c>
      <c r="I200" s="3">
        <f t="shared" si="173"/>
        <v>0</v>
      </c>
      <c r="J200" s="3">
        <f t="shared" si="173"/>
        <v>0</v>
      </c>
      <c r="K200" s="3">
        <f t="shared" si="173"/>
        <v>0</v>
      </c>
      <c r="L200" s="3">
        <f t="shared" si="173"/>
        <v>0</v>
      </c>
      <c r="M200" s="3">
        <f t="shared" si="173"/>
        <v>0</v>
      </c>
      <c r="N200" s="3">
        <f t="shared" si="173"/>
        <v>0</v>
      </c>
      <c r="O200" s="3">
        <f t="shared" si="173"/>
        <v>0</v>
      </c>
      <c r="P200" s="3">
        <f t="shared" si="173"/>
        <v>0</v>
      </c>
      <c r="Q200" s="3">
        <f t="shared" si="173"/>
        <v>0</v>
      </c>
      <c r="R200" s="3">
        <f t="shared" si="173"/>
        <v>0</v>
      </c>
      <c r="S200" s="3">
        <f t="shared" si="173"/>
        <v>0</v>
      </c>
      <c r="T200" s="3">
        <f t="shared" si="173"/>
        <v>0</v>
      </c>
      <c r="U200" s="3">
        <f t="shared" si="173"/>
        <v>0</v>
      </c>
      <c r="V200" s="3">
        <f t="shared" si="173"/>
        <v>0</v>
      </c>
      <c r="W200" s="3">
        <f t="shared" si="173"/>
        <v>0</v>
      </c>
      <c r="X200" s="3">
        <f t="shared" si="171"/>
        <v>0</v>
      </c>
      <c r="Y200" s="3">
        <f t="shared" si="171"/>
        <v>0</v>
      </c>
      <c r="Z200" s="3">
        <f t="shared" si="171"/>
        <v>0</v>
      </c>
      <c r="AA200" s="3">
        <f t="shared" si="171"/>
        <v>0</v>
      </c>
      <c r="AB200" s="3">
        <f t="shared" si="171"/>
        <v>0</v>
      </c>
      <c r="AC200" s="3">
        <f t="shared" si="171"/>
        <v>0</v>
      </c>
      <c r="AD200" s="3">
        <f t="shared" si="171"/>
        <v>0</v>
      </c>
      <c r="AE200" s="3">
        <f t="shared" si="171"/>
        <v>0</v>
      </c>
      <c r="AF200" s="3">
        <f t="shared" si="171"/>
        <v>0</v>
      </c>
      <c r="AG200" s="3">
        <f t="shared" si="171"/>
        <v>0</v>
      </c>
      <c r="AH200" s="3">
        <f t="shared" si="171"/>
        <v>0</v>
      </c>
      <c r="AI200" s="3">
        <f t="shared" si="171"/>
        <v>0</v>
      </c>
      <c r="AJ200" s="3">
        <f t="shared" si="171"/>
        <v>1</v>
      </c>
      <c r="AK200" s="3">
        <f t="shared" si="171"/>
        <v>0</v>
      </c>
      <c r="AL200" s="3">
        <f t="shared" si="171"/>
        <v>0</v>
      </c>
      <c r="AM200" s="3">
        <f t="shared" si="172"/>
        <v>0</v>
      </c>
      <c r="AN200" s="3">
        <f t="shared" si="172"/>
        <v>0</v>
      </c>
      <c r="AO200" s="3">
        <f t="shared" si="172"/>
        <v>0</v>
      </c>
      <c r="AP200" s="3">
        <f t="shared" si="172"/>
        <v>0</v>
      </c>
      <c r="AQ200" s="3">
        <f t="shared" si="172"/>
        <v>0</v>
      </c>
      <c r="AR200" s="3">
        <f t="shared" si="172"/>
        <v>0</v>
      </c>
      <c r="AS200" s="3">
        <f t="shared" si="172"/>
        <v>0</v>
      </c>
      <c r="AT200" s="3">
        <f t="shared" si="172"/>
        <v>0</v>
      </c>
      <c r="AU200" s="3">
        <f t="shared" si="172"/>
        <v>0</v>
      </c>
      <c r="AV200" s="3">
        <f t="shared" si="172"/>
        <v>0</v>
      </c>
      <c r="AW200" s="3">
        <f t="shared" si="172"/>
        <v>0</v>
      </c>
      <c r="AX200" s="3">
        <f t="shared" si="172"/>
        <v>0</v>
      </c>
      <c r="AY200" s="3">
        <f t="shared" si="172"/>
        <v>0</v>
      </c>
      <c r="AZ200" s="3">
        <f t="shared" si="172"/>
        <v>0</v>
      </c>
      <c r="BA200" s="3">
        <f t="shared" si="172"/>
        <v>0</v>
      </c>
      <c r="BB200" s="3">
        <f t="shared" si="172"/>
        <v>0</v>
      </c>
      <c r="BC200" s="3">
        <f t="shared" si="170"/>
        <v>0</v>
      </c>
      <c r="BD200" s="3">
        <f t="shared" si="170"/>
        <v>0</v>
      </c>
      <c r="BE200" s="3">
        <f t="shared" si="170"/>
        <v>0</v>
      </c>
      <c r="BF200" s="3">
        <f t="shared" si="167"/>
        <v>0</v>
      </c>
      <c r="BG200" s="3">
        <f t="shared" si="175"/>
        <v>0</v>
      </c>
      <c r="BH200" s="3">
        <f t="shared" si="175"/>
        <v>0</v>
      </c>
      <c r="BI200" s="3">
        <f t="shared" si="175"/>
        <v>0</v>
      </c>
      <c r="BJ200" s="3">
        <f t="shared" si="175"/>
        <v>0</v>
      </c>
      <c r="BK200" s="3">
        <f t="shared" si="175"/>
        <v>0</v>
      </c>
      <c r="BL200" s="3">
        <f t="shared" si="175"/>
        <v>0</v>
      </c>
      <c r="BM200" s="3">
        <f t="shared" si="175"/>
        <v>0</v>
      </c>
      <c r="BN200" s="3">
        <f t="shared" si="175"/>
        <v>0</v>
      </c>
      <c r="BO200" s="3">
        <f t="shared" si="175"/>
        <v>0</v>
      </c>
      <c r="BP200" s="3">
        <f t="shared" si="175"/>
        <v>0</v>
      </c>
      <c r="BQ200" s="3">
        <f t="shared" si="175"/>
        <v>0</v>
      </c>
      <c r="BR200" s="3">
        <f t="shared" si="175"/>
        <v>0</v>
      </c>
    </row>
    <row r="201" spans="1:70" outlineLevel="1" x14ac:dyDescent="0.3">
      <c r="A201" s="7">
        <v>32</v>
      </c>
      <c r="B201" s="150" t="s">
        <v>138</v>
      </c>
      <c r="C201" s="150"/>
      <c r="D201" s="150"/>
      <c r="E201" s="150"/>
      <c r="F201" s="3">
        <v>0</v>
      </c>
      <c r="G201" s="3">
        <f t="shared" si="164"/>
        <v>0</v>
      </c>
      <c r="H201" s="3">
        <f t="shared" si="173"/>
        <v>0</v>
      </c>
      <c r="I201" s="3">
        <f t="shared" si="173"/>
        <v>0</v>
      </c>
      <c r="J201" s="3">
        <f t="shared" si="173"/>
        <v>0</v>
      </c>
      <c r="K201" s="3">
        <f t="shared" si="173"/>
        <v>0</v>
      </c>
      <c r="L201" s="3">
        <f t="shared" si="173"/>
        <v>0</v>
      </c>
      <c r="M201" s="3">
        <f t="shared" si="173"/>
        <v>0</v>
      </c>
      <c r="N201" s="3">
        <f t="shared" si="173"/>
        <v>0</v>
      </c>
      <c r="O201" s="3">
        <f t="shared" si="173"/>
        <v>0</v>
      </c>
      <c r="P201" s="3">
        <f t="shared" si="173"/>
        <v>0</v>
      </c>
      <c r="Q201" s="3">
        <f t="shared" si="173"/>
        <v>0</v>
      </c>
      <c r="R201" s="3">
        <f t="shared" si="173"/>
        <v>0</v>
      </c>
      <c r="S201" s="3">
        <f t="shared" si="173"/>
        <v>0</v>
      </c>
      <c r="T201" s="3">
        <f t="shared" si="173"/>
        <v>0</v>
      </c>
      <c r="U201" s="3">
        <f t="shared" si="173"/>
        <v>0</v>
      </c>
      <c r="V201" s="3">
        <f t="shared" si="173"/>
        <v>0</v>
      </c>
      <c r="W201" s="3">
        <f t="shared" si="173"/>
        <v>0</v>
      </c>
      <c r="X201" s="3">
        <f t="shared" si="171"/>
        <v>0</v>
      </c>
      <c r="Y201" s="3">
        <f t="shared" si="171"/>
        <v>0</v>
      </c>
      <c r="Z201" s="3">
        <f t="shared" si="171"/>
        <v>0</v>
      </c>
      <c r="AA201" s="3">
        <f t="shared" si="171"/>
        <v>0</v>
      </c>
      <c r="AB201" s="3">
        <f t="shared" si="171"/>
        <v>0</v>
      </c>
      <c r="AC201" s="3">
        <f t="shared" si="171"/>
        <v>0</v>
      </c>
      <c r="AD201" s="3">
        <f t="shared" si="171"/>
        <v>0</v>
      </c>
      <c r="AE201" s="3">
        <f t="shared" si="171"/>
        <v>0</v>
      </c>
      <c r="AF201" s="3">
        <f t="shared" si="171"/>
        <v>0</v>
      </c>
      <c r="AG201" s="3">
        <f t="shared" si="171"/>
        <v>0</v>
      </c>
      <c r="AH201" s="3">
        <f t="shared" si="171"/>
        <v>0</v>
      </c>
      <c r="AI201" s="3">
        <f t="shared" si="171"/>
        <v>0</v>
      </c>
      <c r="AJ201" s="3">
        <f t="shared" si="171"/>
        <v>0</v>
      </c>
      <c r="AK201" s="3">
        <f t="shared" si="171"/>
        <v>1</v>
      </c>
      <c r="AL201" s="3">
        <f t="shared" si="171"/>
        <v>0</v>
      </c>
      <c r="AM201" s="3">
        <f t="shared" si="172"/>
        <v>0</v>
      </c>
      <c r="AN201" s="3">
        <f t="shared" si="172"/>
        <v>0</v>
      </c>
      <c r="AO201" s="3">
        <f t="shared" si="172"/>
        <v>0</v>
      </c>
      <c r="AP201" s="3">
        <f t="shared" si="172"/>
        <v>0</v>
      </c>
      <c r="AQ201" s="3">
        <f t="shared" si="172"/>
        <v>0</v>
      </c>
      <c r="AR201" s="3">
        <f t="shared" si="172"/>
        <v>0</v>
      </c>
      <c r="AS201" s="3">
        <f t="shared" si="172"/>
        <v>0</v>
      </c>
      <c r="AT201" s="3">
        <f t="shared" si="172"/>
        <v>0</v>
      </c>
      <c r="AU201" s="3">
        <f t="shared" si="172"/>
        <v>0</v>
      </c>
      <c r="AV201" s="3">
        <f t="shared" si="172"/>
        <v>0</v>
      </c>
      <c r="AW201" s="3">
        <f t="shared" si="172"/>
        <v>0</v>
      </c>
      <c r="AX201" s="3">
        <f t="shared" si="172"/>
        <v>0</v>
      </c>
      <c r="AY201" s="3">
        <f t="shared" si="172"/>
        <v>0</v>
      </c>
      <c r="AZ201" s="3">
        <f t="shared" si="172"/>
        <v>0</v>
      </c>
      <c r="BA201" s="3">
        <f t="shared" si="172"/>
        <v>0</v>
      </c>
      <c r="BB201" s="3">
        <f t="shared" si="172"/>
        <v>0</v>
      </c>
      <c r="BC201" s="3">
        <f t="shared" si="170"/>
        <v>0</v>
      </c>
      <c r="BD201" s="3">
        <f t="shared" si="170"/>
        <v>0</v>
      </c>
      <c r="BE201" s="3">
        <f t="shared" si="170"/>
        <v>0</v>
      </c>
      <c r="BF201" s="3">
        <f t="shared" si="167"/>
        <v>0</v>
      </c>
      <c r="BG201" s="3">
        <f t="shared" si="175"/>
        <v>0</v>
      </c>
      <c r="BH201" s="3">
        <f t="shared" si="175"/>
        <v>0</v>
      </c>
      <c r="BI201" s="3">
        <f t="shared" si="175"/>
        <v>0</v>
      </c>
      <c r="BJ201" s="3">
        <f t="shared" si="175"/>
        <v>0</v>
      </c>
      <c r="BK201" s="3">
        <f t="shared" si="175"/>
        <v>0</v>
      </c>
      <c r="BL201" s="3">
        <f t="shared" si="175"/>
        <v>0</v>
      </c>
      <c r="BM201" s="3">
        <f t="shared" si="175"/>
        <v>0</v>
      </c>
      <c r="BN201" s="3">
        <f t="shared" si="175"/>
        <v>0</v>
      </c>
      <c r="BO201" s="3">
        <f t="shared" si="175"/>
        <v>0</v>
      </c>
      <c r="BP201" s="3">
        <f t="shared" si="175"/>
        <v>0</v>
      </c>
      <c r="BQ201" s="3">
        <f t="shared" si="175"/>
        <v>0</v>
      </c>
      <c r="BR201" s="3">
        <f t="shared" si="175"/>
        <v>0</v>
      </c>
    </row>
    <row r="202" spans="1:70" outlineLevel="1" x14ac:dyDescent="0.3">
      <c r="A202" s="7">
        <v>33</v>
      </c>
      <c r="B202" s="150" t="s">
        <v>139</v>
      </c>
      <c r="C202" s="150"/>
      <c r="D202" s="150"/>
      <c r="E202" s="150"/>
      <c r="F202" s="3">
        <v>0</v>
      </c>
      <c r="G202" s="3">
        <f t="shared" si="164"/>
        <v>0</v>
      </c>
      <c r="H202" s="3">
        <f t="shared" si="173"/>
        <v>0</v>
      </c>
      <c r="I202" s="3">
        <f t="shared" si="173"/>
        <v>0</v>
      </c>
      <c r="J202" s="3">
        <f t="shared" si="173"/>
        <v>0</v>
      </c>
      <c r="K202" s="3">
        <f t="shared" si="173"/>
        <v>0</v>
      </c>
      <c r="L202" s="3">
        <f t="shared" si="173"/>
        <v>0</v>
      </c>
      <c r="M202" s="3">
        <f t="shared" si="173"/>
        <v>0</v>
      </c>
      <c r="N202" s="3">
        <f t="shared" si="173"/>
        <v>0</v>
      </c>
      <c r="O202" s="3">
        <f t="shared" si="173"/>
        <v>0</v>
      </c>
      <c r="P202" s="3">
        <f t="shared" si="173"/>
        <v>0</v>
      </c>
      <c r="Q202" s="3">
        <f t="shared" si="173"/>
        <v>0</v>
      </c>
      <c r="R202" s="3">
        <f t="shared" si="173"/>
        <v>0</v>
      </c>
      <c r="S202" s="3">
        <f t="shared" si="173"/>
        <v>0</v>
      </c>
      <c r="T202" s="3">
        <f t="shared" si="173"/>
        <v>0</v>
      </c>
      <c r="U202" s="3">
        <f t="shared" si="173"/>
        <v>0</v>
      </c>
      <c r="V202" s="3">
        <f t="shared" si="173"/>
        <v>0</v>
      </c>
      <c r="W202" s="3">
        <f t="shared" si="173"/>
        <v>0</v>
      </c>
      <c r="X202" s="3">
        <f t="shared" si="171"/>
        <v>0</v>
      </c>
      <c r="Y202" s="3">
        <f t="shared" si="171"/>
        <v>0</v>
      </c>
      <c r="Z202" s="3">
        <f t="shared" si="171"/>
        <v>0</v>
      </c>
      <c r="AA202" s="3">
        <f t="shared" si="171"/>
        <v>0</v>
      </c>
      <c r="AB202" s="3">
        <f t="shared" si="171"/>
        <v>0</v>
      </c>
      <c r="AC202" s="3">
        <f t="shared" si="171"/>
        <v>0</v>
      </c>
      <c r="AD202" s="3">
        <f t="shared" si="171"/>
        <v>0</v>
      </c>
      <c r="AE202" s="3">
        <f t="shared" si="171"/>
        <v>0</v>
      </c>
      <c r="AF202" s="3">
        <f t="shared" si="171"/>
        <v>0</v>
      </c>
      <c r="AG202" s="3">
        <f t="shared" si="171"/>
        <v>0</v>
      </c>
      <c r="AH202" s="3">
        <f t="shared" si="171"/>
        <v>0</v>
      </c>
      <c r="AI202" s="3">
        <f t="shared" si="171"/>
        <v>0</v>
      </c>
      <c r="AJ202" s="3">
        <f t="shared" si="171"/>
        <v>0</v>
      </c>
      <c r="AK202" s="3">
        <f t="shared" si="171"/>
        <v>0</v>
      </c>
      <c r="AL202" s="3">
        <f t="shared" si="171"/>
        <v>1</v>
      </c>
      <c r="AM202" s="3">
        <f t="shared" si="172"/>
        <v>0</v>
      </c>
      <c r="AN202" s="3">
        <f t="shared" si="172"/>
        <v>0</v>
      </c>
      <c r="AO202" s="3">
        <f t="shared" si="172"/>
        <v>0</v>
      </c>
      <c r="AP202" s="3">
        <f t="shared" si="172"/>
        <v>0</v>
      </c>
      <c r="AQ202" s="3">
        <f t="shared" si="172"/>
        <v>0</v>
      </c>
      <c r="AR202" s="3">
        <f t="shared" si="172"/>
        <v>0</v>
      </c>
      <c r="AS202" s="3">
        <f t="shared" si="172"/>
        <v>0</v>
      </c>
      <c r="AT202" s="3">
        <f t="shared" si="172"/>
        <v>0</v>
      </c>
      <c r="AU202" s="3">
        <f t="shared" si="172"/>
        <v>0</v>
      </c>
      <c r="AV202" s="3">
        <f t="shared" si="172"/>
        <v>0</v>
      </c>
      <c r="AW202" s="3">
        <f t="shared" si="172"/>
        <v>0</v>
      </c>
      <c r="AX202" s="3">
        <f t="shared" si="172"/>
        <v>0</v>
      </c>
      <c r="AY202" s="3">
        <f t="shared" si="172"/>
        <v>0</v>
      </c>
      <c r="AZ202" s="3">
        <f t="shared" si="172"/>
        <v>0</v>
      </c>
      <c r="BA202" s="3">
        <f t="shared" si="172"/>
        <v>0</v>
      </c>
      <c r="BB202" s="3">
        <f t="shared" si="172"/>
        <v>0</v>
      </c>
      <c r="BC202" s="3">
        <f t="shared" si="170"/>
        <v>0</v>
      </c>
      <c r="BD202" s="3">
        <f t="shared" si="170"/>
        <v>0</v>
      </c>
      <c r="BE202" s="3">
        <f t="shared" si="170"/>
        <v>0</v>
      </c>
      <c r="BF202" s="3">
        <f t="shared" si="167"/>
        <v>0</v>
      </c>
      <c r="BG202" s="3">
        <f t="shared" si="175"/>
        <v>0</v>
      </c>
      <c r="BH202" s="3">
        <f t="shared" si="175"/>
        <v>0</v>
      </c>
      <c r="BI202" s="3">
        <f t="shared" si="175"/>
        <v>0</v>
      </c>
      <c r="BJ202" s="3">
        <f t="shared" si="175"/>
        <v>0</v>
      </c>
      <c r="BK202" s="3">
        <f t="shared" si="175"/>
        <v>0</v>
      </c>
      <c r="BL202" s="3">
        <f t="shared" si="175"/>
        <v>0</v>
      </c>
      <c r="BM202" s="3">
        <f t="shared" si="175"/>
        <v>0</v>
      </c>
      <c r="BN202" s="3">
        <f t="shared" si="175"/>
        <v>0</v>
      </c>
      <c r="BO202" s="3">
        <f t="shared" si="175"/>
        <v>0</v>
      </c>
      <c r="BP202" s="3">
        <f t="shared" si="175"/>
        <v>0</v>
      </c>
      <c r="BQ202" s="3">
        <f t="shared" si="175"/>
        <v>0</v>
      </c>
      <c r="BR202" s="3">
        <f t="shared" si="175"/>
        <v>0</v>
      </c>
    </row>
    <row r="203" spans="1:70" outlineLevel="1" x14ac:dyDescent="0.3">
      <c r="A203" s="7">
        <v>34</v>
      </c>
      <c r="B203" s="150" t="s">
        <v>140</v>
      </c>
      <c r="C203" s="150"/>
      <c r="D203" s="150"/>
      <c r="E203" s="150"/>
      <c r="F203" s="3">
        <v>0</v>
      </c>
      <c r="G203" s="3">
        <f t="shared" si="164"/>
        <v>0</v>
      </c>
      <c r="H203" s="3">
        <f t="shared" si="173"/>
        <v>0</v>
      </c>
      <c r="I203" s="3">
        <f t="shared" si="173"/>
        <v>0</v>
      </c>
      <c r="J203" s="3">
        <f t="shared" si="173"/>
        <v>0</v>
      </c>
      <c r="K203" s="3">
        <f t="shared" si="173"/>
        <v>0</v>
      </c>
      <c r="L203" s="3">
        <f t="shared" si="173"/>
        <v>0</v>
      </c>
      <c r="M203" s="3">
        <f t="shared" si="173"/>
        <v>0</v>
      </c>
      <c r="N203" s="3">
        <f t="shared" si="173"/>
        <v>0</v>
      </c>
      <c r="O203" s="3">
        <f t="shared" si="173"/>
        <v>0</v>
      </c>
      <c r="P203" s="3">
        <f t="shared" si="173"/>
        <v>0</v>
      </c>
      <c r="Q203" s="3">
        <f t="shared" si="173"/>
        <v>0</v>
      </c>
      <c r="R203" s="3">
        <f t="shared" si="173"/>
        <v>0</v>
      </c>
      <c r="S203" s="3">
        <f t="shared" si="173"/>
        <v>0</v>
      </c>
      <c r="T203" s="3">
        <f t="shared" si="173"/>
        <v>0</v>
      </c>
      <c r="U203" s="3">
        <f t="shared" si="173"/>
        <v>0</v>
      </c>
      <c r="V203" s="3">
        <f t="shared" si="173"/>
        <v>0</v>
      </c>
      <c r="W203" s="3">
        <f t="shared" si="173"/>
        <v>0</v>
      </c>
      <c r="X203" s="3">
        <f t="shared" si="171"/>
        <v>0</v>
      </c>
      <c r="Y203" s="3">
        <f t="shared" si="171"/>
        <v>0</v>
      </c>
      <c r="Z203" s="3">
        <f t="shared" si="171"/>
        <v>0</v>
      </c>
      <c r="AA203" s="3">
        <f t="shared" si="171"/>
        <v>0</v>
      </c>
      <c r="AB203" s="3">
        <f t="shared" si="171"/>
        <v>0</v>
      </c>
      <c r="AC203" s="3">
        <f t="shared" si="171"/>
        <v>0</v>
      </c>
      <c r="AD203" s="3">
        <f t="shared" si="171"/>
        <v>0</v>
      </c>
      <c r="AE203" s="3">
        <f t="shared" si="171"/>
        <v>0</v>
      </c>
      <c r="AF203" s="3">
        <f t="shared" si="171"/>
        <v>0</v>
      </c>
      <c r="AG203" s="3">
        <f t="shared" si="171"/>
        <v>0</v>
      </c>
      <c r="AH203" s="3">
        <f t="shared" si="171"/>
        <v>0</v>
      </c>
      <c r="AI203" s="3">
        <f t="shared" si="171"/>
        <v>0</v>
      </c>
      <c r="AJ203" s="3">
        <f t="shared" si="171"/>
        <v>0</v>
      </c>
      <c r="AK203" s="3">
        <f t="shared" si="171"/>
        <v>0</v>
      </c>
      <c r="AL203" s="3">
        <f t="shared" si="171"/>
        <v>0</v>
      </c>
      <c r="AM203" s="3">
        <f t="shared" si="172"/>
        <v>1</v>
      </c>
      <c r="AN203" s="3">
        <f t="shared" si="172"/>
        <v>0</v>
      </c>
      <c r="AO203" s="3">
        <f t="shared" si="172"/>
        <v>0</v>
      </c>
      <c r="AP203" s="3">
        <f t="shared" si="172"/>
        <v>0</v>
      </c>
      <c r="AQ203" s="3">
        <f t="shared" si="172"/>
        <v>0</v>
      </c>
      <c r="AR203" s="3">
        <f t="shared" si="172"/>
        <v>0</v>
      </c>
      <c r="AS203" s="3">
        <f t="shared" si="172"/>
        <v>0</v>
      </c>
      <c r="AT203" s="3">
        <f t="shared" si="172"/>
        <v>0</v>
      </c>
      <c r="AU203" s="3">
        <f t="shared" si="172"/>
        <v>0</v>
      </c>
      <c r="AV203" s="3">
        <f t="shared" si="172"/>
        <v>0</v>
      </c>
      <c r="AW203" s="3">
        <f t="shared" si="172"/>
        <v>0</v>
      </c>
      <c r="AX203" s="3">
        <f t="shared" si="172"/>
        <v>0</v>
      </c>
      <c r="AY203" s="3">
        <f t="shared" si="172"/>
        <v>0</v>
      </c>
      <c r="AZ203" s="3">
        <f t="shared" si="172"/>
        <v>0</v>
      </c>
      <c r="BA203" s="3">
        <f t="shared" si="172"/>
        <v>0</v>
      </c>
      <c r="BB203" s="3">
        <f t="shared" si="172"/>
        <v>0</v>
      </c>
      <c r="BC203" s="3">
        <f t="shared" si="170"/>
        <v>0</v>
      </c>
      <c r="BD203" s="3">
        <f t="shared" si="170"/>
        <v>0</v>
      </c>
      <c r="BE203" s="3">
        <f t="shared" si="170"/>
        <v>0</v>
      </c>
      <c r="BF203" s="3">
        <f t="shared" si="167"/>
        <v>0</v>
      </c>
      <c r="BG203" s="3">
        <f t="shared" si="175"/>
        <v>0</v>
      </c>
      <c r="BH203" s="3">
        <f t="shared" si="175"/>
        <v>0</v>
      </c>
      <c r="BI203" s="3">
        <f t="shared" si="175"/>
        <v>0</v>
      </c>
      <c r="BJ203" s="3">
        <f t="shared" si="175"/>
        <v>0</v>
      </c>
      <c r="BK203" s="3">
        <f t="shared" si="175"/>
        <v>0</v>
      </c>
      <c r="BL203" s="3">
        <f t="shared" si="175"/>
        <v>0</v>
      </c>
      <c r="BM203" s="3">
        <f t="shared" si="175"/>
        <v>0</v>
      </c>
      <c r="BN203" s="3">
        <f t="shared" si="175"/>
        <v>0</v>
      </c>
      <c r="BO203" s="3">
        <f t="shared" si="175"/>
        <v>0</v>
      </c>
      <c r="BP203" s="3">
        <f t="shared" si="175"/>
        <v>0</v>
      </c>
      <c r="BQ203" s="3">
        <f t="shared" si="175"/>
        <v>0</v>
      </c>
      <c r="BR203" s="3">
        <f t="shared" si="175"/>
        <v>0</v>
      </c>
    </row>
    <row r="204" spans="1:70" outlineLevel="1" x14ac:dyDescent="0.3">
      <c r="A204" s="7">
        <v>35</v>
      </c>
      <c r="B204" s="150" t="s">
        <v>141</v>
      </c>
      <c r="C204" s="150"/>
      <c r="D204" s="150"/>
      <c r="E204" s="150"/>
      <c r="F204" s="3">
        <v>0</v>
      </c>
      <c r="G204" s="3">
        <f t="shared" si="164"/>
        <v>0</v>
      </c>
      <c r="H204" s="3">
        <f t="shared" si="173"/>
        <v>0</v>
      </c>
      <c r="I204" s="3">
        <f t="shared" si="173"/>
        <v>0</v>
      </c>
      <c r="J204" s="3">
        <f t="shared" si="173"/>
        <v>0</v>
      </c>
      <c r="K204" s="3">
        <f t="shared" si="173"/>
        <v>0</v>
      </c>
      <c r="L204" s="3">
        <f t="shared" si="173"/>
        <v>0</v>
      </c>
      <c r="M204" s="3">
        <f t="shared" si="173"/>
        <v>0</v>
      </c>
      <c r="N204" s="3">
        <f t="shared" si="173"/>
        <v>0</v>
      </c>
      <c r="O204" s="3">
        <f t="shared" si="173"/>
        <v>0</v>
      </c>
      <c r="P204" s="3">
        <f t="shared" si="173"/>
        <v>0</v>
      </c>
      <c r="Q204" s="3">
        <f t="shared" si="173"/>
        <v>0</v>
      </c>
      <c r="R204" s="3">
        <f t="shared" si="173"/>
        <v>0</v>
      </c>
      <c r="S204" s="3">
        <f t="shared" si="173"/>
        <v>0</v>
      </c>
      <c r="T204" s="3">
        <f t="shared" si="173"/>
        <v>0</v>
      </c>
      <c r="U204" s="3">
        <f t="shared" si="173"/>
        <v>0</v>
      </c>
      <c r="V204" s="3">
        <f t="shared" si="173"/>
        <v>0</v>
      </c>
      <c r="W204" s="3">
        <f t="shared" si="173"/>
        <v>0</v>
      </c>
      <c r="X204" s="3">
        <f t="shared" si="171"/>
        <v>0</v>
      </c>
      <c r="Y204" s="3">
        <f t="shared" si="171"/>
        <v>0</v>
      </c>
      <c r="Z204" s="3">
        <f t="shared" si="171"/>
        <v>0</v>
      </c>
      <c r="AA204" s="3">
        <f t="shared" si="171"/>
        <v>0</v>
      </c>
      <c r="AB204" s="3">
        <f t="shared" si="171"/>
        <v>0</v>
      </c>
      <c r="AC204" s="3">
        <f t="shared" si="171"/>
        <v>0</v>
      </c>
      <c r="AD204" s="3">
        <f t="shared" si="171"/>
        <v>0</v>
      </c>
      <c r="AE204" s="3">
        <f t="shared" si="171"/>
        <v>0</v>
      </c>
      <c r="AF204" s="3">
        <f t="shared" si="171"/>
        <v>0</v>
      </c>
      <c r="AG204" s="3">
        <f t="shared" si="171"/>
        <v>0</v>
      </c>
      <c r="AH204" s="3">
        <f t="shared" si="171"/>
        <v>0</v>
      </c>
      <c r="AI204" s="3">
        <f t="shared" si="171"/>
        <v>0</v>
      </c>
      <c r="AJ204" s="3">
        <f t="shared" si="171"/>
        <v>0</v>
      </c>
      <c r="AK204" s="3">
        <f t="shared" si="171"/>
        <v>0</v>
      </c>
      <c r="AL204" s="3">
        <f t="shared" si="171"/>
        <v>0</v>
      </c>
      <c r="AM204" s="3">
        <f t="shared" si="172"/>
        <v>0</v>
      </c>
      <c r="AN204" s="3">
        <f t="shared" si="172"/>
        <v>1</v>
      </c>
      <c r="AO204" s="3">
        <f t="shared" si="172"/>
        <v>0</v>
      </c>
      <c r="AP204" s="3">
        <f t="shared" si="172"/>
        <v>0</v>
      </c>
      <c r="AQ204" s="3">
        <f t="shared" si="172"/>
        <v>0</v>
      </c>
      <c r="AR204" s="3">
        <f t="shared" si="172"/>
        <v>0</v>
      </c>
      <c r="AS204" s="3">
        <f t="shared" si="172"/>
        <v>0</v>
      </c>
      <c r="AT204" s="3">
        <f t="shared" si="172"/>
        <v>0</v>
      </c>
      <c r="AU204" s="3">
        <f t="shared" si="172"/>
        <v>0</v>
      </c>
      <c r="AV204" s="3">
        <f t="shared" si="172"/>
        <v>0</v>
      </c>
      <c r="AW204" s="3">
        <f t="shared" si="172"/>
        <v>0</v>
      </c>
      <c r="AX204" s="3">
        <f t="shared" si="172"/>
        <v>0</v>
      </c>
      <c r="AY204" s="3">
        <f t="shared" si="172"/>
        <v>0</v>
      </c>
      <c r="AZ204" s="3">
        <f t="shared" si="172"/>
        <v>0</v>
      </c>
      <c r="BA204" s="3">
        <f t="shared" si="172"/>
        <v>0</v>
      </c>
      <c r="BB204" s="3">
        <f t="shared" si="172"/>
        <v>0</v>
      </c>
      <c r="BC204" s="3">
        <f t="shared" si="170"/>
        <v>0</v>
      </c>
      <c r="BD204" s="3">
        <f t="shared" si="170"/>
        <v>0</v>
      </c>
      <c r="BE204" s="3">
        <f t="shared" si="170"/>
        <v>0</v>
      </c>
      <c r="BF204" s="3">
        <f t="shared" si="167"/>
        <v>0</v>
      </c>
      <c r="BG204" s="3">
        <f t="shared" si="175"/>
        <v>0</v>
      </c>
      <c r="BH204" s="3">
        <f t="shared" si="175"/>
        <v>0</v>
      </c>
      <c r="BI204" s="3">
        <f t="shared" si="175"/>
        <v>0</v>
      </c>
      <c r="BJ204" s="3">
        <f t="shared" si="175"/>
        <v>0</v>
      </c>
      <c r="BK204" s="3">
        <f t="shared" si="175"/>
        <v>0</v>
      </c>
      <c r="BL204" s="3">
        <f t="shared" si="175"/>
        <v>0</v>
      </c>
      <c r="BM204" s="3">
        <f t="shared" si="175"/>
        <v>0</v>
      </c>
      <c r="BN204" s="3">
        <f t="shared" si="175"/>
        <v>0</v>
      </c>
      <c r="BO204" s="3">
        <f t="shared" si="175"/>
        <v>0</v>
      </c>
      <c r="BP204" s="3">
        <f t="shared" si="175"/>
        <v>0</v>
      </c>
      <c r="BQ204" s="3">
        <f t="shared" si="175"/>
        <v>0</v>
      </c>
      <c r="BR204" s="3">
        <f t="shared" si="175"/>
        <v>0</v>
      </c>
    </row>
    <row r="205" spans="1:70" outlineLevel="1" x14ac:dyDescent="0.3">
      <c r="A205" s="7">
        <v>36</v>
      </c>
      <c r="B205" s="150" t="s">
        <v>142</v>
      </c>
      <c r="C205" s="150"/>
      <c r="D205" s="150"/>
      <c r="E205" s="150"/>
      <c r="F205" s="3">
        <v>0</v>
      </c>
      <c r="G205" s="3">
        <f t="shared" si="164"/>
        <v>0</v>
      </c>
      <c r="H205" s="3">
        <f t="shared" si="173"/>
        <v>0</v>
      </c>
      <c r="I205" s="3">
        <f t="shared" si="173"/>
        <v>0</v>
      </c>
      <c r="J205" s="3">
        <f t="shared" si="173"/>
        <v>0</v>
      </c>
      <c r="K205" s="3">
        <f t="shared" si="173"/>
        <v>0</v>
      </c>
      <c r="L205" s="3">
        <f t="shared" si="173"/>
        <v>0</v>
      </c>
      <c r="M205" s="3">
        <f t="shared" si="173"/>
        <v>0</v>
      </c>
      <c r="N205" s="3">
        <f t="shared" si="173"/>
        <v>0</v>
      </c>
      <c r="O205" s="3">
        <f t="shared" si="173"/>
        <v>0</v>
      </c>
      <c r="P205" s="3">
        <f t="shared" si="173"/>
        <v>0</v>
      </c>
      <c r="Q205" s="3">
        <f t="shared" si="173"/>
        <v>0</v>
      </c>
      <c r="R205" s="3">
        <f t="shared" si="173"/>
        <v>0</v>
      </c>
      <c r="S205" s="3">
        <f t="shared" si="173"/>
        <v>0</v>
      </c>
      <c r="T205" s="3">
        <f t="shared" si="173"/>
        <v>0</v>
      </c>
      <c r="U205" s="3">
        <f t="shared" si="173"/>
        <v>0</v>
      </c>
      <c r="V205" s="3">
        <f t="shared" si="173"/>
        <v>0</v>
      </c>
      <c r="W205" s="3">
        <f t="shared" si="173"/>
        <v>0</v>
      </c>
      <c r="X205" s="3">
        <f t="shared" si="171"/>
        <v>0</v>
      </c>
      <c r="Y205" s="3">
        <f t="shared" si="171"/>
        <v>0</v>
      </c>
      <c r="Z205" s="3">
        <f t="shared" si="171"/>
        <v>0</v>
      </c>
      <c r="AA205" s="3">
        <f t="shared" si="171"/>
        <v>0</v>
      </c>
      <c r="AB205" s="3">
        <f t="shared" si="171"/>
        <v>0</v>
      </c>
      <c r="AC205" s="3">
        <f t="shared" si="171"/>
        <v>0</v>
      </c>
      <c r="AD205" s="3">
        <f t="shared" si="171"/>
        <v>0</v>
      </c>
      <c r="AE205" s="3">
        <f t="shared" si="171"/>
        <v>0</v>
      </c>
      <c r="AF205" s="3">
        <f t="shared" si="171"/>
        <v>0</v>
      </c>
      <c r="AG205" s="3">
        <f t="shared" si="171"/>
        <v>0</v>
      </c>
      <c r="AH205" s="3">
        <f t="shared" si="171"/>
        <v>0</v>
      </c>
      <c r="AI205" s="3">
        <f t="shared" si="171"/>
        <v>0</v>
      </c>
      <c r="AJ205" s="3">
        <f t="shared" si="171"/>
        <v>0</v>
      </c>
      <c r="AK205" s="3">
        <f t="shared" si="171"/>
        <v>0</v>
      </c>
      <c r="AL205" s="3">
        <f t="shared" si="171"/>
        <v>0</v>
      </c>
      <c r="AM205" s="3">
        <f t="shared" si="172"/>
        <v>0</v>
      </c>
      <c r="AN205" s="3">
        <f t="shared" si="172"/>
        <v>0</v>
      </c>
      <c r="AO205" s="3">
        <f t="shared" si="172"/>
        <v>1</v>
      </c>
      <c r="AP205" s="3">
        <f t="shared" si="172"/>
        <v>0</v>
      </c>
      <c r="AQ205" s="3">
        <f t="shared" si="172"/>
        <v>0</v>
      </c>
      <c r="AR205" s="3">
        <f t="shared" si="172"/>
        <v>0</v>
      </c>
      <c r="AS205" s="3">
        <f t="shared" si="172"/>
        <v>0</v>
      </c>
      <c r="AT205" s="3">
        <f t="shared" si="172"/>
        <v>0</v>
      </c>
      <c r="AU205" s="3">
        <f t="shared" si="172"/>
        <v>0</v>
      </c>
      <c r="AV205" s="3">
        <f t="shared" si="172"/>
        <v>0</v>
      </c>
      <c r="AW205" s="3">
        <f t="shared" si="172"/>
        <v>0</v>
      </c>
      <c r="AX205" s="3">
        <f t="shared" si="172"/>
        <v>0</v>
      </c>
      <c r="AY205" s="3">
        <f t="shared" si="172"/>
        <v>0</v>
      </c>
      <c r="AZ205" s="3">
        <f t="shared" si="172"/>
        <v>0</v>
      </c>
      <c r="BA205" s="3">
        <f t="shared" si="172"/>
        <v>0</v>
      </c>
      <c r="BB205" s="3">
        <f t="shared" si="172"/>
        <v>0</v>
      </c>
      <c r="BC205" s="3">
        <f t="shared" si="170"/>
        <v>0</v>
      </c>
      <c r="BD205" s="3">
        <f t="shared" si="170"/>
        <v>0</v>
      </c>
      <c r="BE205" s="3">
        <f t="shared" si="170"/>
        <v>0</v>
      </c>
      <c r="BF205" s="3">
        <f t="shared" ref="BF205:BR234" si="176">IF(BE204=1,1,0)</f>
        <v>0</v>
      </c>
      <c r="BG205" s="3">
        <f t="shared" si="176"/>
        <v>0</v>
      </c>
      <c r="BH205" s="3">
        <f t="shared" si="176"/>
        <v>0</v>
      </c>
      <c r="BI205" s="3">
        <f t="shared" si="176"/>
        <v>0</v>
      </c>
      <c r="BJ205" s="3">
        <f t="shared" si="176"/>
        <v>0</v>
      </c>
      <c r="BK205" s="3">
        <f t="shared" si="176"/>
        <v>0</v>
      </c>
      <c r="BL205" s="3">
        <f t="shared" si="176"/>
        <v>0</v>
      </c>
      <c r="BM205" s="3">
        <f t="shared" si="176"/>
        <v>0</v>
      </c>
      <c r="BN205" s="3">
        <f t="shared" si="176"/>
        <v>0</v>
      </c>
      <c r="BO205" s="3">
        <f t="shared" si="176"/>
        <v>0</v>
      </c>
      <c r="BP205" s="3">
        <f t="shared" si="176"/>
        <v>0</v>
      </c>
      <c r="BQ205" s="3">
        <f t="shared" si="176"/>
        <v>0</v>
      </c>
      <c r="BR205" s="3">
        <f t="shared" si="176"/>
        <v>0</v>
      </c>
    </row>
    <row r="206" spans="1:70" outlineLevel="1" x14ac:dyDescent="0.3">
      <c r="A206" s="7">
        <v>37</v>
      </c>
      <c r="B206" s="150" t="s">
        <v>143</v>
      </c>
      <c r="C206" s="150"/>
      <c r="D206" s="150"/>
      <c r="E206" s="150"/>
      <c r="F206" s="3">
        <v>0</v>
      </c>
      <c r="G206" s="3">
        <f t="shared" si="164"/>
        <v>0</v>
      </c>
      <c r="H206" s="3">
        <f t="shared" si="173"/>
        <v>0</v>
      </c>
      <c r="I206" s="3">
        <f t="shared" si="173"/>
        <v>0</v>
      </c>
      <c r="J206" s="3">
        <f t="shared" si="173"/>
        <v>0</v>
      </c>
      <c r="K206" s="3">
        <f t="shared" si="173"/>
        <v>0</v>
      </c>
      <c r="L206" s="3">
        <f t="shared" si="173"/>
        <v>0</v>
      </c>
      <c r="M206" s="3">
        <f t="shared" si="173"/>
        <v>0</v>
      </c>
      <c r="N206" s="3">
        <f t="shared" si="173"/>
        <v>0</v>
      </c>
      <c r="O206" s="3">
        <f t="shared" si="173"/>
        <v>0</v>
      </c>
      <c r="P206" s="3">
        <f t="shared" si="173"/>
        <v>0</v>
      </c>
      <c r="Q206" s="3">
        <f t="shared" si="173"/>
        <v>0</v>
      </c>
      <c r="R206" s="3">
        <f t="shared" si="173"/>
        <v>0</v>
      </c>
      <c r="S206" s="3">
        <f t="shared" si="173"/>
        <v>0</v>
      </c>
      <c r="T206" s="3">
        <f t="shared" si="173"/>
        <v>0</v>
      </c>
      <c r="U206" s="3">
        <f t="shared" si="173"/>
        <v>0</v>
      </c>
      <c r="V206" s="3">
        <f t="shared" si="173"/>
        <v>0</v>
      </c>
      <c r="W206" s="3">
        <f t="shared" si="173"/>
        <v>0</v>
      </c>
      <c r="X206" s="3">
        <f t="shared" si="171"/>
        <v>0</v>
      </c>
      <c r="Y206" s="3">
        <f t="shared" si="171"/>
        <v>0</v>
      </c>
      <c r="Z206" s="3">
        <f t="shared" si="171"/>
        <v>0</v>
      </c>
      <c r="AA206" s="3">
        <f t="shared" si="171"/>
        <v>0</v>
      </c>
      <c r="AB206" s="3">
        <f t="shared" si="171"/>
        <v>0</v>
      </c>
      <c r="AC206" s="3">
        <f t="shared" si="171"/>
        <v>0</v>
      </c>
      <c r="AD206" s="3">
        <f t="shared" si="171"/>
        <v>0</v>
      </c>
      <c r="AE206" s="3">
        <f t="shared" si="171"/>
        <v>0</v>
      </c>
      <c r="AF206" s="3">
        <f t="shared" si="171"/>
        <v>0</v>
      </c>
      <c r="AG206" s="3">
        <f t="shared" si="171"/>
        <v>0</v>
      </c>
      <c r="AH206" s="3">
        <f t="shared" si="171"/>
        <v>0</v>
      </c>
      <c r="AI206" s="3">
        <f t="shared" si="171"/>
        <v>0</v>
      </c>
      <c r="AJ206" s="3">
        <f t="shared" si="171"/>
        <v>0</v>
      </c>
      <c r="AK206" s="3">
        <f t="shared" si="171"/>
        <v>0</v>
      </c>
      <c r="AL206" s="3">
        <f t="shared" si="171"/>
        <v>0</v>
      </c>
      <c r="AM206" s="3">
        <f t="shared" si="172"/>
        <v>0</v>
      </c>
      <c r="AN206" s="3">
        <f t="shared" si="172"/>
        <v>0</v>
      </c>
      <c r="AO206" s="3">
        <f t="shared" si="172"/>
        <v>0</v>
      </c>
      <c r="AP206" s="3">
        <f t="shared" si="172"/>
        <v>1</v>
      </c>
      <c r="AQ206" s="3">
        <f t="shared" si="172"/>
        <v>0</v>
      </c>
      <c r="AR206" s="3">
        <f t="shared" si="172"/>
        <v>0</v>
      </c>
      <c r="AS206" s="3">
        <f t="shared" si="172"/>
        <v>0</v>
      </c>
      <c r="AT206" s="3">
        <f t="shared" si="172"/>
        <v>0</v>
      </c>
      <c r="AU206" s="3">
        <f t="shared" si="172"/>
        <v>0</v>
      </c>
      <c r="AV206" s="3">
        <f t="shared" si="172"/>
        <v>0</v>
      </c>
      <c r="AW206" s="3">
        <f t="shared" si="172"/>
        <v>0</v>
      </c>
      <c r="AX206" s="3">
        <f t="shared" si="172"/>
        <v>0</v>
      </c>
      <c r="AY206" s="3">
        <f t="shared" si="172"/>
        <v>0</v>
      </c>
      <c r="AZ206" s="3">
        <f t="shared" si="172"/>
        <v>0</v>
      </c>
      <c r="BA206" s="3">
        <f t="shared" si="172"/>
        <v>0</v>
      </c>
      <c r="BB206" s="3">
        <f t="shared" ref="BB206:BQ221" si="177">IF(BA205=1,1,0)</f>
        <v>0</v>
      </c>
      <c r="BC206" s="3">
        <f t="shared" si="177"/>
        <v>0</v>
      </c>
      <c r="BD206" s="3">
        <f t="shared" si="177"/>
        <v>0</v>
      </c>
      <c r="BE206" s="3">
        <f t="shared" si="177"/>
        <v>0</v>
      </c>
      <c r="BF206" s="3">
        <f t="shared" si="177"/>
        <v>0</v>
      </c>
      <c r="BG206" s="3">
        <f t="shared" si="177"/>
        <v>0</v>
      </c>
      <c r="BH206" s="3">
        <f t="shared" si="177"/>
        <v>0</v>
      </c>
      <c r="BI206" s="3">
        <f t="shared" si="177"/>
        <v>0</v>
      </c>
      <c r="BJ206" s="3">
        <f t="shared" si="177"/>
        <v>0</v>
      </c>
      <c r="BK206" s="3">
        <f t="shared" si="177"/>
        <v>0</v>
      </c>
      <c r="BL206" s="3">
        <f t="shared" si="177"/>
        <v>0</v>
      </c>
      <c r="BM206" s="3">
        <f t="shared" si="177"/>
        <v>0</v>
      </c>
      <c r="BN206" s="3">
        <f t="shared" si="177"/>
        <v>0</v>
      </c>
      <c r="BO206" s="3">
        <f t="shared" si="177"/>
        <v>0</v>
      </c>
      <c r="BP206" s="3">
        <f t="shared" si="177"/>
        <v>0</v>
      </c>
      <c r="BQ206" s="3">
        <f t="shared" si="177"/>
        <v>0</v>
      </c>
      <c r="BR206" s="3">
        <f t="shared" si="176"/>
        <v>0</v>
      </c>
    </row>
    <row r="207" spans="1:70" outlineLevel="1" x14ac:dyDescent="0.3">
      <c r="A207" s="7">
        <v>38</v>
      </c>
      <c r="B207" s="150" t="s">
        <v>144</v>
      </c>
      <c r="C207" s="150"/>
      <c r="D207" s="150"/>
      <c r="E207" s="150"/>
      <c r="F207" s="3">
        <v>0</v>
      </c>
      <c r="G207" s="3">
        <f t="shared" si="164"/>
        <v>0</v>
      </c>
      <c r="H207" s="3">
        <f t="shared" si="173"/>
        <v>0</v>
      </c>
      <c r="I207" s="3">
        <f t="shared" si="173"/>
        <v>0</v>
      </c>
      <c r="J207" s="3">
        <f t="shared" si="173"/>
        <v>0</v>
      </c>
      <c r="K207" s="3">
        <f t="shared" si="173"/>
        <v>0</v>
      </c>
      <c r="L207" s="3">
        <f t="shared" si="173"/>
        <v>0</v>
      </c>
      <c r="M207" s="3">
        <f t="shared" si="173"/>
        <v>0</v>
      </c>
      <c r="N207" s="3">
        <f t="shared" si="173"/>
        <v>0</v>
      </c>
      <c r="O207" s="3">
        <f t="shared" si="173"/>
        <v>0</v>
      </c>
      <c r="P207" s="3">
        <f t="shared" si="173"/>
        <v>0</v>
      </c>
      <c r="Q207" s="3">
        <f t="shared" si="173"/>
        <v>0</v>
      </c>
      <c r="R207" s="3">
        <f t="shared" si="173"/>
        <v>0</v>
      </c>
      <c r="S207" s="3">
        <f t="shared" si="173"/>
        <v>0</v>
      </c>
      <c r="T207" s="3">
        <f t="shared" si="173"/>
        <v>0</v>
      </c>
      <c r="U207" s="3">
        <f t="shared" si="173"/>
        <v>0</v>
      </c>
      <c r="V207" s="3">
        <f t="shared" si="173"/>
        <v>0</v>
      </c>
      <c r="W207" s="3">
        <f t="shared" ref="W207:AL222" si="178">IF(V206=1,1,0)</f>
        <v>0</v>
      </c>
      <c r="X207" s="3">
        <f t="shared" si="178"/>
        <v>0</v>
      </c>
      <c r="Y207" s="3">
        <f t="shared" si="178"/>
        <v>0</v>
      </c>
      <c r="Z207" s="3">
        <f t="shared" si="178"/>
        <v>0</v>
      </c>
      <c r="AA207" s="3">
        <f t="shared" si="178"/>
        <v>0</v>
      </c>
      <c r="AB207" s="3">
        <f t="shared" si="178"/>
        <v>0</v>
      </c>
      <c r="AC207" s="3">
        <f t="shared" si="178"/>
        <v>0</v>
      </c>
      <c r="AD207" s="3">
        <f t="shared" si="178"/>
        <v>0</v>
      </c>
      <c r="AE207" s="3">
        <f t="shared" si="178"/>
        <v>0</v>
      </c>
      <c r="AF207" s="3">
        <f t="shared" si="178"/>
        <v>0</v>
      </c>
      <c r="AG207" s="3">
        <f t="shared" si="178"/>
        <v>0</v>
      </c>
      <c r="AH207" s="3">
        <f t="shared" si="178"/>
        <v>0</v>
      </c>
      <c r="AI207" s="3">
        <f t="shared" si="178"/>
        <v>0</v>
      </c>
      <c r="AJ207" s="3">
        <f t="shared" si="178"/>
        <v>0</v>
      </c>
      <c r="AK207" s="3">
        <f t="shared" si="178"/>
        <v>0</v>
      </c>
      <c r="AL207" s="3">
        <f t="shared" si="178"/>
        <v>0</v>
      </c>
      <c r="AM207" s="3">
        <f t="shared" ref="AM207:BB222" si="179">IF(AL206=1,1,0)</f>
        <v>0</v>
      </c>
      <c r="AN207" s="3">
        <f t="shared" si="179"/>
        <v>0</v>
      </c>
      <c r="AO207" s="3">
        <f t="shared" si="179"/>
        <v>0</v>
      </c>
      <c r="AP207" s="3">
        <f t="shared" si="179"/>
        <v>0</v>
      </c>
      <c r="AQ207" s="3">
        <f t="shared" si="179"/>
        <v>1</v>
      </c>
      <c r="AR207" s="3">
        <f t="shared" si="179"/>
        <v>0</v>
      </c>
      <c r="AS207" s="3">
        <f t="shared" si="179"/>
        <v>0</v>
      </c>
      <c r="AT207" s="3">
        <f t="shared" si="179"/>
        <v>0</v>
      </c>
      <c r="AU207" s="3">
        <f t="shared" si="179"/>
        <v>0</v>
      </c>
      <c r="AV207" s="3">
        <f t="shared" si="179"/>
        <v>0</v>
      </c>
      <c r="AW207" s="3">
        <f t="shared" si="179"/>
        <v>0</v>
      </c>
      <c r="AX207" s="3">
        <f t="shared" si="179"/>
        <v>0</v>
      </c>
      <c r="AY207" s="3">
        <f t="shared" si="179"/>
        <v>0</v>
      </c>
      <c r="AZ207" s="3">
        <f t="shared" si="179"/>
        <v>0</v>
      </c>
      <c r="BA207" s="3">
        <f t="shared" si="179"/>
        <v>0</v>
      </c>
      <c r="BB207" s="3">
        <f t="shared" si="179"/>
        <v>0</v>
      </c>
      <c r="BC207" s="3">
        <f t="shared" si="177"/>
        <v>0</v>
      </c>
      <c r="BD207" s="3">
        <f t="shared" si="177"/>
        <v>0</v>
      </c>
      <c r="BE207" s="3">
        <f t="shared" si="177"/>
        <v>0</v>
      </c>
      <c r="BF207" s="3">
        <f t="shared" si="177"/>
        <v>0</v>
      </c>
      <c r="BG207" s="3">
        <f t="shared" si="177"/>
        <v>0</v>
      </c>
      <c r="BH207" s="3">
        <f t="shared" si="177"/>
        <v>0</v>
      </c>
      <c r="BI207" s="3">
        <f t="shared" si="177"/>
        <v>0</v>
      </c>
      <c r="BJ207" s="3">
        <f t="shared" si="177"/>
        <v>0</v>
      </c>
      <c r="BK207" s="3">
        <f t="shared" si="177"/>
        <v>0</v>
      </c>
      <c r="BL207" s="3">
        <f t="shared" si="177"/>
        <v>0</v>
      </c>
      <c r="BM207" s="3">
        <f t="shared" si="177"/>
        <v>0</v>
      </c>
      <c r="BN207" s="3">
        <f t="shared" si="177"/>
        <v>0</v>
      </c>
      <c r="BO207" s="3">
        <f t="shared" si="177"/>
        <v>0</v>
      </c>
      <c r="BP207" s="3">
        <f t="shared" si="177"/>
        <v>0</v>
      </c>
      <c r="BQ207" s="3">
        <f t="shared" si="177"/>
        <v>0</v>
      </c>
      <c r="BR207" s="3">
        <f t="shared" si="176"/>
        <v>0</v>
      </c>
    </row>
    <row r="208" spans="1:70" outlineLevel="1" x14ac:dyDescent="0.3">
      <c r="A208" s="7">
        <v>39</v>
      </c>
      <c r="B208" s="150" t="s">
        <v>145</v>
      </c>
      <c r="C208" s="150"/>
      <c r="D208" s="150"/>
      <c r="E208" s="150"/>
      <c r="F208" s="3">
        <v>0</v>
      </c>
      <c r="G208" s="3">
        <f t="shared" si="164"/>
        <v>0</v>
      </c>
      <c r="H208" s="3">
        <f t="shared" ref="H208:W223" si="180">IF(G207=1,1,0)</f>
        <v>0</v>
      </c>
      <c r="I208" s="3">
        <f t="shared" si="180"/>
        <v>0</v>
      </c>
      <c r="J208" s="3">
        <f t="shared" si="180"/>
        <v>0</v>
      </c>
      <c r="K208" s="3">
        <f t="shared" si="180"/>
        <v>0</v>
      </c>
      <c r="L208" s="3">
        <f t="shared" si="180"/>
        <v>0</v>
      </c>
      <c r="M208" s="3">
        <f t="shared" si="180"/>
        <v>0</v>
      </c>
      <c r="N208" s="3">
        <f t="shared" si="180"/>
        <v>0</v>
      </c>
      <c r="O208" s="3">
        <f t="shared" si="180"/>
        <v>0</v>
      </c>
      <c r="P208" s="3">
        <f t="shared" si="180"/>
        <v>0</v>
      </c>
      <c r="Q208" s="3">
        <f t="shared" si="180"/>
        <v>0</v>
      </c>
      <c r="R208" s="3">
        <f t="shared" si="180"/>
        <v>0</v>
      </c>
      <c r="S208" s="3">
        <f t="shared" si="180"/>
        <v>0</v>
      </c>
      <c r="T208" s="3">
        <f t="shared" si="180"/>
        <v>0</v>
      </c>
      <c r="U208" s="3">
        <f t="shared" si="180"/>
        <v>0</v>
      </c>
      <c r="V208" s="3">
        <f t="shared" si="180"/>
        <v>0</v>
      </c>
      <c r="W208" s="3">
        <f t="shared" si="180"/>
        <v>0</v>
      </c>
      <c r="X208" s="3">
        <f t="shared" si="178"/>
        <v>0</v>
      </c>
      <c r="Y208" s="3">
        <f t="shared" si="178"/>
        <v>0</v>
      </c>
      <c r="Z208" s="3">
        <f t="shared" si="178"/>
        <v>0</v>
      </c>
      <c r="AA208" s="3">
        <f t="shared" si="178"/>
        <v>0</v>
      </c>
      <c r="AB208" s="3">
        <f t="shared" si="178"/>
        <v>0</v>
      </c>
      <c r="AC208" s="3">
        <f t="shared" si="178"/>
        <v>0</v>
      </c>
      <c r="AD208" s="3">
        <f t="shared" si="178"/>
        <v>0</v>
      </c>
      <c r="AE208" s="3">
        <f t="shared" si="178"/>
        <v>0</v>
      </c>
      <c r="AF208" s="3">
        <f t="shared" si="178"/>
        <v>0</v>
      </c>
      <c r="AG208" s="3">
        <f t="shared" si="178"/>
        <v>0</v>
      </c>
      <c r="AH208" s="3">
        <f t="shared" si="178"/>
        <v>0</v>
      </c>
      <c r="AI208" s="3">
        <f t="shared" si="178"/>
        <v>0</v>
      </c>
      <c r="AJ208" s="3">
        <f t="shared" si="178"/>
        <v>0</v>
      </c>
      <c r="AK208" s="3">
        <f t="shared" si="178"/>
        <v>0</v>
      </c>
      <c r="AL208" s="3">
        <f t="shared" si="178"/>
        <v>0</v>
      </c>
      <c r="AM208" s="3">
        <f t="shared" si="179"/>
        <v>0</v>
      </c>
      <c r="AN208" s="3">
        <f t="shared" si="179"/>
        <v>0</v>
      </c>
      <c r="AO208" s="3">
        <f t="shared" si="179"/>
        <v>0</v>
      </c>
      <c r="AP208" s="3">
        <f t="shared" si="179"/>
        <v>0</v>
      </c>
      <c r="AQ208" s="3">
        <f t="shared" si="179"/>
        <v>0</v>
      </c>
      <c r="AR208" s="3">
        <f t="shared" si="179"/>
        <v>1</v>
      </c>
      <c r="AS208" s="3">
        <f t="shared" si="179"/>
        <v>0</v>
      </c>
      <c r="AT208" s="3">
        <f t="shared" si="179"/>
        <v>0</v>
      </c>
      <c r="AU208" s="3">
        <f t="shared" si="179"/>
        <v>0</v>
      </c>
      <c r="AV208" s="3">
        <f t="shared" si="179"/>
        <v>0</v>
      </c>
      <c r="AW208" s="3">
        <f t="shared" si="179"/>
        <v>0</v>
      </c>
      <c r="AX208" s="3">
        <f t="shared" si="179"/>
        <v>0</v>
      </c>
      <c r="AY208" s="3">
        <f t="shared" si="179"/>
        <v>0</v>
      </c>
      <c r="AZ208" s="3">
        <f t="shared" si="179"/>
        <v>0</v>
      </c>
      <c r="BA208" s="3">
        <f t="shared" si="179"/>
        <v>0</v>
      </c>
      <c r="BB208" s="3">
        <f t="shared" si="179"/>
        <v>0</v>
      </c>
      <c r="BC208" s="3">
        <f t="shared" si="177"/>
        <v>0</v>
      </c>
      <c r="BD208" s="3">
        <f t="shared" si="177"/>
        <v>0</v>
      </c>
      <c r="BE208" s="3">
        <f t="shared" si="177"/>
        <v>0</v>
      </c>
      <c r="BF208" s="3">
        <f t="shared" si="177"/>
        <v>0</v>
      </c>
      <c r="BG208" s="3">
        <f t="shared" si="177"/>
        <v>0</v>
      </c>
      <c r="BH208" s="3">
        <f t="shared" si="177"/>
        <v>0</v>
      </c>
      <c r="BI208" s="3">
        <f t="shared" si="177"/>
        <v>0</v>
      </c>
      <c r="BJ208" s="3">
        <f t="shared" si="177"/>
        <v>0</v>
      </c>
      <c r="BK208" s="3">
        <f t="shared" si="177"/>
        <v>0</v>
      </c>
      <c r="BL208" s="3">
        <f t="shared" si="177"/>
        <v>0</v>
      </c>
      <c r="BM208" s="3">
        <f t="shared" si="177"/>
        <v>0</v>
      </c>
      <c r="BN208" s="3">
        <f t="shared" si="177"/>
        <v>0</v>
      </c>
      <c r="BO208" s="3">
        <f t="shared" si="177"/>
        <v>0</v>
      </c>
      <c r="BP208" s="3">
        <f t="shared" si="177"/>
        <v>0</v>
      </c>
      <c r="BQ208" s="3">
        <f t="shared" si="177"/>
        <v>0</v>
      </c>
      <c r="BR208" s="3">
        <f t="shared" si="176"/>
        <v>0</v>
      </c>
    </row>
    <row r="209" spans="1:70" outlineLevel="1" x14ac:dyDescent="0.3">
      <c r="A209" s="7">
        <v>40</v>
      </c>
      <c r="B209" s="150" t="s">
        <v>146</v>
      </c>
      <c r="C209" s="150"/>
      <c r="D209" s="150"/>
      <c r="E209" s="150"/>
      <c r="F209" s="3">
        <v>0</v>
      </c>
      <c r="G209" s="3">
        <f t="shared" si="164"/>
        <v>0</v>
      </c>
      <c r="H209" s="3">
        <f t="shared" si="180"/>
        <v>0</v>
      </c>
      <c r="I209" s="3">
        <f t="shared" si="180"/>
        <v>0</v>
      </c>
      <c r="J209" s="3">
        <f t="shared" si="180"/>
        <v>0</v>
      </c>
      <c r="K209" s="3">
        <f t="shared" si="180"/>
        <v>0</v>
      </c>
      <c r="L209" s="3">
        <f t="shared" si="180"/>
        <v>0</v>
      </c>
      <c r="M209" s="3">
        <f t="shared" si="180"/>
        <v>0</v>
      </c>
      <c r="N209" s="3">
        <f t="shared" si="180"/>
        <v>0</v>
      </c>
      <c r="O209" s="3">
        <f t="shared" si="180"/>
        <v>0</v>
      </c>
      <c r="P209" s="3">
        <f t="shared" si="180"/>
        <v>0</v>
      </c>
      <c r="Q209" s="3">
        <f t="shared" si="180"/>
        <v>0</v>
      </c>
      <c r="R209" s="3">
        <f t="shared" si="180"/>
        <v>0</v>
      </c>
      <c r="S209" s="3">
        <f t="shared" si="180"/>
        <v>0</v>
      </c>
      <c r="T209" s="3">
        <f t="shared" si="180"/>
        <v>0</v>
      </c>
      <c r="U209" s="3">
        <f t="shared" si="180"/>
        <v>0</v>
      </c>
      <c r="V209" s="3">
        <f t="shared" si="180"/>
        <v>0</v>
      </c>
      <c r="W209" s="3">
        <f t="shared" si="180"/>
        <v>0</v>
      </c>
      <c r="X209" s="3">
        <f t="shared" si="178"/>
        <v>0</v>
      </c>
      <c r="Y209" s="3">
        <f t="shared" si="178"/>
        <v>0</v>
      </c>
      <c r="Z209" s="3">
        <f t="shared" si="178"/>
        <v>0</v>
      </c>
      <c r="AA209" s="3">
        <f t="shared" si="178"/>
        <v>0</v>
      </c>
      <c r="AB209" s="3">
        <f t="shared" si="178"/>
        <v>0</v>
      </c>
      <c r="AC209" s="3">
        <f t="shared" si="178"/>
        <v>0</v>
      </c>
      <c r="AD209" s="3">
        <f t="shared" si="178"/>
        <v>0</v>
      </c>
      <c r="AE209" s="3">
        <f t="shared" si="178"/>
        <v>0</v>
      </c>
      <c r="AF209" s="3">
        <f t="shared" si="178"/>
        <v>0</v>
      </c>
      <c r="AG209" s="3">
        <f t="shared" si="178"/>
        <v>0</v>
      </c>
      <c r="AH209" s="3">
        <f t="shared" si="178"/>
        <v>0</v>
      </c>
      <c r="AI209" s="3">
        <f t="shared" si="178"/>
        <v>0</v>
      </c>
      <c r="AJ209" s="3">
        <f t="shared" si="178"/>
        <v>0</v>
      </c>
      <c r="AK209" s="3">
        <f t="shared" si="178"/>
        <v>0</v>
      </c>
      <c r="AL209" s="3">
        <f t="shared" si="178"/>
        <v>0</v>
      </c>
      <c r="AM209" s="3">
        <f t="shared" si="179"/>
        <v>0</v>
      </c>
      <c r="AN209" s="3">
        <f t="shared" si="179"/>
        <v>0</v>
      </c>
      <c r="AO209" s="3">
        <f t="shared" si="179"/>
        <v>0</v>
      </c>
      <c r="AP209" s="3">
        <f t="shared" si="179"/>
        <v>0</v>
      </c>
      <c r="AQ209" s="3">
        <f t="shared" si="179"/>
        <v>0</v>
      </c>
      <c r="AR209" s="3">
        <f t="shared" si="179"/>
        <v>0</v>
      </c>
      <c r="AS209" s="3">
        <f t="shared" si="179"/>
        <v>1</v>
      </c>
      <c r="AT209" s="3">
        <f t="shared" si="179"/>
        <v>0</v>
      </c>
      <c r="AU209" s="3">
        <f t="shared" si="179"/>
        <v>0</v>
      </c>
      <c r="AV209" s="3">
        <f t="shared" si="179"/>
        <v>0</v>
      </c>
      <c r="AW209" s="3">
        <f t="shared" si="179"/>
        <v>0</v>
      </c>
      <c r="AX209" s="3">
        <f t="shared" si="179"/>
        <v>0</v>
      </c>
      <c r="AY209" s="3">
        <f t="shared" si="179"/>
        <v>0</v>
      </c>
      <c r="AZ209" s="3">
        <f t="shared" si="179"/>
        <v>0</v>
      </c>
      <c r="BA209" s="3">
        <f t="shared" si="179"/>
        <v>0</v>
      </c>
      <c r="BB209" s="3">
        <f t="shared" si="179"/>
        <v>0</v>
      </c>
      <c r="BC209" s="3">
        <f t="shared" si="177"/>
        <v>0</v>
      </c>
      <c r="BD209" s="3">
        <f t="shared" si="177"/>
        <v>0</v>
      </c>
      <c r="BE209" s="3">
        <f t="shared" si="177"/>
        <v>0</v>
      </c>
      <c r="BF209" s="3">
        <f t="shared" si="177"/>
        <v>0</v>
      </c>
      <c r="BG209" s="3">
        <f t="shared" si="177"/>
        <v>0</v>
      </c>
      <c r="BH209" s="3">
        <f t="shared" si="177"/>
        <v>0</v>
      </c>
      <c r="BI209" s="3">
        <f t="shared" si="177"/>
        <v>0</v>
      </c>
      <c r="BJ209" s="3">
        <f t="shared" si="177"/>
        <v>0</v>
      </c>
      <c r="BK209" s="3">
        <f t="shared" si="177"/>
        <v>0</v>
      </c>
      <c r="BL209" s="3">
        <f t="shared" si="177"/>
        <v>0</v>
      </c>
      <c r="BM209" s="3">
        <f t="shared" si="177"/>
        <v>0</v>
      </c>
      <c r="BN209" s="3">
        <f t="shared" si="177"/>
        <v>0</v>
      </c>
      <c r="BO209" s="3">
        <f t="shared" si="177"/>
        <v>0</v>
      </c>
      <c r="BP209" s="3">
        <f t="shared" si="177"/>
        <v>0</v>
      </c>
      <c r="BQ209" s="3">
        <f t="shared" si="177"/>
        <v>0</v>
      </c>
      <c r="BR209" s="3">
        <f t="shared" si="176"/>
        <v>0</v>
      </c>
    </row>
    <row r="210" spans="1:70" outlineLevel="1" x14ac:dyDescent="0.3">
      <c r="A210" s="7">
        <v>41</v>
      </c>
      <c r="B210" s="150" t="s">
        <v>147</v>
      </c>
      <c r="C210" s="150"/>
      <c r="D210" s="150"/>
      <c r="E210" s="150"/>
      <c r="F210" s="3">
        <v>0</v>
      </c>
      <c r="G210" s="3">
        <f t="shared" si="164"/>
        <v>0</v>
      </c>
      <c r="H210" s="3">
        <f t="shared" si="180"/>
        <v>0</v>
      </c>
      <c r="I210" s="3">
        <f t="shared" si="180"/>
        <v>0</v>
      </c>
      <c r="J210" s="3">
        <f t="shared" si="180"/>
        <v>0</v>
      </c>
      <c r="K210" s="3">
        <f t="shared" si="180"/>
        <v>0</v>
      </c>
      <c r="L210" s="3">
        <f t="shared" si="180"/>
        <v>0</v>
      </c>
      <c r="M210" s="3">
        <f t="shared" si="180"/>
        <v>0</v>
      </c>
      <c r="N210" s="3">
        <f t="shared" si="180"/>
        <v>0</v>
      </c>
      <c r="O210" s="3">
        <f t="shared" si="180"/>
        <v>0</v>
      </c>
      <c r="P210" s="3">
        <f t="shared" si="180"/>
        <v>0</v>
      </c>
      <c r="Q210" s="3">
        <f t="shared" si="180"/>
        <v>0</v>
      </c>
      <c r="R210" s="3">
        <f t="shared" si="180"/>
        <v>0</v>
      </c>
      <c r="S210" s="3">
        <f t="shared" si="180"/>
        <v>0</v>
      </c>
      <c r="T210" s="3">
        <f t="shared" si="180"/>
        <v>0</v>
      </c>
      <c r="U210" s="3">
        <f t="shared" si="180"/>
        <v>0</v>
      </c>
      <c r="V210" s="3">
        <f t="shared" si="180"/>
        <v>0</v>
      </c>
      <c r="W210" s="3">
        <f t="shared" si="180"/>
        <v>0</v>
      </c>
      <c r="X210" s="3">
        <f t="shared" si="178"/>
        <v>0</v>
      </c>
      <c r="Y210" s="3">
        <f t="shared" si="178"/>
        <v>0</v>
      </c>
      <c r="Z210" s="3">
        <f t="shared" si="178"/>
        <v>0</v>
      </c>
      <c r="AA210" s="3">
        <f t="shared" si="178"/>
        <v>0</v>
      </c>
      <c r="AB210" s="3">
        <f t="shared" si="178"/>
        <v>0</v>
      </c>
      <c r="AC210" s="3">
        <f t="shared" si="178"/>
        <v>0</v>
      </c>
      <c r="AD210" s="3">
        <f t="shared" si="178"/>
        <v>0</v>
      </c>
      <c r="AE210" s="3">
        <f t="shared" si="178"/>
        <v>0</v>
      </c>
      <c r="AF210" s="3">
        <f t="shared" si="178"/>
        <v>0</v>
      </c>
      <c r="AG210" s="3">
        <f t="shared" si="178"/>
        <v>0</v>
      </c>
      <c r="AH210" s="3">
        <f t="shared" si="178"/>
        <v>0</v>
      </c>
      <c r="AI210" s="3">
        <f t="shared" si="178"/>
        <v>0</v>
      </c>
      <c r="AJ210" s="3">
        <f t="shared" si="178"/>
        <v>0</v>
      </c>
      <c r="AK210" s="3">
        <f t="shared" si="178"/>
        <v>0</v>
      </c>
      <c r="AL210" s="3">
        <f t="shared" si="178"/>
        <v>0</v>
      </c>
      <c r="AM210" s="3">
        <f t="shared" si="179"/>
        <v>0</v>
      </c>
      <c r="AN210" s="3">
        <f t="shared" si="179"/>
        <v>0</v>
      </c>
      <c r="AO210" s="3">
        <f t="shared" si="179"/>
        <v>0</v>
      </c>
      <c r="AP210" s="3">
        <f t="shared" si="179"/>
        <v>0</v>
      </c>
      <c r="AQ210" s="3">
        <f t="shared" si="179"/>
        <v>0</v>
      </c>
      <c r="AR210" s="3">
        <f t="shared" si="179"/>
        <v>0</v>
      </c>
      <c r="AS210" s="3">
        <f t="shared" si="179"/>
        <v>0</v>
      </c>
      <c r="AT210" s="3">
        <f t="shared" si="179"/>
        <v>1</v>
      </c>
      <c r="AU210" s="3">
        <f t="shared" si="179"/>
        <v>0</v>
      </c>
      <c r="AV210" s="3">
        <f t="shared" si="179"/>
        <v>0</v>
      </c>
      <c r="AW210" s="3">
        <f t="shared" si="179"/>
        <v>0</v>
      </c>
      <c r="AX210" s="3">
        <f t="shared" si="179"/>
        <v>0</v>
      </c>
      <c r="AY210" s="3">
        <f t="shared" si="179"/>
        <v>0</v>
      </c>
      <c r="AZ210" s="3">
        <f t="shared" si="179"/>
        <v>0</v>
      </c>
      <c r="BA210" s="3">
        <f t="shared" si="179"/>
        <v>0</v>
      </c>
      <c r="BB210" s="3">
        <f t="shared" si="179"/>
        <v>0</v>
      </c>
      <c r="BC210" s="3">
        <f t="shared" si="177"/>
        <v>0</v>
      </c>
      <c r="BD210" s="3">
        <f t="shared" si="177"/>
        <v>0</v>
      </c>
      <c r="BE210" s="3">
        <f t="shared" si="177"/>
        <v>0</v>
      </c>
      <c r="BF210" s="3">
        <f t="shared" si="177"/>
        <v>0</v>
      </c>
      <c r="BG210" s="3">
        <f t="shared" si="177"/>
        <v>0</v>
      </c>
      <c r="BH210" s="3">
        <f t="shared" si="177"/>
        <v>0</v>
      </c>
      <c r="BI210" s="3">
        <f t="shared" si="177"/>
        <v>0</v>
      </c>
      <c r="BJ210" s="3">
        <f t="shared" si="177"/>
        <v>0</v>
      </c>
      <c r="BK210" s="3">
        <f t="shared" si="177"/>
        <v>0</v>
      </c>
      <c r="BL210" s="3">
        <f t="shared" si="177"/>
        <v>0</v>
      </c>
      <c r="BM210" s="3">
        <f t="shared" si="177"/>
        <v>0</v>
      </c>
      <c r="BN210" s="3">
        <f t="shared" si="177"/>
        <v>0</v>
      </c>
      <c r="BO210" s="3">
        <f t="shared" si="177"/>
        <v>0</v>
      </c>
      <c r="BP210" s="3">
        <f t="shared" si="177"/>
        <v>0</v>
      </c>
      <c r="BQ210" s="3">
        <f t="shared" si="177"/>
        <v>0</v>
      </c>
      <c r="BR210" s="3">
        <f t="shared" si="176"/>
        <v>0</v>
      </c>
    </row>
    <row r="211" spans="1:70" outlineLevel="1" x14ac:dyDescent="0.3">
      <c r="A211" s="7">
        <v>42</v>
      </c>
      <c r="B211" s="150" t="s">
        <v>148</v>
      </c>
      <c r="C211" s="150"/>
      <c r="D211" s="150"/>
      <c r="E211" s="150"/>
      <c r="F211" s="3">
        <v>0</v>
      </c>
      <c r="G211" s="3">
        <f t="shared" si="164"/>
        <v>0</v>
      </c>
      <c r="H211" s="3">
        <f t="shared" si="180"/>
        <v>0</v>
      </c>
      <c r="I211" s="3">
        <f t="shared" si="180"/>
        <v>0</v>
      </c>
      <c r="J211" s="3">
        <f t="shared" si="180"/>
        <v>0</v>
      </c>
      <c r="K211" s="3">
        <f t="shared" si="180"/>
        <v>0</v>
      </c>
      <c r="L211" s="3">
        <f t="shared" si="180"/>
        <v>0</v>
      </c>
      <c r="M211" s="3">
        <f t="shared" si="180"/>
        <v>0</v>
      </c>
      <c r="N211" s="3">
        <f t="shared" si="180"/>
        <v>0</v>
      </c>
      <c r="O211" s="3">
        <f t="shared" si="180"/>
        <v>0</v>
      </c>
      <c r="P211" s="3">
        <f t="shared" si="180"/>
        <v>0</v>
      </c>
      <c r="Q211" s="3">
        <f t="shared" si="180"/>
        <v>0</v>
      </c>
      <c r="R211" s="3">
        <f t="shared" si="180"/>
        <v>0</v>
      </c>
      <c r="S211" s="3">
        <f t="shared" si="180"/>
        <v>0</v>
      </c>
      <c r="T211" s="3">
        <f t="shared" si="180"/>
        <v>0</v>
      </c>
      <c r="U211" s="3">
        <f t="shared" si="180"/>
        <v>0</v>
      </c>
      <c r="V211" s="3">
        <f t="shared" si="180"/>
        <v>0</v>
      </c>
      <c r="W211" s="3">
        <f t="shared" si="180"/>
        <v>0</v>
      </c>
      <c r="X211" s="3">
        <f t="shared" si="178"/>
        <v>0</v>
      </c>
      <c r="Y211" s="3">
        <f t="shared" si="178"/>
        <v>0</v>
      </c>
      <c r="Z211" s="3">
        <f t="shared" si="178"/>
        <v>0</v>
      </c>
      <c r="AA211" s="3">
        <f t="shared" si="178"/>
        <v>0</v>
      </c>
      <c r="AB211" s="3">
        <f t="shared" si="178"/>
        <v>0</v>
      </c>
      <c r="AC211" s="3">
        <f t="shared" si="178"/>
        <v>0</v>
      </c>
      <c r="AD211" s="3">
        <f t="shared" si="178"/>
        <v>0</v>
      </c>
      <c r="AE211" s="3">
        <f t="shared" si="178"/>
        <v>0</v>
      </c>
      <c r="AF211" s="3">
        <f t="shared" si="178"/>
        <v>0</v>
      </c>
      <c r="AG211" s="3">
        <f t="shared" si="178"/>
        <v>0</v>
      </c>
      <c r="AH211" s="3">
        <f t="shared" si="178"/>
        <v>0</v>
      </c>
      <c r="AI211" s="3">
        <f t="shared" si="178"/>
        <v>0</v>
      </c>
      <c r="AJ211" s="3">
        <f t="shared" si="178"/>
        <v>0</v>
      </c>
      <c r="AK211" s="3">
        <f t="shared" si="178"/>
        <v>0</v>
      </c>
      <c r="AL211" s="3">
        <f t="shared" si="178"/>
        <v>0</v>
      </c>
      <c r="AM211" s="3">
        <f t="shared" si="179"/>
        <v>0</v>
      </c>
      <c r="AN211" s="3">
        <f t="shared" si="179"/>
        <v>0</v>
      </c>
      <c r="AO211" s="3">
        <f t="shared" si="179"/>
        <v>0</v>
      </c>
      <c r="AP211" s="3">
        <f t="shared" si="179"/>
        <v>0</v>
      </c>
      <c r="AQ211" s="3">
        <f t="shared" si="179"/>
        <v>0</v>
      </c>
      <c r="AR211" s="3">
        <f t="shared" si="179"/>
        <v>0</v>
      </c>
      <c r="AS211" s="3">
        <f t="shared" si="179"/>
        <v>0</v>
      </c>
      <c r="AT211" s="3">
        <f t="shared" si="179"/>
        <v>0</v>
      </c>
      <c r="AU211" s="3">
        <f t="shared" si="179"/>
        <v>1</v>
      </c>
      <c r="AV211" s="3">
        <f t="shared" si="179"/>
        <v>0</v>
      </c>
      <c r="AW211" s="3">
        <f t="shared" si="179"/>
        <v>0</v>
      </c>
      <c r="AX211" s="3">
        <f t="shared" si="179"/>
        <v>0</v>
      </c>
      <c r="AY211" s="3">
        <f t="shared" si="179"/>
        <v>0</v>
      </c>
      <c r="AZ211" s="3">
        <f t="shared" si="179"/>
        <v>0</v>
      </c>
      <c r="BA211" s="3">
        <f t="shared" si="179"/>
        <v>0</v>
      </c>
      <c r="BB211" s="3">
        <f t="shared" si="179"/>
        <v>0</v>
      </c>
      <c r="BC211" s="3">
        <f t="shared" si="177"/>
        <v>0</v>
      </c>
      <c r="BD211" s="3">
        <f t="shared" si="177"/>
        <v>0</v>
      </c>
      <c r="BE211" s="3">
        <f t="shared" si="177"/>
        <v>0</v>
      </c>
      <c r="BF211" s="3">
        <f t="shared" si="177"/>
        <v>0</v>
      </c>
      <c r="BG211" s="3">
        <f t="shared" si="177"/>
        <v>0</v>
      </c>
      <c r="BH211" s="3">
        <f t="shared" si="177"/>
        <v>0</v>
      </c>
      <c r="BI211" s="3">
        <f t="shared" si="177"/>
        <v>0</v>
      </c>
      <c r="BJ211" s="3">
        <f t="shared" si="177"/>
        <v>0</v>
      </c>
      <c r="BK211" s="3">
        <f t="shared" si="177"/>
        <v>0</v>
      </c>
      <c r="BL211" s="3">
        <f t="shared" si="177"/>
        <v>0</v>
      </c>
      <c r="BM211" s="3">
        <f t="shared" si="177"/>
        <v>0</v>
      </c>
      <c r="BN211" s="3">
        <f t="shared" si="177"/>
        <v>0</v>
      </c>
      <c r="BO211" s="3">
        <f t="shared" si="177"/>
        <v>0</v>
      </c>
      <c r="BP211" s="3">
        <f t="shared" si="177"/>
        <v>0</v>
      </c>
      <c r="BQ211" s="3">
        <f t="shared" si="177"/>
        <v>0</v>
      </c>
      <c r="BR211" s="3">
        <f t="shared" si="176"/>
        <v>0</v>
      </c>
    </row>
    <row r="212" spans="1:70" outlineLevel="1" x14ac:dyDescent="0.3">
      <c r="A212" s="7">
        <v>43</v>
      </c>
      <c r="B212" s="150" t="s">
        <v>149</v>
      </c>
      <c r="C212" s="150"/>
      <c r="D212" s="150"/>
      <c r="E212" s="150"/>
      <c r="F212" s="3">
        <v>0</v>
      </c>
      <c r="G212" s="3">
        <f t="shared" si="164"/>
        <v>0</v>
      </c>
      <c r="H212" s="3">
        <f t="shared" si="180"/>
        <v>0</v>
      </c>
      <c r="I212" s="3">
        <f t="shared" si="180"/>
        <v>0</v>
      </c>
      <c r="J212" s="3">
        <f t="shared" si="180"/>
        <v>0</v>
      </c>
      <c r="K212" s="3">
        <f t="shared" si="180"/>
        <v>0</v>
      </c>
      <c r="L212" s="3">
        <f t="shared" si="180"/>
        <v>0</v>
      </c>
      <c r="M212" s="3">
        <f t="shared" si="180"/>
        <v>0</v>
      </c>
      <c r="N212" s="3">
        <f t="shared" si="180"/>
        <v>0</v>
      </c>
      <c r="O212" s="3">
        <f t="shared" si="180"/>
        <v>0</v>
      </c>
      <c r="P212" s="3">
        <f t="shared" si="180"/>
        <v>0</v>
      </c>
      <c r="Q212" s="3">
        <f t="shared" si="180"/>
        <v>0</v>
      </c>
      <c r="R212" s="3">
        <f t="shared" si="180"/>
        <v>0</v>
      </c>
      <c r="S212" s="3">
        <f t="shared" si="180"/>
        <v>0</v>
      </c>
      <c r="T212" s="3">
        <f t="shared" si="180"/>
        <v>0</v>
      </c>
      <c r="U212" s="3">
        <f t="shared" si="180"/>
        <v>0</v>
      </c>
      <c r="V212" s="3">
        <f t="shared" si="180"/>
        <v>0</v>
      </c>
      <c r="W212" s="3">
        <f t="shared" si="180"/>
        <v>0</v>
      </c>
      <c r="X212" s="3">
        <f t="shared" si="178"/>
        <v>0</v>
      </c>
      <c r="Y212" s="3">
        <f t="shared" si="178"/>
        <v>0</v>
      </c>
      <c r="Z212" s="3">
        <f t="shared" si="178"/>
        <v>0</v>
      </c>
      <c r="AA212" s="3">
        <f t="shared" si="178"/>
        <v>0</v>
      </c>
      <c r="AB212" s="3">
        <f t="shared" si="178"/>
        <v>0</v>
      </c>
      <c r="AC212" s="3">
        <f t="shared" si="178"/>
        <v>0</v>
      </c>
      <c r="AD212" s="3">
        <f t="shared" si="178"/>
        <v>0</v>
      </c>
      <c r="AE212" s="3">
        <f t="shared" si="178"/>
        <v>0</v>
      </c>
      <c r="AF212" s="3">
        <f t="shared" si="178"/>
        <v>0</v>
      </c>
      <c r="AG212" s="3">
        <f t="shared" si="178"/>
        <v>0</v>
      </c>
      <c r="AH212" s="3">
        <f t="shared" si="178"/>
        <v>0</v>
      </c>
      <c r="AI212" s="3">
        <f t="shared" si="178"/>
        <v>0</v>
      </c>
      <c r="AJ212" s="3">
        <f t="shared" si="178"/>
        <v>0</v>
      </c>
      <c r="AK212" s="3">
        <f t="shared" si="178"/>
        <v>0</v>
      </c>
      <c r="AL212" s="3">
        <f t="shared" si="178"/>
        <v>0</v>
      </c>
      <c r="AM212" s="3">
        <f t="shared" si="179"/>
        <v>0</v>
      </c>
      <c r="AN212" s="3">
        <f t="shared" si="179"/>
        <v>0</v>
      </c>
      <c r="AO212" s="3">
        <f t="shared" si="179"/>
        <v>0</v>
      </c>
      <c r="AP212" s="3">
        <f t="shared" si="179"/>
        <v>0</v>
      </c>
      <c r="AQ212" s="3">
        <f t="shared" si="179"/>
        <v>0</v>
      </c>
      <c r="AR212" s="3">
        <f t="shared" si="179"/>
        <v>0</v>
      </c>
      <c r="AS212" s="3">
        <f t="shared" si="179"/>
        <v>0</v>
      </c>
      <c r="AT212" s="3">
        <f t="shared" si="179"/>
        <v>0</v>
      </c>
      <c r="AU212" s="3">
        <f t="shared" si="179"/>
        <v>0</v>
      </c>
      <c r="AV212" s="3">
        <f t="shared" si="179"/>
        <v>1</v>
      </c>
      <c r="AW212" s="3">
        <f t="shared" si="179"/>
        <v>0</v>
      </c>
      <c r="AX212" s="3">
        <f t="shared" si="179"/>
        <v>0</v>
      </c>
      <c r="AY212" s="3">
        <f t="shared" si="179"/>
        <v>0</v>
      </c>
      <c r="AZ212" s="3">
        <f t="shared" si="179"/>
        <v>0</v>
      </c>
      <c r="BA212" s="3">
        <f t="shared" si="179"/>
        <v>0</v>
      </c>
      <c r="BB212" s="3">
        <f t="shared" si="179"/>
        <v>0</v>
      </c>
      <c r="BC212" s="3">
        <f t="shared" si="177"/>
        <v>0</v>
      </c>
      <c r="BD212" s="3">
        <f t="shared" si="177"/>
        <v>0</v>
      </c>
      <c r="BE212" s="3">
        <f t="shared" si="177"/>
        <v>0</v>
      </c>
      <c r="BF212" s="3">
        <f t="shared" si="177"/>
        <v>0</v>
      </c>
      <c r="BG212" s="3">
        <f t="shared" si="177"/>
        <v>0</v>
      </c>
      <c r="BH212" s="3">
        <f t="shared" si="177"/>
        <v>0</v>
      </c>
      <c r="BI212" s="3">
        <f t="shared" si="177"/>
        <v>0</v>
      </c>
      <c r="BJ212" s="3">
        <f t="shared" si="177"/>
        <v>0</v>
      </c>
      <c r="BK212" s="3">
        <f t="shared" si="177"/>
        <v>0</v>
      </c>
      <c r="BL212" s="3">
        <f t="shared" si="177"/>
        <v>0</v>
      </c>
      <c r="BM212" s="3">
        <f t="shared" si="177"/>
        <v>0</v>
      </c>
      <c r="BN212" s="3">
        <f t="shared" si="177"/>
        <v>0</v>
      </c>
      <c r="BO212" s="3">
        <f t="shared" si="177"/>
        <v>0</v>
      </c>
      <c r="BP212" s="3">
        <f t="shared" si="177"/>
        <v>0</v>
      </c>
      <c r="BQ212" s="3">
        <f t="shared" si="177"/>
        <v>0</v>
      </c>
      <c r="BR212" s="3">
        <f t="shared" si="176"/>
        <v>0</v>
      </c>
    </row>
    <row r="213" spans="1:70" outlineLevel="1" x14ac:dyDescent="0.3">
      <c r="A213" s="7">
        <v>44</v>
      </c>
      <c r="B213" s="150" t="s">
        <v>150</v>
      </c>
      <c r="C213" s="150"/>
      <c r="D213" s="150"/>
      <c r="E213" s="150"/>
      <c r="F213" s="3">
        <v>0</v>
      </c>
      <c r="G213" s="3">
        <f t="shared" si="164"/>
        <v>0</v>
      </c>
      <c r="H213" s="3">
        <f t="shared" si="180"/>
        <v>0</v>
      </c>
      <c r="I213" s="3">
        <f t="shared" si="180"/>
        <v>0</v>
      </c>
      <c r="J213" s="3">
        <f t="shared" si="180"/>
        <v>0</v>
      </c>
      <c r="K213" s="3">
        <f t="shared" si="180"/>
        <v>0</v>
      </c>
      <c r="L213" s="3">
        <f t="shared" si="180"/>
        <v>0</v>
      </c>
      <c r="M213" s="3">
        <f t="shared" si="180"/>
        <v>0</v>
      </c>
      <c r="N213" s="3">
        <f t="shared" si="180"/>
        <v>0</v>
      </c>
      <c r="O213" s="3">
        <f t="shared" si="180"/>
        <v>0</v>
      </c>
      <c r="P213" s="3">
        <f t="shared" si="180"/>
        <v>0</v>
      </c>
      <c r="Q213" s="3">
        <f t="shared" si="180"/>
        <v>0</v>
      </c>
      <c r="R213" s="3">
        <f t="shared" si="180"/>
        <v>0</v>
      </c>
      <c r="S213" s="3">
        <f t="shared" si="180"/>
        <v>0</v>
      </c>
      <c r="T213" s="3">
        <f t="shared" si="180"/>
        <v>0</v>
      </c>
      <c r="U213" s="3">
        <f t="shared" si="180"/>
        <v>0</v>
      </c>
      <c r="V213" s="3">
        <f t="shared" si="180"/>
        <v>0</v>
      </c>
      <c r="W213" s="3">
        <f t="shared" si="180"/>
        <v>0</v>
      </c>
      <c r="X213" s="3">
        <f t="shared" si="178"/>
        <v>0</v>
      </c>
      <c r="Y213" s="3">
        <f t="shared" si="178"/>
        <v>0</v>
      </c>
      <c r="Z213" s="3">
        <f t="shared" si="178"/>
        <v>0</v>
      </c>
      <c r="AA213" s="3">
        <f t="shared" si="178"/>
        <v>0</v>
      </c>
      <c r="AB213" s="3">
        <f t="shared" si="178"/>
        <v>0</v>
      </c>
      <c r="AC213" s="3">
        <f t="shared" si="178"/>
        <v>0</v>
      </c>
      <c r="AD213" s="3">
        <f t="shared" si="178"/>
        <v>0</v>
      </c>
      <c r="AE213" s="3">
        <f t="shared" si="178"/>
        <v>0</v>
      </c>
      <c r="AF213" s="3">
        <f t="shared" si="178"/>
        <v>0</v>
      </c>
      <c r="AG213" s="3">
        <f t="shared" si="178"/>
        <v>0</v>
      </c>
      <c r="AH213" s="3">
        <f t="shared" si="178"/>
        <v>0</v>
      </c>
      <c r="AI213" s="3">
        <f t="shared" si="178"/>
        <v>0</v>
      </c>
      <c r="AJ213" s="3">
        <f t="shared" si="178"/>
        <v>0</v>
      </c>
      <c r="AK213" s="3">
        <f t="shared" si="178"/>
        <v>0</v>
      </c>
      <c r="AL213" s="3">
        <f t="shared" si="178"/>
        <v>0</v>
      </c>
      <c r="AM213" s="3">
        <f t="shared" si="179"/>
        <v>0</v>
      </c>
      <c r="AN213" s="3">
        <f t="shared" si="179"/>
        <v>0</v>
      </c>
      <c r="AO213" s="3">
        <f t="shared" si="179"/>
        <v>0</v>
      </c>
      <c r="AP213" s="3">
        <f t="shared" si="179"/>
        <v>0</v>
      </c>
      <c r="AQ213" s="3">
        <f t="shared" si="179"/>
        <v>0</v>
      </c>
      <c r="AR213" s="3">
        <f t="shared" si="179"/>
        <v>0</v>
      </c>
      <c r="AS213" s="3">
        <f t="shared" si="179"/>
        <v>0</v>
      </c>
      <c r="AT213" s="3">
        <f t="shared" si="179"/>
        <v>0</v>
      </c>
      <c r="AU213" s="3">
        <f t="shared" si="179"/>
        <v>0</v>
      </c>
      <c r="AV213" s="3">
        <f t="shared" si="179"/>
        <v>0</v>
      </c>
      <c r="AW213" s="3">
        <f t="shared" si="179"/>
        <v>1</v>
      </c>
      <c r="AX213" s="3">
        <f t="shared" si="179"/>
        <v>0</v>
      </c>
      <c r="AY213" s="3">
        <f t="shared" si="179"/>
        <v>0</v>
      </c>
      <c r="AZ213" s="3">
        <f t="shared" si="179"/>
        <v>0</v>
      </c>
      <c r="BA213" s="3">
        <f t="shared" si="179"/>
        <v>0</v>
      </c>
      <c r="BB213" s="3">
        <f t="shared" si="179"/>
        <v>0</v>
      </c>
      <c r="BC213" s="3">
        <f t="shared" si="177"/>
        <v>0</v>
      </c>
      <c r="BD213" s="3">
        <f t="shared" si="177"/>
        <v>0</v>
      </c>
      <c r="BE213" s="3">
        <f t="shared" si="177"/>
        <v>0</v>
      </c>
      <c r="BF213" s="3">
        <f t="shared" si="177"/>
        <v>0</v>
      </c>
      <c r="BG213" s="3">
        <f t="shared" si="177"/>
        <v>0</v>
      </c>
      <c r="BH213" s="3">
        <f t="shared" si="177"/>
        <v>0</v>
      </c>
      <c r="BI213" s="3">
        <f t="shared" si="177"/>
        <v>0</v>
      </c>
      <c r="BJ213" s="3">
        <f t="shared" si="177"/>
        <v>0</v>
      </c>
      <c r="BK213" s="3">
        <f t="shared" si="177"/>
        <v>0</v>
      </c>
      <c r="BL213" s="3">
        <f t="shared" si="177"/>
        <v>0</v>
      </c>
      <c r="BM213" s="3">
        <f t="shared" si="177"/>
        <v>0</v>
      </c>
      <c r="BN213" s="3">
        <f t="shared" si="177"/>
        <v>0</v>
      </c>
      <c r="BO213" s="3">
        <f t="shared" si="177"/>
        <v>0</v>
      </c>
      <c r="BP213" s="3">
        <f t="shared" si="177"/>
        <v>0</v>
      </c>
      <c r="BQ213" s="3">
        <f t="shared" si="177"/>
        <v>0</v>
      </c>
      <c r="BR213" s="3">
        <f t="shared" si="176"/>
        <v>0</v>
      </c>
    </row>
    <row r="214" spans="1:70" outlineLevel="1" x14ac:dyDescent="0.3">
      <c r="A214" s="7">
        <v>45</v>
      </c>
      <c r="B214" s="150" t="s">
        <v>151</v>
      </c>
      <c r="C214" s="150"/>
      <c r="D214" s="150"/>
      <c r="E214" s="150"/>
      <c r="F214" s="3">
        <v>0</v>
      </c>
      <c r="G214" s="3">
        <f t="shared" si="164"/>
        <v>0</v>
      </c>
      <c r="H214" s="3">
        <f t="shared" si="180"/>
        <v>0</v>
      </c>
      <c r="I214" s="3">
        <f t="shared" si="180"/>
        <v>0</v>
      </c>
      <c r="J214" s="3">
        <f t="shared" si="180"/>
        <v>0</v>
      </c>
      <c r="K214" s="3">
        <f t="shared" si="180"/>
        <v>0</v>
      </c>
      <c r="L214" s="3">
        <f t="shared" si="180"/>
        <v>0</v>
      </c>
      <c r="M214" s="3">
        <f t="shared" si="180"/>
        <v>0</v>
      </c>
      <c r="N214" s="3">
        <f t="shared" si="180"/>
        <v>0</v>
      </c>
      <c r="O214" s="3">
        <f t="shared" si="180"/>
        <v>0</v>
      </c>
      <c r="P214" s="3">
        <f t="shared" si="180"/>
        <v>0</v>
      </c>
      <c r="Q214" s="3">
        <f t="shared" si="180"/>
        <v>0</v>
      </c>
      <c r="R214" s="3">
        <f t="shared" si="180"/>
        <v>0</v>
      </c>
      <c r="S214" s="3">
        <f t="shared" si="180"/>
        <v>0</v>
      </c>
      <c r="T214" s="3">
        <f t="shared" si="180"/>
        <v>0</v>
      </c>
      <c r="U214" s="3">
        <f t="shared" si="180"/>
        <v>0</v>
      </c>
      <c r="V214" s="3">
        <f t="shared" si="180"/>
        <v>0</v>
      </c>
      <c r="W214" s="3">
        <f t="shared" si="180"/>
        <v>0</v>
      </c>
      <c r="X214" s="3">
        <f t="shared" si="178"/>
        <v>0</v>
      </c>
      <c r="Y214" s="3">
        <f t="shared" si="178"/>
        <v>0</v>
      </c>
      <c r="Z214" s="3">
        <f t="shared" si="178"/>
        <v>0</v>
      </c>
      <c r="AA214" s="3">
        <f t="shared" si="178"/>
        <v>0</v>
      </c>
      <c r="AB214" s="3">
        <f t="shared" si="178"/>
        <v>0</v>
      </c>
      <c r="AC214" s="3">
        <f t="shared" si="178"/>
        <v>0</v>
      </c>
      <c r="AD214" s="3">
        <f t="shared" si="178"/>
        <v>0</v>
      </c>
      <c r="AE214" s="3">
        <f t="shared" si="178"/>
        <v>0</v>
      </c>
      <c r="AF214" s="3">
        <f t="shared" si="178"/>
        <v>0</v>
      </c>
      <c r="AG214" s="3">
        <f t="shared" si="178"/>
        <v>0</v>
      </c>
      <c r="AH214" s="3">
        <f t="shared" si="178"/>
        <v>0</v>
      </c>
      <c r="AI214" s="3">
        <f t="shared" si="178"/>
        <v>0</v>
      </c>
      <c r="AJ214" s="3">
        <f t="shared" si="178"/>
        <v>0</v>
      </c>
      <c r="AK214" s="3">
        <f t="shared" si="178"/>
        <v>0</v>
      </c>
      <c r="AL214" s="3">
        <f t="shared" si="178"/>
        <v>0</v>
      </c>
      <c r="AM214" s="3">
        <f t="shared" si="179"/>
        <v>0</v>
      </c>
      <c r="AN214" s="3">
        <f t="shared" si="179"/>
        <v>0</v>
      </c>
      <c r="AO214" s="3">
        <f t="shared" si="179"/>
        <v>0</v>
      </c>
      <c r="AP214" s="3">
        <f t="shared" si="179"/>
        <v>0</v>
      </c>
      <c r="AQ214" s="3">
        <f t="shared" si="179"/>
        <v>0</v>
      </c>
      <c r="AR214" s="3">
        <f t="shared" si="179"/>
        <v>0</v>
      </c>
      <c r="AS214" s="3">
        <f t="shared" si="179"/>
        <v>0</v>
      </c>
      <c r="AT214" s="3">
        <f t="shared" si="179"/>
        <v>0</v>
      </c>
      <c r="AU214" s="3">
        <f t="shared" si="179"/>
        <v>0</v>
      </c>
      <c r="AV214" s="3">
        <f t="shared" si="179"/>
        <v>0</v>
      </c>
      <c r="AW214" s="3">
        <f t="shared" si="179"/>
        <v>0</v>
      </c>
      <c r="AX214" s="3">
        <f t="shared" si="179"/>
        <v>1</v>
      </c>
      <c r="AY214" s="3">
        <f t="shared" si="179"/>
        <v>0</v>
      </c>
      <c r="AZ214" s="3">
        <f t="shared" si="179"/>
        <v>0</v>
      </c>
      <c r="BA214" s="3">
        <f t="shared" si="179"/>
        <v>0</v>
      </c>
      <c r="BB214" s="3">
        <f t="shared" si="179"/>
        <v>0</v>
      </c>
      <c r="BC214" s="3">
        <f t="shared" si="177"/>
        <v>0</v>
      </c>
      <c r="BD214" s="3">
        <f t="shared" si="177"/>
        <v>0</v>
      </c>
      <c r="BE214" s="3">
        <f t="shared" si="177"/>
        <v>0</v>
      </c>
      <c r="BF214" s="3">
        <f t="shared" si="177"/>
        <v>0</v>
      </c>
      <c r="BG214" s="3">
        <f t="shared" si="177"/>
        <v>0</v>
      </c>
      <c r="BH214" s="3">
        <f t="shared" si="177"/>
        <v>0</v>
      </c>
      <c r="BI214" s="3">
        <f t="shared" si="177"/>
        <v>0</v>
      </c>
      <c r="BJ214" s="3">
        <f t="shared" si="177"/>
        <v>0</v>
      </c>
      <c r="BK214" s="3">
        <f t="shared" si="177"/>
        <v>0</v>
      </c>
      <c r="BL214" s="3">
        <f t="shared" si="177"/>
        <v>0</v>
      </c>
      <c r="BM214" s="3">
        <f t="shared" si="177"/>
        <v>0</v>
      </c>
      <c r="BN214" s="3">
        <f t="shared" si="177"/>
        <v>0</v>
      </c>
      <c r="BO214" s="3">
        <f t="shared" si="177"/>
        <v>0</v>
      </c>
      <c r="BP214" s="3">
        <f t="shared" si="177"/>
        <v>0</v>
      </c>
      <c r="BQ214" s="3">
        <f t="shared" si="177"/>
        <v>0</v>
      </c>
      <c r="BR214" s="3">
        <f t="shared" si="176"/>
        <v>0</v>
      </c>
    </row>
    <row r="215" spans="1:70" outlineLevel="1" x14ac:dyDescent="0.3">
      <c r="A215" s="7">
        <v>46</v>
      </c>
      <c r="B215" s="150" t="s">
        <v>12</v>
      </c>
      <c r="C215" s="150"/>
      <c r="D215" s="150"/>
      <c r="E215" s="150"/>
      <c r="F215" s="3">
        <v>0</v>
      </c>
      <c r="G215" s="3">
        <f t="shared" si="164"/>
        <v>0</v>
      </c>
      <c r="H215" s="3">
        <f t="shared" si="180"/>
        <v>0</v>
      </c>
      <c r="I215" s="3">
        <f t="shared" si="180"/>
        <v>0</v>
      </c>
      <c r="J215" s="3">
        <f t="shared" si="180"/>
        <v>0</v>
      </c>
      <c r="K215" s="3">
        <f t="shared" si="180"/>
        <v>0</v>
      </c>
      <c r="L215" s="3">
        <f t="shared" si="180"/>
        <v>0</v>
      </c>
      <c r="M215" s="3">
        <f t="shared" si="180"/>
        <v>0</v>
      </c>
      <c r="N215" s="3">
        <f t="shared" si="180"/>
        <v>0</v>
      </c>
      <c r="O215" s="3">
        <f t="shared" si="180"/>
        <v>0</v>
      </c>
      <c r="P215" s="3">
        <f t="shared" si="180"/>
        <v>0</v>
      </c>
      <c r="Q215" s="3">
        <f t="shared" si="180"/>
        <v>0</v>
      </c>
      <c r="R215" s="3">
        <f t="shared" si="180"/>
        <v>0</v>
      </c>
      <c r="S215" s="3">
        <f t="shared" si="180"/>
        <v>0</v>
      </c>
      <c r="T215" s="3">
        <f t="shared" si="180"/>
        <v>0</v>
      </c>
      <c r="U215" s="3">
        <f t="shared" si="180"/>
        <v>0</v>
      </c>
      <c r="V215" s="3">
        <f t="shared" si="180"/>
        <v>0</v>
      </c>
      <c r="W215" s="3">
        <f t="shared" si="180"/>
        <v>0</v>
      </c>
      <c r="X215" s="3">
        <f t="shared" si="178"/>
        <v>0</v>
      </c>
      <c r="Y215" s="3">
        <f t="shared" si="178"/>
        <v>0</v>
      </c>
      <c r="Z215" s="3">
        <f t="shared" si="178"/>
        <v>0</v>
      </c>
      <c r="AA215" s="3">
        <f t="shared" si="178"/>
        <v>0</v>
      </c>
      <c r="AB215" s="3">
        <f t="shared" si="178"/>
        <v>0</v>
      </c>
      <c r="AC215" s="3">
        <f t="shared" si="178"/>
        <v>0</v>
      </c>
      <c r="AD215" s="3">
        <f t="shared" si="178"/>
        <v>0</v>
      </c>
      <c r="AE215" s="3">
        <f t="shared" si="178"/>
        <v>0</v>
      </c>
      <c r="AF215" s="3">
        <f t="shared" si="178"/>
        <v>0</v>
      </c>
      <c r="AG215" s="3">
        <f t="shared" si="178"/>
        <v>0</v>
      </c>
      <c r="AH215" s="3">
        <f t="shared" si="178"/>
        <v>0</v>
      </c>
      <c r="AI215" s="3">
        <f t="shared" si="178"/>
        <v>0</v>
      </c>
      <c r="AJ215" s="3">
        <f t="shared" si="178"/>
        <v>0</v>
      </c>
      <c r="AK215" s="3">
        <f t="shared" si="178"/>
        <v>0</v>
      </c>
      <c r="AL215" s="3">
        <f t="shared" si="178"/>
        <v>0</v>
      </c>
      <c r="AM215" s="3">
        <f t="shared" si="179"/>
        <v>0</v>
      </c>
      <c r="AN215" s="3">
        <f t="shared" si="179"/>
        <v>0</v>
      </c>
      <c r="AO215" s="3">
        <f t="shared" si="179"/>
        <v>0</v>
      </c>
      <c r="AP215" s="3">
        <f t="shared" si="179"/>
        <v>0</v>
      </c>
      <c r="AQ215" s="3">
        <f t="shared" si="179"/>
        <v>0</v>
      </c>
      <c r="AR215" s="3">
        <f t="shared" si="179"/>
        <v>0</v>
      </c>
      <c r="AS215" s="3">
        <f t="shared" si="179"/>
        <v>0</v>
      </c>
      <c r="AT215" s="3">
        <f t="shared" si="179"/>
        <v>0</v>
      </c>
      <c r="AU215" s="3">
        <f t="shared" si="179"/>
        <v>0</v>
      </c>
      <c r="AV215" s="3">
        <f t="shared" si="179"/>
        <v>0</v>
      </c>
      <c r="AW215" s="3">
        <f t="shared" si="179"/>
        <v>0</v>
      </c>
      <c r="AX215" s="3">
        <f t="shared" si="179"/>
        <v>0</v>
      </c>
      <c r="AY215" s="3">
        <f t="shared" si="179"/>
        <v>1</v>
      </c>
      <c r="AZ215" s="3">
        <f t="shared" si="179"/>
        <v>0</v>
      </c>
      <c r="BA215" s="3">
        <f t="shared" si="179"/>
        <v>0</v>
      </c>
      <c r="BB215" s="3">
        <f t="shared" si="179"/>
        <v>0</v>
      </c>
      <c r="BC215" s="3">
        <f t="shared" si="177"/>
        <v>0</v>
      </c>
      <c r="BD215" s="3">
        <f t="shared" si="177"/>
        <v>0</v>
      </c>
      <c r="BE215" s="3">
        <f t="shared" si="177"/>
        <v>0</v>
      </c>
      <c r="BF215" s="3">
        <f t="shared" si="177"/>
        <v>0</v>
      </c>
      <c r="BG215" s="3">
        <f t="shared" si="177"/>
        <v>0</v>
      </c>
      <c r="BH215" s="3">
        <f t="shared" si="177"/>
        <v>0</v>
      </c>
      <c r="BI215" s="3">
        <f t="shared" si="177"/>
        <v>0</v>
      </c>
      <c r="BJ215" s="3">
        <f t="shared" si="177"/>
        <v>0</v>
      </c>
      <c r="BK215" s="3">
        <f t="shared" si="177"/>
        <v>0</v>
      </c>
      <c r="BL215" s="3">
        <f t="shared" si="177"/>
        <v>0</v>
      </c>
      <c r="BM215" s="3">
        <f t="shared" si="177"/>
        <v>0</v>
      </c>
      <c r="BN215" s="3">
        <f t="shared" si="177"/>
        <v>0</v>
      </c>
      <c r="BO215" s="3">
        <f t="shared" si="177"/>
        <v>0</v>
      </c>
      <c r="BP215" s="3">
        <f t="shared" si="177"/>
        <v>0</v>
      </c>
      <c r="BQ215" s="3">
        <f t="shared" si="177"/>
        <v>0</v>
      </c>
      <c r="BR215" s="3">
        <f t="shared" si="176"/>
        <v>0</v>
      </c>
    </row>
    <row r="216" spans="1:70" outlineLevel="1" x14ac:dyDescent="0.3">
      <c r="A216" s="7">
        <v>47</v>
      </c>
      <c r="B216" s="150" t="s">
        <v>152</v>
      </c>
      <c r="C216" s="150"/>
      <c r="D216" s="150"/>
      <c r="E216" s="150"/>
      <c r="F216" s="3">
        <v>0</v>
      </c>
      <c r="G216" s="3">
        <f t="shared" si="164"/>
        <v>0</v>
      </c>
      <c r="H216" s="3">
        <f t="shared" si="180"/>
        <v>0</v>
      </c>
      <c r="I216" s="3">
        <f t="shared" si="180"/>
        <v>0</v>
      </c>
      <c r="J216" s="3">
        <f t="shared" si="180"/>
        <v>0</v>
      </c>
      <c r="K216" s="3">
        <f t="shared" si="180"/>
        <v>0</v>
      </c>
      <c r="L216" s="3">
        <f t="shared" si="180"/>
        <v>0</v>
      </c>
      <c r="M216" s="3">
        <f t="shared" si="180"/>
        <v>0</v>
      </c>
      <c r="N216" s="3">
        <f t="shared" si="180"/>
        <v>0</v>
      </c>
      <c r="O216" s="3">
        <f t="shared" si="180"/>
        <v>0</v>
      </c>
      <c r="P216" s="3">
        <f t="shared" si="180"/>
        <v>0</v>
      </c>
      <c r="Q216" s="3">
        <f t="shared" si="180"/>
        <v>0</v>
      </c>
      <c r="R216" s="3">
        <f t="shared" si="180"/>
        <v>0</v>
      </c>
      <c r="S216" s="3">
        <f t="shared" si="180"/>
        <v>0</v>
      </c>
      <c r="T216" s="3">
        <f t="shared" si="180"/>
        <v>0</v>
      </c>
      <c r="U216" s="3">
        <f t="shared" si="180"/>
        <v>0</v>
      </c>
      <c r="V216" s="3">
        <f t="shared" si="180"/>
        <v>0</v>
      </c>
      <c r="W216" s="3">
        <f t="shared" si="180"/>
        <v>0</v>
      </c>
      <c r="X216" s="3">
        <f t="shared" si="178"/>
        <v>0</v>
      </c>
      <c r="Y216" s="3">
        <f t="shared" si="178"/>
        <v>0</v>
      </c>
      <c r="Z216" s="3">
        <f t="shared" si="178"/>
        <v>0</v>
      </c>
      <c r="AA216" s="3">
        <f t="shared" si="178"/>
        <v>0</v>
      </c>
      <c r="AB216" s="3">
        <f t="shared" si="178"/>
        <v>0</v>
      </c>
      <c r="AC216" s="3">
        <f t="shared" si="178"/>
        <v>0</v>
      </c>
      <c r="AD216" s="3">
        <f t="shared" si="178"/>
        <v>0</v>
      </c>
      <c r="AE216" s="3">
        <f t="shared" si="178"/>
        <v>0</v>
      </c>
      <c r="AF216" s="3">
        <f t="shared" si="178"/>
        <v>0</v>
      </c>
      <c r="AG216" s="3">
        <f t="shared" si="178"/>
        <v>0</v>
      </c>
      <c r="AH216" s="3">
        <f t="shared" si="178"/>
        <v>0</v>
      </c>
      <c r="AI216" s="3">
        <f t="shared" si="178"/>
        <v>0</v>
      </c>
      <c r="AJ216" s="3">
        <f t="shared" si="178"/>
        <v>0</v>
      </c>
      <c r="AK216" s="3">
        <f t="shared" si="178"/>
        <v>0</v>
      </c>
      <c r="AL216" s="3">
        <f t="shared" si="178"/>
        <v>0</v>
      </c>
      <c r="AM216" s="3">
        <f t="shared" si="179"/>
        <v>0</v>
      </c>
      <c r="AN216" s="3">
        <f t="shared" si="179"/>
        <v>0</v>
      </c>
      <c r="AO216" s="3">
        <f t="shared" si="179"/>
        <v>0</v>
      </c>
      <c r="AP216" s="3">
        <f t="shared" si="179"/>
        <v>0</v>
      </c>
      <c r="AQ216" s="3">
        <f t="shared" si="179"/>
        <v>0</v>
      </c>
      <c r="AR216" s="3">
        <f t="shared" si="179"/>
        <v>0</v>
      </c>
      <c r="AS216" s="3">
        <f t="shared" si="179"/>
        <v>0</v>
      </c>
      <c r="AT216" s="3">
        <f t="shared" si="179"/>
        <v>0</v>
      </c>
      <c r="AU216" s="3">
        <f t="shared" si="179"/>
        <v>0</v>
      </c>
      <c r="AV216" s="3">
        <f t="shared" si="179"/>
        <v>0</v>
      </c>
      <c r="AW216" s="3">
        <f t="shared" si="179"/>
        <v>0</v>
      </c>
      <c r="AX216" s="3">
        <f t="shared" si="179"/>
        <v>0</v>
      </c>
      <c r="AY216" s="3">
        <f t="shared" si="179"/>
        <v>0</v>
      </c>
      <c r="AZ216" s="3">
        <f t="shared" si="179"/>
        <v>1</v>
      </c>
      <c r="BA216" s="3">
        <f t="shared" si="179"/>
        <v>0</v>
      </c>
      <c r="BB216" s="3">
        <f t="shared" si="179"/>
        <v>0</v>
      </c>
      <c r="BC216" s="3">
        <f t="shared" si="177"/>
        <v>0</v>
      </c>
      <c r="BD216" s="3">
        <f t="shared" si="177"/>
        <v>0</v>
      </c>
      <c r="BE216" s="3">
        <f t="shared" si="177"/>
        <v>0</v>
      </c>
      <c r="BF216" s="3">
        <f t="shared" si="177"/>
        <v>0</v>
      </c>
      <c r="BG216" s="3">
        <f t="shared" si="177"/>
        <v>0</v>
      </c>
      <c r="BH216" s="3">
        <f t="shared" si="177"/>
        <v>0</v>
      </c>
      <c r="BI216" s="3">
        <f t="shared" si="177"/>
        <v>0</v>
      </c>
      <c r="BJ216" s="3">
        <f t="shared" si="177"/>
        <v>0</v>
      </c>
      <c r="BK216" s="3">
        <f t="shared" si="177"/>
        <v>0</v>
      </c>
      <c r="BL216" s="3">
        <f t="shared" si="177"/>
        <v>0</v>
      </c>
      <c r="BM216" s="3">
        <f t="shared" si="177"/>
        <v>0</v>
      </c>
      <c r="BN216" s="3">
        <f t="shared" si="177"/>
        <v>0</v>
      </c>
      <c r="BO216" s="3">
        <f t="shared" si="177"/>
        <v>0</v>
      </c>
      <c r="BP216" s="3">
        <f t="shared" si="177"/>
        <v>0</v>
      </c>
      <c r="BQ216" s="3">
        <f t="shared" si="177"/>
        <v>0</v>
      </c>
      <c r="BR216" s="3">
        <f t="shared" si="176"/>
        <v>0</v>
      </c>
    </row>
    <row r="217" spans="1:70" outlineLevel="1" x14ac:dyDescent="0.3">
      <c r="A217" s="7">
        <v>48</v>
      </c>
      <c r="B217" s="150" t="s">
        <v>153</v>
      </c>
      <c r="C217" s="150"/>
      <c r="D217" s="150"/>
      <c r="E217" s="150"/>
      <c r="F217" s="3">
        <v>0</v>
      </c>
      <c r="G217" s="3">
        <f t="shared" si="164"/>
        <v>0</v>
      </c>
      <c r="H217" s="3">
        <f t="shared" si="180"/>
        <v>0</v>
      </c>
      <c r="I217" s="3">
        <f t="shared" si="180"/>
        <v>0</v>
      </c>
      <c r="J217" s="3">
        <f t="shared" si="180"/>
        <v>0</v>
      </c>
      <c r="K217" s="3">
        <f t="shared" si="180"/>
        <v>0</v>
      </c>
      <c r="L217" s="3">
        <f t="shared" si="180"/>
        <v>0</v>
      </c>
      <c r="M217" s="3">
        <f t="shared" si="180"/>
        <v>0</v>
      </c>
      <c r="N217" s="3">
        <f t="shared" si="180"/>
        <v>0</v>
      </c>
      <c r="O217" s="3">
        <f t="shared" si="180"/>
        <v>0</v>
      </c>
      <c r="P217" s="3">
        <f t="shared" si="180"/>
        <v>0</v>
      </c>
      <c r="Q217" s="3">
        <f t="shared" si="180"/>
        <v>0</v>
      </c>
      <c r="R217" s="3">
        <f t="shared" si="180"/>
        <v>0</v>
      </c>
      <c r="S217" s="3">
        <f t="shared" si="180"/>
        <v>0</v>
      </c>
      <c r="T217" s="3">
        <f t="shared" si="180"/>
        <v>0</v>
      </c>
      <c r="U217" s="3">
        <f t="shared" si="180"/>
        <v>0</v>
      </c>
      <c r="V217" s="3">
        <f t="shared" si="180"/>
        <v>0</v>
      </c>
      <c r="W217" s="3">
        <f t="shared" si="180"/>
        <v>0</v>
      </c>
      <c r="X217" s="3">
        <f t="shared" si="178"/>
        <v>0</v>
      </c>
      <c r="Y217" s="3">
        <f t="shared" si="178"/>
        <v>0</v>
      </c>
      <c r="Z217" s="3">
        <f t="shared" si="178"/>
        <v>0</v>
      </c>
      <c r="AA217" s="3">
        <f t="shared" si="178"/>
        <v>0</v>
      </c>
      <c r="AB217" s="3">
        <f t="shared" si="178"/>
        <v>0</v>
      </c>
      <c r="AC217" s="3">
        <f t="shared" si="178"/>
        <v>0</v>
      </c>
      <c r="AD217" s="3">
        <f t="shared" si="178"/>
        <v>0</v>
      </c>
      <c r="AE217" s="3">
        <f t="shared" si="178"/>
        <v>0</v>
      </c>
      <c r="AF217" s="3">
        <f t="shared" si="178"/>
        <v>0</v>
      </c>
      <c r="AG217" s="3">
        <f t="shared" si="178"/>
        <v>0</v>
      </c>
      <c r="AH217" s="3">
        <f t="shared" si="178"/>
        <v>0</v>
      </c>
      <c r="AI217" s="3">
        <f t="shared" si="178"/>
        <v>0</v>
      </c>
      <c r="AJ217" s="3">
        <f t="shared" si="178"/>
        <v>0</v>
      </c>
      <c r="AK217" s="3">
        <f t="shared" si="178"/>
        <v>0</v>
      </c>
      <c r="AL217" s="3">
        <f t="shared" si="178"/>
        <v>0</v>
      </c>
      <c r="AM217" s="3">
        <f t="shared" si="179"/>
        <v>0</v>
      </c>
      <c r="AN217" s="3">
        <f t="shared" si="179"/>
        <v>0</v>
      </c>
      <c r="AO217" s="3">
        <f t="shared" si="179"/>
        <v>0</v>
      </c>
      <c r="AP217" s="3">
        <f t="shared" si="179"/>
        <v>0</v>
      </c>
      <c r="AQ217" s="3">
        <f t="shared" si="179"/>
        <v>0</v>
      </c>
      <c r="AR217" s="3">
        <f t="shared" si="179"/>
        <v>0</v>
      </c>
      <c r="AS217" s="3">
        <f t="shared" si="179"/>
        <v>0</v>
      </c>
      <c r="AT217" s="3">
        <f t="shared" si="179"/>
        <v>0</v>
      </c>
      <c r="AU217" s="3">
        <f t="shared" si="179"/>
        <v>0</v>
      </c>
      <c r="AV217" s="3">
        <f t="shared" si="179"/>
        <v>0</v>
      </c>
      <c r="AW217" s="3">
        <f t="shared" si="179"/>
        <v>0</v>
      </c>
      <c r="AX217" s="3">
        <f t="shared" si="179"/>
        <v>0</v>
      </c>
      <c r="AY217" s="3">
        <f t="shared" si="179"/>
        <v>0</v>
      </c>
      <c r="AZ217" s="3">
        <f t="shared" si="179"/>
        <v>0</v>
      </c>
      <c r="BA217" s="3">
        <f t="shared" si="179"/>
        <v>1</v>
      </c>
      <c r="BB217" s="3">
        <f t="shared" si="179"/>
        <v>0</v>
      </c>
      <c r="BC217" s="3">
        <f t="shared" si="177"/>
        <v>0</v>
      </c>
      <c r="BD217" s="3">
        <f t="shared" si="177"/>
        <v>0</v>
      </c>
      <c r="BE217" s="3">
        <f t="shared" si="177"/>
        <v>0</v>
      </c>
      <c r="BF217" s="3">
        <f t="shared" si="177"/>
        <v>0</v>
      </c>
      <c r="BG217" s="3">
        <f t="shared" si="177"/>
        <v>0</v>
      </c>
      <c r="BH217" s="3">
        <f t="shared" si="177"/>
        <v>0</v>
      </c>
      <c r="BI217" s="3">
        <f t="shared" si="177"/>
        <v>0</v>
      </c>
      <c r="BJ217" s="3">
        <f t="shared" si="177"/>
        <v>0</v>
      </c>
      <c r="BK217" s="3">
        <f t="shared" si="177"/>
        <v>0</v>
      </c>
      <c r="BL217" s="3">
        <f t="shared" si="177"/>
        <v>0</v>
      </c>
      <c r="BM217" s="3">
        <f t="shared" si="177"/>
        <v>0</v>
      </c>
      <c r="BN217" s="3">
        <f t="shared" si="177"/>
        <v>0</v>
      </c>
      <c r="BO217" s="3">
        <f t="shared" si="177"/>
        <v>0</v>
      </c>
      <c r="BP217" s="3">
        <f t="shared" si="177"/>
        <v>0</v>
      </c>
      <c r="BQ217" s="3">
        <f t="shared" si="177"/>
        <v>0</v>
      </c>
      <c r="BR217" s="3">
        <f t="shared" si="176"/>
        <v>0</v>
      </c>
    </row>
    <row r="218" spans="1:70" outlineLevel="1" x14ac:dyDescent="0.3">
      <c r="A218" s="7">
        <v>49</v>
      </c>
      <c r="B218" s="150" t="s">
        <v>154</v>
      </c>
      <c r="C218" s="150"/>
      <c r="D218" s="150"/>
      <c r="E218" s="150"/>
      <c r="F218" s="3">
        <v>0</v>
      </c>
      <c r="G218" s="3">
        <f t="shared" si="164"/>
        <v>0</v>
      </c>
      <c r="H218" s="3">
        <f t="shared" si="180"/>
        <v>0</v>
      </c>
      <c r="I218" s="3">
        <f t="shared" si="180"/>
        <v>0</v>
      </c>
      <c r="J218" s="3">
        <f t="shared" si="180"/>
        <v>0</v>
      </c>
      <c r="K218" s="3">
        <f t="shared" si="180"/>
        <v>0</v>
      </c>
      <c r="L218" s="3">
        <f t="shared" si="180"/>
        <v>0</v>
      </c>
      <c r="M218" s="3">
        <f t="shared" si="180"/>
        <v>0</v>
      </c>
      <c r="N218" s="3">
        <f t="shared" si="180"/>
        <v>0</v>
      </c>
      <c r="O218" s="3">
        <f t="shared" si="180"/>
        <v>0</v>
      </c>
      <c r="P218" s="3">
        <f t="shared" si="180"/>
        <v>0</v>
      </c>
      <c r="Q218" s="3">
        <f t="shared" si="180"/>
        <v>0</v>
      </c>
      <c r="R218" s="3">
        <f t="shared" si="180"/>
        <v>0</v>
      </c>
      <c r="S218" s="3">
        <f t="shared" si="180"/>
        <v>0</v>
      </c>
      <c r="T218" s="3">
        <f t="shared" si="180"/>
        <v>0</v>
      </c>
      <c r="U218" s="3">
        <f t="shared" si="180"/>
        <v>0</v>
      </c>
      <c r="V218" s="3">
        <f t="shared" si="180"/>
        <v>0</v>
      </c>
      <c r="W218" s="3">
        <f t="shared" si="180"/>
        <v>0</v>
      </c>
      <c r="X218" s="3">
        <f t="shared" si="178"/>
        <v>0</v>
      </c>
      <c r="Y218" s="3">
        <f t="shared" si="178"/>
        <v>0</v>
      </c>
      <c r="Z218" s="3">
        <f t="shared" si="178"/>
        <v>0</v>
      </c>
      <c r="AA218" s="3">
        <f t="shared" si="178"/>
        <v>0</v>
      </c>
      <c r="AB218" s="3">
        <f t="shared" si="178"/>
        <v>0</v>
      </c>
      <c r="AC218" s="3">
        <f t="shared" si="178"/>
        <v>0</v>
      </c>
      <c r="AD218" s="3">
        <f t="shared" si="178"/>
        <v>0</v>
      </c>
      <c r="AE218" s="3">
        <f t="shared" si="178"/>
        <v>0</v>
      </c>
      <c r="AF218" s="3">
        <f t="shared" si="178"/>
        <v>0</v>
      </c>
      <c r="AG218" s="3">
        <f t="shared" si="178"/>
        <v>0</v>
      </c>
      <c r="AH218" s="3">
        <f t="shared" si="178"/>
        <v>0</v>
      </c>
      <c r="AI218" s="3">
        <f t="shared" si="178"/>
        <v>0</v>
      </c>
      <c r="AJ218" s="3">
        <f t="shared" si="178"/>
        <v>0</v>
      </c>
      <c r="AK218" s="3">
        <f t="shared" si="178"/>
        <v>0</v>
      </c>
      <c r="AL218" s="3">
        <f t="shared" si="178"/>
        <v>0</v>
      </c>
      <c r="AM218" s="3">
        <f t="shared" si="179"/>
        <v>0</v>
      </c>
      <c r="AN218" s="3">
        <f t="shared" si="179"/>
        <v>0</v>
      </c>
      <c r="AO218" s="3">
        <f t="shared" si="179"/>
        <v>0</v>
      </c>
      <c r="AP218" s="3">
        <f t="shared" si="179"/>
        <v>0</v>
      </c>
      <c r="AQ218" s="3">
        <f t="shared" si="179"/>
        <v>0</v>
      </c>
      <c r="AR218" s="3">
        <f t="shared" si="179"/>
        <v>0</v>
      </c>
      <c r="AS218" s="3">
        <f t="shared" si="179"/>
        <v>0</v>
      </c>
      <c r="AT218" s="3">
        <f t="shared" si="179"/>
        <v>0</v>
      </c>
      <c r="AU218" s="3">
        <f t="shared" si="179"/>
        <v>0</v>
      </c>
      <c r="AV218" s="3">
        <f t="shared" si="179"/>
        <v>0</v>
      </c>
      <c r="AW218" s="3">
        <f t="shared" si="179"/>
        <v>0</v>
      </c>
      <c r="AX218" s="3">
        <f t="shared" si="179"/>
        <v>0</v>
      </c>
      <c r="AY218" s="3">
        <f t="shared" si="179"/>
        <v>0</v>
      </c>
      <c r="AZ218" s="3">
        <f t="shared" si="179"/>
        <v>0</v>
      </c>
      <c r="BA218" s="3">
        <f t="shared" si="179"/>
        <v>0</v>
      </c>
      <c r="BB218" s="3">
        <f t="shared" si="179"/>
        <v>1</v>
      </c>
      <c r="BC218" s="3">
        <f t="shared" si="177"/>
        <v>0</v>
      </c>
      <c r="BD218" s="3">
        <f t="shared" si="177"/>
        <v>0</v>
      </c>
      <c r="BE218" s="3">
        <f t="shared" si="177"/>
        <v>0</v>
      </c>
      <c r="BF218" s="3">
        <f t="shared" si="177"/>
        <v>0</v>
      </c>
      <c r="BG218" s="3">
        <f t="shared" si="177"/>
        <v>0</v>
      </c>
      <c r="BH218" s="3">
        <f t="shared" si="177"/>
        <v>0</v>
      </c>
      <c r="BI218" s="3">
        <f t="shared" si="177"/>
        <v>0</v>
      </c>
      <c r="BJ218" s="3">
        <f t="shared" si="177"/>
        <v>0</v>
      </c>
      <c r="BK218" s="3">
        <f t="shared" si="177"/>
        <v>0</v>
      </c>
      <c r="BL218" s="3">
        <f t="shared" si="177"/>
        <v>0</v>
      </c>
      <c r="BM218" s="3">
        <f t="shared" si="177"/>
        <v>0</v>
      </c>
      <c r="BN218" s="3">
        <f t="shared" si="177"/>
        <v>0</v>
      </c>
      <c r="BO218" s="3">
        <f t="shared" si="177"/>
        <v>0</v>
      </c>
      <c r="BP218" s="3">
        <f t="shared" si="177"/>
        <v>0</v>
      </c>
      <c r="BQ218" s="3">
        <f t="shared" si="177"/>
        <v>0</v>
      </c>
      <c r="BR218" s="3">
        <f t="shared" si="176"/>
        <v>0</v>
      </c>
    </row>
    <row r="219" spans="1:70" outlineLevel="1" x14ac:dyDescent="0.3">
      <c r="A219" s="7">
        <v>50</v>
      </c>
      <c r="B219" s="150" t="s">
        <v>155</v>
      </c>
      <c r="C219" s="150"/>
      <c r="D219" s="150"/>
      <c r="E219" s="150"/>
      <c r="F219" s="3">
        <v>0</v>
      </c>
      <c r="G219" s="3">
        <f t="shared" si="164"/>
        <v>0</v>
      </c>
      <c r="H219" s="3">
        <f t="shared" si="180"/>
        <v>0</v>
      </c>
      <c r="I219" s="3">
        <f t="shared" si="180"/>
        <v>0</v>
      </c>
      <c r="J219" s="3">
        <f t="shared" si="180"/>
        <v>0</v>
      </c>
      <c r="K219" s="3">
        <f t="shared" si="180"/>
        <v>0</v>
      </c>
      <c r="L219" s="3">
        <f t="shared" si="180"/>
        <v>0</v>
      </c>
      <c r="M219" s="3">
        <f t="shared" si="180"/>
        <v>0</v>
      </c>
      <c r="N219" s="3">
        <f t="shared" si="180"/>
        <v>0</v>
      </c>
      <c r="O219" s="3">
        <f t="shared" si="180"/>
        <v>0</v>
      </c>
      <c r="P219" s="3">
        <f t="shared" si="180"/>
        <v>0</v>
      </c>
      <c r="Q219" s="3">
        <f t="shared" si="180"/>
        <v>0</v>
      </c>
      <c r="R219" s="3">
        <f t="shared" si="180"/>
        <v>0</v>
      </c>
      <c r="S219" s="3">
        <f t="shared" si="180"/>
        <v>0</v>
      </c>
      <c r="T219" s="3">
        <f t="shared" si="180"/>
        <v>0</v>
      </c>
      <c r="U219" s="3">
        <f t="shared" si="180"/>
        <v>0</v>
      </c>
      <c r="V219" s="3">
        <f t="shared" si="180"/>
        <v>0</v>
      </c>
      <c r="W219" s="3">
        <f t="shared" si="180"/>
        <v>0</v>
      </c>
      <c r="X219" s="3">
        <f t="shared" si="178"/>
        <v>0</v>
      </c>
      <c r="Y219" s="3">
        <f t="shared" si="178"/>
        <v>0</v>
      </c>
      <c r="Z219" s="3">
        <f t="shared" si="178"/>
        <v>0</v>
      </c>
      <c r="AA219" s="3">
        <f t="shared" si="178"/>
        <v>0</v>
      </c>
      <c r="AB219" s="3">
        <f t="shared" si="178"/>
        <v>0</v>
      </c>
      <c r="AC219" s="3">
        <f t="shared" si="178"/>
        <v>0</v>
      </c>
      <c r="AD219" s="3">
        <f t="shared" si="178"/>
        <v>0</v>
      </c>
      <c r="AE219" s="3">
        <f t="shared" si="178"/>
        <v>0</v>
      </c>
      <c r="AF219" s="3">
        <f t="shared" si="178"/>
        <v>0</v>
      </c>
      <c r="AG219" s="3">
        <f t="shared" si="178"/>
        <v>0</v>
      </c>
      <c r="AH219" s="3">
        <f t="shared" si="178"/>
        <v>0</v>
      </c>
      <c r="AI219" s="3">
        <f t="shared" si="178"/>
        <v>0</v>
      </c>
      <c r="AJ219" s="3">
        <f t="shared" si="178"/>
        <v>0</v>
      </c>
      <c r="AK219" s="3">
        <f t="shared" si="178"/>
        <v>0</v>
      </c>
      <c r="AL219" s="3">
        <f t="shared" si="178"/>
        <v>0</v>
      </c>
      <c r="AM219" s="3">
        <f t="shared" si="179"/>
        <v>0</v>
      </c>
      <c r="AN219" s="3">
        <f t="shared" si="179"/>
        <v>0</v>
      </c>
      <c r="AO219" s="3">
        <f t="shared" si="179"/>
        <v>0</v>
      </c>
      <c r="AP219" s="3">
        <f t="shared" si="179"/>
        <v>0</v>
      </c>
      <c r="AQ219" s="3">
        <f t="shared" si="179"/>
        <v>0</v>
      </c>
      <c r="AR219" s="3">
        <f t="shared" si="179"/>
        <v>0</v>
      </c>
      <c r="AS219" s="3">
        <f t="shared" si="179"/>
        <v>0</v>
      </c>
      <c r="AT219" s="3">
        <f t="shared" si="179"/>
        <v>0</v>
      </c>
      <c r="AU219" s="3">
        <f t="shared" si="179"/>
        <v>0</v>
      </c>
      <c r="AV219" s="3">
        <f t="shared" si="179"/>
        <v>0</v>
      </c>
      <c r="AW219" s="3">
        <f t="shared" si="179"/>
        <v>0</v>
      </c>
      <c r="AX219" s="3">
        <f t="shared" si="179"/>
        <v>0</v>
      </c>
      <c r="AY219" s="3">
        <f t="shared" si="179"/>
        <v>0</v>
      </c>
      <c r="AZ219" s="3">
        <f t="shared" si="179"/>
        <v>0</v>
      </c>
      <c r="BA219" s="3">
        <f t="shared" si="179"/>
        <v>0</v>
      </c>
      <c r="BB219" s="3">
        <f t="shared" si="179"/>
        <v>0</v>
      </c>
      <c r="BC219" s="3">
        <f t="shared" si="177"/>
        <v>1</v>
      </c>
      <c r="BD219" s="3">
        <f t="shared" si="177"/>
        <v>0</v>
      </c>
      <c r="BE219" s="3">
        <f t="shared" si="177"/>
        <v>0</v>
      </c>
      <c r="BF219" s="3">
        <f t="shared" si="177"/>
        <v>0</v>
      </c>
      <c r="BG219" s="3">
        <f t="shared" si="177"/>
        <v>0</v>
      </c>
      <c r="BH219" s="3">
        <f t="shared" si="177"/>
        <v>0</v>
      </c>
      <c r="BI219" s="3">
        <f t="shared" si="177"/>
        <v>0</v>
      </c>
      <c r="BJ219" s="3">
        <f t="shared" si="177"/>
        <v>0</v>
      </c>
      <c r="BK219" s="3">
        <f t="shared" si="177"/>
        <v>0</v>
      </c>
      <c r="BL219" s="3">
        <f t="shared" si="177"/>
        <v>0</v>
      </c>
      <c r="BM219" s="3">
        <f t="shared" si="177"/>
        <v>0</v>
      </c>
      <c r="BN219" s="3">
        <f t="shared" si="177"/>
        <v>0</v>
      </c>
      <c r="BO219" s="3">
        <f t="shared" si="177"/>
        <v>0</v>
      </c>
      <c r="BP219" s="3">
        <f t="shared" si="177"/>
        <v>0</v>
      </c>
      <c r="BQ219" s="3">
        <f t="shared" si="177"/>
        <v>0</v>
      </c>
      <c r="BR219" s="3">
        <f t="shared" si="176"/>
        <v>0</v>
      </c>
    </row>
    <row r="220" spans="1:70" outlineLevel="1" x14ac:dyDescent="0.3">
      <c r="A220" s="7">
        <v>51</v>
      </c>
      <c r="B220" s="150" t="s">
        <v>156</v>
      </c>
      <c r="C220" s="150"/>
      <c r="D220" s="150"/>
      <c r="E220" s="150"/>
      <c r="F220" s="3">
        <v>0</v>
      </c>
      <c r="G220" s="3">
        <f t="shared" si="164"/>
        <v>0</v>
      </c>
      <c r="H220" s="3">
        <f t="shared" si="180"/>
        <v>0</v>
      </c>
      <c r="I220" s="3">
        <f t="shared" si="180"/>
        <v>0</v>
      </c>
      <c r="J220" s="3">
        <f t="shared" si="180"/>
        <v>0</v>
      </c>
      <c r="K220" s="3">
        <f t="shared" si="180"/>
        <v>0</v>
      </c>
      <c r="L220" s="3">
        <f t="shared" si="180"/>
        <v>0</v>
      </c>
      <c r="M220" s="3">
        <f t="shared" si="180"/>
        <v>0</v>
      </c>
      <c r="N220" s="3">
        <f t="shared" si="180"/>
        <v>0</v>
      </c>
      <c r="O220" s="3">
        <f t="shared" si="180"/>
        <v>0</v>
      </c>
      <c r="P220" s="3">
        <f t="shared" si="180"/>
        <v>0</v>
      </c>
      <c r="Q220" s="3">
        <f t="shared" si="180"/>
        <v>0</v>
      </c>
      <c r="R220" s="3">
        <f t="shared" si="180"/>
        <v>0</v>
      </c>
      <c r="S220" s="3">
        <f t="shared" si="180"/>
        <v>0</v>
      </c>
      <c r="T220" s="3">
        <f t="shared" si="180"/>
        <v>0</v>
      </c>
      <c r="U220" s="3">
        <f t="shared" si="180"/>
        <v>0</v>
      </c>
      <c r="V220" s="3">
        <f t="shared" si="180"/>
        <v>0</v>
      </c>
      <c r="W220" s="3">
        <f t="shared" si="180"/>
        <v>0</v>
      </c>
      <c r="X220" s="3">
        <f t="shared" si="178"/>
        <v>0</v>
      </c>
      <c r="Y220" s="3">
        <f t="shared" si="178"/>
        <v>0</v>
      </c>
      <c r="Z220" s="3">
        <f t="shared" si="178"/>
        <v>0</v>
      </c>
      <c r="AA220" s="3">
        <f t="shared" si="178"/>
        <v>0</v>
      </c>
      <c r="AB220" s="3">
        <f t="shared" si="178"/>
        <v>0</v>
      </c>
      <c r="AC220" s="3">
        <f t="shared" si="178"/>
        <v>0</v>
      </c>
      <c r="AD220" s="3">
        <f t="shared" si="178"/>
        <v>0</v>
      </c>
      <c r="AE220" s="3">
        <f t="shared" si="178"/>
        <v>0</v>
      </c>
      <c r="AF220" s="3">
        <f t="shared" si="178"/>
        <v>0</v>
      </c>
      <c r="AG220" s="3">
        <f t="shared" si="178"/>
        <v>0</v>
      </c>
      <c r="AH220" s="3">
        <f t="shared" si="178"/>
        <v>0</v>
      </c>
      <c r="AI220" s="3">
        <f t="shared" si="178"/>
        <v>0</v>
      </c>
      <c r="AJ220" s="3">
        <f t="shared" si="178"/>
        <v>0</v>
      </c>
      <c r="AK220" s="3">
        <f t="shared" si="178"/>
        <v>0</v>
      </c>
      <c r="AL220" s="3">
        <f t="shared" si="178"/>
        <v>0</v>
      </c>
      <c r="AM220" s="3">
        <f t="shared" si="179"/>
        <v>0</v>
      </c>
      <c r="AN220" s="3">
        <f t="shared" si="179"/>
        <v>0</v>
      </c>
      <c r="AO220" s="3">
        <f t="shared" si="179"/>
        <v>0</v>
      </c>
      <c r="AP220" s="3">
        <f t="shared" si="179"/>
        <v>0</v>
      </c>
      <c r="AQ220" s="3">
        <f t="shared" si="179"/>
        <v>0</v>
      </c>
      <c r="AR220" s="3">
        <f t="shared" si="179"/>
        <v>0</v>
      </c>
      <c r="AS220" s="3">
        <f t="shared" si="179"/>
        <v>0</v>
      </c>
      <c r="AT220" s="3">
        <f t="shared" si="179"/>
        <v>0</v>
      </c>
      <c r="AU220" s="3">
        <f t="shared" si="179"/>
        <v>0</v>
      </c>
      <c r="AV220" s="3">
        <f t="shared" si="179"/>
        <v>0</v>
      </c>
      <c r="AW220" s="3">
        <f t="shared" si="179"/>
        <v>0</v>
      </c>
      <c r="AX220" s="3">
        <f t="shared" si="179"/>
        <v>0</v>
      </c>
      <c r="AY220" s="3">
        <f t="shared" si="179"/>
        <v>0</v>
      </c>
      <c r="AZ220" s="3">
        <f t="shared" si="179"/>
        <v>0</v>
      </c>
      <c r="BA220" s="3">
        <f t="shared" si="179"/>
        <v>0</v>
      </c>
      <c r="BB220" s="3">
        <f t="shared" si="179"/>
        <v>0</v>
      </c>
      <c r="BC220" s="3">
        <f t="shared" si="177"/>
        <v>0</v>
      </c>
      <c r="BD220" s="3">
        <f t="shared" si="177"/>
        <v>1</v>
      </c>
      <c r="BE220" s="3">
        <f t="shared" si="177"/>
        <v>0</v>
      </c>
      <c r="BF220" s="3">
        <f t="shared" si="177"/>
        <v>0</v>
      </c>
      <c r="BG220" s="3">
        <f t="shared" si="177"/>
        <v>0</v>
      </c>
      <c r="BH220" s="3">
        <f t="shared" si="177"/>
        <v>0</v>
      </c>
      <c r="BI220" s="3">
        <f t="shared" si="177"/>
        <v>0</v>
      </c>
      <c r="BJ220" s="3">
        <f t="shared" si="177"/>
        <v>0</v>
      </c>
      <c r="BK220" s="3">
        <f t="shared" si="177"/>
        <v>0</v>
      </c>
      <c r="BL220" s="3">
        <f t="shared" si="177"/>
        <v>0</v>
      </c>
      <c r="BM220" s="3">
        <f t="shared" si="177"/>
        <v>0</v>
      </c>
      <c r="BN220" s="3">
        <f t="shared" si="177"/>
        <v>0</v>
      </c>
      <c r="BO220" s="3">
        <f t="shared" si="177"/>
        <v>0</v>
      </c>
      <c r="BP220" s="3">
        <f t="shared" si="177"/>
        <v>0</v>
      </c>
      <c r="BQ220" s="3">
        <f t="shared" si="177"/>
        <v>0</v>
      </c>
      <c r="BR220" s="3">
        <f t="shared" si="176"/>
        <v>0</v>
      </c>
    </row>
    <row r="221" spans="1:70" outlineLevel="1" x14ac:dyDescent="0.3">
      <c r="A221" s="7">
        <v>52</v>
      </c>
      <c r="B221" s="150" t="s">
        <v>157</v>
      </c>
      <c r="C221" s="150"/>
      <c r="D221" s="150"/>
      <c r="E221" s="150"/>
      <c r="F221" s="3">
        <v>0</v>
      </c>
      <c r="G221" s="3">
        <f t="shared" si="164"/>
        <v>0</v>
      </c>
      <c r="H221" s="3">
        <f t="shared" si="180"/>
        <v>0</v>
      </c>
      <c r="I221" s="3">
        <f t="shared" si="180"/>
        <v>0</v>
      </c>
      <c r="J221" s="3">
        <f t="shared" si="180"/>
        <v>0</v>
      </c>
      <c r="K221" s="3">
        <f t="shared" si="180"/>
        <v>0</v>
      </c>
      <c r="L221" s="3">
        <f t="shared" si="180"/>
        <v>0</v>
      </c>
      <c r="M221" s="3">
        <f t="shared" si="180"/>
        <v>0</v>
      </c>
      <c r="N221" s="3">
        <f t="shared" si="180"/>
        <v>0</v>
      </c>
      <c r="O221" s="3">
        <f t="shared" si="180"/>
        <v>0</v>
      </c>
      <c r="P221" s="3">
        <f t="shared" si="180"/>
        <v>0</v>
      </c>
      <c r="Q221" s="3">
        <f t="shared" si="180"/>
        <v>0</v>
      </c>
      <c r="R221" s="3">
        <f t="shared" si="180"/>
        <v>0</v>
      </c>
      <c r="S221" s="3">
        <f t="shared" si="180"/>
        <v>0</v>
      </c>
      <c r="T221" s="3">
        <f t="shared" si="180"/>
        <v>0</v>
      </c>
      <c r="U221" s="3">
        <f t="shared" si="180"/>
        <v>0</v>
      </c>
      <c r="V221" s="3">
        <f t="shared" si="180"/>
        <v>0</v>
      </c>
      <c r="W221" s="3">
        <f t="shared" si="180"/>
        <v>0</v>
      </c>
      <c r="X221" s="3">
        <f t="shared" si="178"/>
        <v>0</v>
      </c>
      <c r="Y221" s="3">
        <f t="shared" si="178"/>
        <v>0</v>
      </c>
      <c r="Z221" s="3">
        <f t="shared" si="178"/>
        <v>0</v>
      </c>
      <c r="AA221" s="3">
        <f t="shared" si="178"/>
        <v>0</v>
      </c>
      <c r="AB221" s="3">
        <f t="shared" si="178"/>
        <v>0</v>
      </c>
      <c r="AC221" s="3">
        <f t="shared" si="178"/>
        <v>0</v>
      </c>
      <c r="AD221" s="3">
        <f t="shared" si="178"/>
        <v>0</v>
      </c>
      <c r="AE221" s="3">
        <f t="shared" si="178"/>
        <v>0</v>
      </c>
      <c r="AF221" s="3">
        <f t="shared" si="178"/>
        <v>0</v>
      </c>
      <c r="AG221" s="3">
        <f t="shared" si="178"/>
        <v>0</v>
      </c>
      <c r="AH221" s="3">
        <f t="shared" si="178"/>
        <v>0</v>
      </c>
      <c r="AI221" s="3">
        <f t="shared" si="178"/>
        <v>0</v>
      </c>
      <c r="AJ221" s="3">
        <f t="shared" si="178"/>
        <v>0</v>
      </c>
      <c r="AK221" s="3">
        <f t="shared" si="178"/>
        <v>0</v>
      </c>
      <c r="AL221" s="3">
        <f t="shared" si="178"/>
        <v>0</v>
      </c>
      <c r="AM221" s="3">
        <f t="shared" si="179"/>
        <v>0</v>
      </c>
      <c r="AN221" s="3">
        <f t="shared" si="179"/>
        <v>0</v>
      </c>
      <c r="AO221" s="3">
        <f t="shared" si="179"/>
        <v>0</v>
      </c>
      <c r="AP221" s="3">
        <f t="shared" si="179"/>
        <v>0</v>
      </c>
      <c r="AQ221" s="3">
        <f t="shared" si="179"/>
        <v>0</v>
      </c>
      <c r="AR221" s="3">
        <f t="shared" si="179"/>
        <v>0</v>
      </c>
      <c r="AS221" s="3">
        <f t="shared" si="179"/>
        <v>0</v>
      </c>
      <c r="AT221" s="3">
        <f t="shared" si="179"/>
        <v>0</v>
      </c>
      <c r="AU221" s="3">
        <f t="shared" si="179"/>
        <v>0</v>
      </c>
      <c r="AV221" s="3">
        <f t="shared" si="179"/>
        <v>0</v>
      </c>
      <c r="AW221" s="3">
        <f t="shared" si="179"/>
        <v>0</v>
      </c>
      <c r="AX221" s="3">
        <f t="shared" si="179"/>
        <v>0</v>
      </c>
      <c r="AY221" s="3">
        <f t="shared" si="179"/>
        <v>0</v>
      </c>
      <c r="AZ221" s="3">
        <f t="shared" si="179"/>
        <v>0</v>
      </c>
      <c r="BA221" s="3">
        <f t="shared" si="179"/>
        <v>0</v>
      </c>
      <c r="BB221" s="3">
        <f t="shared" si="179"/>
        <v>0</v>
      </c>
      <c r="BC221" s="3">
        <f t="shared" si="177"/>
        <v>0</v>
      </c>
      <c r="BD221" s="3">
        <f t="shared" si="177"/>
        <v>0</v>
      </c>
      <c r="BE221" s="3">
        <f t="shared" si="177"/>
        <v>1</v>
      </c>
      <c r="BF221" s="3">
        <f t="shared" si="177"/>
        <v>0</v>
      </c>
      <c r="BG221" s="3">
        <f t="shared" si="177"/>
        <v>0</v>
      </c>
      <c r="BH221" s="3">
        <f t="shared" si="177"/>
        <v>0</v>
      </c>
      <c r="BI221" s="3">
        <f t="shared" si="177"/>
        <v>0</v>
      </c>
      <c r="BJ221" s="3">
        <f t="shared" si="177"/>
        <v>0</v>
      </c>
      <c r="BK221" s="3">
        <f t="shared" si="177"/>
        <v>0</v>
      </c>
      <c r="BL221" s="3">
        <f t="shared" si="177"/>
        <v>0</v>
      </c>
      <c r="BM221" s="3">
        <f t="shared" si="177"/>
        <v>0</v>
      </c>
      <c r="BN221" s="3">
        <f t="shared" si="177"/>
        <v>0</v>
      </c>
      <c r="BO221" s="3">
        <f t="shared" si="177"/>
        <v>0</v>
      </c>
      <c r="BP221" s="3">
        <f t="shared" si="177"/>
        <v>0</v>
      </c>
      <c r="BQ221" s="3">
        <f t="shared" si="177"/>
        <v>0</v>
      </c>
      <c r="BR221" s="3">
        <f t="shared" si="176"/>
        <v>0</v>
      </c>
    </row>
    <row r="222" spans="1:70" outlineLevel="1" x14ac:dyDescent="0.3">
      <c r="A222" s="7">
        <v>53</v>
      </c>
      <c r="B222" s="150" t="s">
        <v>158</v>
      </c>
      <c r="C222" s="150"/>
      <c r="D222" s="150"/>
      <c r="E222" s="150"/>
      <c r="F222" s="3">
        <v>0</v>
      </c>
      <c r="G222" s="3">
        <f t="shared" si="164"/>
        <v>0</v>
      </c>
      <c r="H222" s="3">
        <f t="shared" si="180"/>
        <v>0</v>
      </c>
      <c r="I222" s="3">
        <f t="shared" si="180"/>
        <v>0</v>
      </c>
      <c r="J222" s="3">
        <f t="shared" si="180"/>
        <v>0</v>
      </c>
      <c r="K222" s="3">
        <f t="shared" si="180"/>
        <v>0</v>
      </c>
      <c r="L222" s="3">
        <f t="shared" si="180"/>
        <v>0</v>
      </c>
      <c r="M222" s="3">
        <f t="shared" si="180"/>
        <v>0</v>
      </c>
      <c r="N222" s="3">
        <f t="shared" si="180"/>
        <v>0</v>
      </c>
      <c r="O222" s="3">
        <f t="shared" si="180"/>
        <v>0</v>
      </c>
      <c r="P222" s="3">
        <f t="shared" si="180"/>
        <v>0</v>
      </c>
      <c r="Q222" s="3">
        <f t="shared" si="180"/>
        <v>0</v>
      </c>
      <c r="R222" s="3">
        <f t="shared" si="180"/>
        <v>0</v>
      </c>
      <c r="S222" s="3">
        <f t="shared" si="180"/>
        <v>0</v>
      </c>
      <c r="T222" s="3">
        <f t="shared" si="180"/>
        <v>0</v>
      </c>
      <c r="U222" s="3">
        <f t="shared" si="180"/>
        <v>0</v>
      </c>
      <c r="V222" s="3">
        <f t="shared" si="180"/>
        <v>0</v>
      </c>
      <c r="W222" s="3">
        <f t="shared" si="180"/>
        <v>0</v>
      </c>
      <c r="X222" s="3">
        <f t="shared" si="178"/>
        <v>0</v>
      </c>
      <c r="Y222" s="3">
        <f t="shared" si="178"/>
        <v>0</v>
      </c>
      <c r="Z222" s="3">
        <f t="shared" si="178"/>
        <v>0</v>
      </c>
      <c r="AA222" s="3">
        <f t="shared" si="178"/>
        <v>0</v>
      </c>
      <c r="AB222" s="3">
        <f t="shared" si="178"/>
        <v>0</v>
      </c>
      <c r="AC222" s="3">
        <f t="shared" si="178"/>
        <v>0</v>
      </c>
      <c r="AD222" s="3">
        <f t="shared" si="178"/>
        <v>0</v>
      </c>
      <c r="AE222" s="3">
        <f t="shared" si="178"/>
        <v>0</v>
      </c>
      <c r="AF222" s="3">
        <f t="shared" si="178"/>
        <v>0</v>
      </c>
      <c r="AG222" s="3">
        <f t="shared" si="178"/>
        <v>0</v>
      </c>
      <c r="AH222" s="3">
        <f t="shared" si="178"/>
        <v>0</v>
      </c>
      <c r="AI222" s="3">
        <f t="shared" si="178"/>
        <v>0</v>
      </c>
      <c r="AJ222" s="3">
        <f t="shared" si="178"/>
        <v>0</v>
      </c>
      <c r="AK222" s="3">
        <f t="shared" si="178"/>
        <v>0</v>
      </c>
      <c r="AL222" s="3">
        <f t="shared" si="178"/>
        <v>0</v>
      </c>
      <c r="AM222" s="3">
        <f t="shared" si="179"/>
        <v>0</v>
      </c>
      <c r="AN222" s="3">
        <f t="shared" si="179"/>
        <v>0</v>
      </c>
      <c r="AO222" s="3">
        <f t="shared" si="179"/>
        <v>0</v>
      </c>
      <c r="AP222" s="3">
        <f t="shared" si="179"/>
        <v>0</v>
      </c>
      <c r="AQ222" s="3">
        <f t="shared" si="179"/>
        <v>0</v>
      </c>
      <c r="AR222" s="3">
        <f t="shared" si="179"/>
        <v>0</v>
      </c>
      <c r="AS222" s="3">
        <f t="shared" si="179"/>
        <v>0</v>
      </c>
      <c r="AT222" s="3">
        <f t="shared" si="179"/>
        <v>0</v>
      </c>
      <c r="AU222" s="3">
        <f t="shared" si="179"/>
        <v>0</v>
      </c>
      <c r="AV222" s="3">
        <f t="shared" si="179"/>
        <v>0</v>
      </c>
      <c r="AW222" s="3">
        <f t="shared" si="179"/>
        <v>0</v>
      </c>
      <c r="AX222" s="3">
        <f t="shared" si="179"/>
        <v>0</v>
      </c>
      <c r="AY222" s="3">
        <f t="shared" si="179"/>
        <v>0</v>
      </c>
      <c r="AZ222" s="3">
        <f t="shared" si="179"/>
        <v>0</v>
      </c>
      <c r="BA222" s="3">
        <f t="shared" si="179"/>
        <v>0</v>
      </c>
      <c r="BB222" s="3">
        <f t="shared" ref="BB222:BQ234" si="181">IF(BA221=1,1,0)</f>
        <v>0</v>
      </c>
      <c r="BC222" s="3">
        <f t="shared" si="181"/>
        <v>0</v>
      </c>
      <c r="BD222" s="3">
        <f t="shared" si="181"/>
        <v>0</v>
      </c>
      <c r="BE222" s="3">
        <f t="shared" si="181"/>
        <v>0</v>
      </c>
      <c r="BF222" s="3">
        <f t="shared" si="181"/>
        <v>1</v>
      </c>
      <c r="BG222" s="3">
        <f t="shared" si="181"/>
        <v>0</v>
      </c>
      <c r="BH222" s="3">
        <f t="shared" si="181"/>
        <v>0</v>
      </c>
      <c r="BI222" s="3">
        <f t="shared" si="181"/>
        <v>0</v>
      </c>
      <c r="BJ222" s="3">
        <f t="shared" si="181"/>
        <v>0</v>
      </c>
      <c r="BK222" s="3">
        <f t="shared" si="181"/>
        <v>0</v>
      </c>
      <c r="BL222" s="3">
        <f t="shared" si="181"/>
        <v>0</v>
      </c>
      <c r="BM222" s="3">
        <f t="shared" si="181"/>
        <v>0</v>
      </c>
      <c r="BN222" s="3">
        <f t="shared" si="181"/>
        <v>0</v>
      </c>
      <c r="BO222" s="3">
        <f t="shared" si="181"/>
        <v>0</v>
      </c>
      <c r="BP222" s="3">
        <f t="shared" si="181"/>
        <v>0</v>
      </c>
      <c r="BQ222" s="3">
        <f t="shared" si="181"/>
        <v>0</v>
      </c>
      <c r="BR222" s="3">
        <f t="shared" si="176"/>
        <v>0</v>
      </c>
    </row>
    <row r="223" spans="1:70" outlineLevel="1" x14ac:dyDescent="0.3">
      <c r="A223" s="7">
        <v>54</v>
      </c>
      <c r="B223" s="150" t="s">
        <v>159</v>
      </c>
      <c r="C223" s="150"/>
      <c r="D223" s="150"/>
      <c r="E223" s="150"/>
      <c r="F223" s="3">
        <v>0</v>
      </c>
      <c r="G223" s="3">
        <f t="shared" si="164"/>
        <v>0</v>
      </c>
      <c r="H223" s="3">
        <f t="shared" si="180"/>
        <v>0</v>
      </c>
      <c r="I223" s="3">
        <f t="shared" si="180"/>
        <v>0</v>
      </c>
      <c r="J223" s="3">
        <f t="shared" si="180"/>
        <v>0</v>
      </c>
      <c r="K223" s="3">
        <f t="shared" si="180"/>
        <v>0</v>
      </c>
      <c r="L223" s="3">
        <f t="shared" si="180"/>
        <v>0</v>
      </c>
      <c r="M223" s="3">
        <f t="shared" si="180"/>
        <v>0</v>
      </c>
      <c r="N223" s="3">
        <f t="shared" si="180"/>
        <v>0</v>
      </c>
      <c r="O223" s="3">
        <f t="shared" si="180"/>
        <v>0</v>
      </c>
      <c r="P223" s="3">
        <f t="shared" si="180"/>
        <v>0</v>
      </c>
      <c r="Q223" s="3">
        <f t="shared" si="180"/>
        <v>0</v>
      </c>
      <c r="R223" s="3">
        <f t="shared" si="180"/>
        <v>0</v>
      </c>
      <c r="S223" s="3">
        <f t="shared" si="180"/>
        <v>0</v>
      </c>
      <c r="T223" s="3">
        <f t="shared" si="180"/>
        <v>0</v>
      </c>
      <c r="U223" s="3">
        <f t="shared" si="180"/>
        <v>0</v>
      </c>
      <c r="V223" s="3">
        <f t="shared" si="180"/>
        <v>0</v>
      </c>
      <c r="W223" s="3">
        <f t="shared" ref="W223:AL234" si="182">IF(V222=1,1,0)</f>
        <v>0</v>
      </c>
      <c r="X223" s="3">
        <f t="shared" si="182"/>
        <v>0</v>
      </c>
      <c r="Y223" s="3">
        <f t="shared" si="182"/>
        <v>0</v>
      </c>
      <c r="Z223" s="3">
        <f t="shared" si="182"/>
        <v>0</v>
      </c>
      <c r="AA223" s="3">
        <f t="shared" si="182"/>
        <v>0</v>
      </c>
      <c r="AB223" s="3">
        <f t="shared" si="182"/>
        <v>0</v>
      </c>
      <c r="AC223" s="3">
        <f t="shared" si="182"/>
        <v>0</v>
      </c>
      <c r="AD223" s="3">
        <f t="shared" si="182"/>
        <v>0</v>
      </c>
      <c r="AE223" s="3">
        <f t="shared" si="182"/>
        <v>0</v>
      </c>
      <c r="AF223" s="3">
        <f t="shared" si="182"/>
        <v>0</v>
      </c>
      <c r="AG223" s="3">
        <f t="shared" si="182"/>
        <v>0</v>
      </c>
      <c r="AH223" s="3">
        <f t="shared" si="182"/>
        <v>0</v>
      </c>
      <c r="AI223" s="3">
        <f t="shared" si="182"/>
        <v>0</v>
      </c>
      <c r="AJ223" s="3">
        <f t="shared" si="182"/>
        <v>0</v>
      </c>
      <c r="AK223" s="3">
        <f t="shared" si="182"/>
        <v>0</v>
      </c>
      <c r="AL223" s="3">
        <f t="shared" si="182"/>
        <v>0</v>
      </c>
      <c r="AM223" s="3">
        <f t="shared" ref="AM223:BB234" si="183">IF(AL222=1,1,0)</f>
        <v>0</v>
      </c>
      <c r="AN223" s="3">
        <f t="shared" si="183"/>
        <v>0</v>
      </c>
      <c r="AO223" s="3">
        <f t="shared" si="183"/>
        <v>0</v>
      </c>
      <c r="AP223" s="3">
        <f t="shared" si="183"/>
        <v>0</v>
      </c>
      <c r="AQ223" s="3">
        <f t="shared" si="183"/>
        <v>0</v>
      </c>
      <c r="AR223" s="3">
        <f t="shared" si="183"/>
        <v>0</v>
      </c>
      <c r="AS223" s="3">
        <f t="shared" si="183"/>
        <v>0</v>
      </c>
      <c r="AT223" s="3">
        <f t="shared" si="183"/>
        <v>0</v>
      </c>
      <c r="AU223" s="3">
        <f t="shared" si="183"/>
        <v>0</v>
      </c>
      <c r="AV223" s="3">
        <f t="shared" si="183"/>
        <v>0</v>
      </c>
      <c r="AW223" s="3">
        <f t="shared" si="183"/>
        <v>0</v>
      </c>
      <c r="AX223" s="3">
        <f t="shared" si="183"/>
        <v>0</v>
      </c>
      <c r="AY223" s="3">
        <f t="shared" si="183"/>
        <v>0</v>
      </c>
      <c r="AZ223" s="3">
        <f t="shared" si="183"/>
        <v>0</v>
      </c>
      <c r="BA223" s="3">
        <f t="shared" si="183"/>
        <v>0</v>
      </c>
      <c r="BB223" s="3">
        <f t="shared" si="183"/>
        <v>0</v>
      </c>
      <c r="BC223" s="3">
        <f t="shared" si="181"/>
        <v>0</v>
      </c>
      <c r="BD223" s="3">
        <f t="shared" si="181"/>
        <v>0</v>
      </c>
      <c r="BE223" s="3">
        <f t="shared" si="181"/>
        <v>0</v>
      </c>
      <c r="BF223" s="3">
        <f t="shared" si="181"/>
        <v>0</v>
      </c>
      <c r="BG223" s="3">
        <f t="shared" si="181"/>
        <v>1</v>
      </c>
      <c r="BH223" s="3">
        <f t="shared" si="181"/>
        <v>0</v>
      </c>
      <c r="BI223" s="3">
        <f t="shared" si="181"/>
        <v>0</v>
      </c>
      <c r="BJ223" s="3">
        <f t="shared" si="181"/>
        <v>0</v>
      </c>
      <c r="BK223" s="3">
        <f t="shared" si="181"/>
        <v>0</v>
      </c>
      <c r="BL223" s="3">
        <f t="shared" si="181"/>
        <v>0</v>
      </c>
      <c r="BM223" s="3">
        <f t="shared" si="181"/>
        <v>0</v>
      </c>
      <c r="BN223" s="3">
        <f t="shared" si="181"/>
        <v>0</v>
      </c>
      <c r="BO223" s="3">
        <f t="shared" si="181"/>
        <v>0</v>
      </c>
      <c r="BP223" s="3">
        <f t="shared" si="181"/>
        <v>0</v>
      </c>
      <c r="BQ223" s="3">
        <f t="shared" si="181"/>
        <v>0</v>
      </c>
      <c r="BR223" s="3">
        <f t="shared" si="176"/>
        <v>0</v>
      </c>
    </row>
    <row r="224" spans="1:70" outlineLevel="1" x14ac:dyDescent="0.3">
      <c r="A224" s="7">
        <v>55</v>
      </c>
      <c r="B224" s="150" t="s">
        <v>160</v>
      </c>
      <c r="C224" s="150"/>
      <c r="D224" s="150"/>
      <c r="E224" s="150"/>
      <c r="F224" s="3">
        <v>0</v>
      </c>
      <c r="G224" s="3">
        <f t="shared" si="164"/>
        <v>0</v>
      </c>
      <c r="H224" s="3">
        <f t="shared" ref="H224:W234" si="184">IF(G223=1,1,0)</f>
        <v>0</v>
      </c>
      <c r="I224" s="3">
        <f t="shared" si="184"/>
        <v>0</v>
      </c>
      <c r="J224" s="3">
        <f t="shared" si="184"/>
        <v>0</v>
      </c>
      <c r="K224" s="3">
        <f t="shared" si="184"/>
        <v>0</v>
      </c>
      <c r="L224" s="3">
        <f t="shared" si="184"/>
        <v>0</v>
      </c>
      <c r="M224" s="3">
        <f t="shared" si="184"/>
        <v>0</v>
      </c>
      <c r="N224" s="3">
        <f t="shared" si="184"/>
        <v>0</v>
      </c>
      <c r="O224" s="3">
        <f t="shared" si="184"/>
        <v>0</v>
      </c>
      <c r="P224" s="3">
        <f t="shared" si="184"/>
        <v>0</v>
      </c>
      <c r="Q224" s="3">
        <f t="shared" si="184"/>
        <v>0</v>
      </c>
      <c r="R224" s="3">
        <f t="shared" si="184"/>
        <v>0</v>
      </c>
      <c r="S224" s="3">
        <f t="shared" si="184"/>
        <v>0</v>
      </c>
      <c r="T224" s="3">
        <f t="shared" si="184"/>
        <v>0</v>
      </c>
      <c r="U224" s="3">
        <f t="shared" si="184"/>
        <v>0</v>
      </c>
      <c r="V224" s="3">
        <f t="shared" si="184"/>
        <v>0</v>
      </c>
      <c r="W224" s="3">
        <f t="shared" si="184"/>
        <v>0</v>
      </c>
      <c r="X224" s="3">
        <f t="shared" si="182"/>
        <v>0</v>
      </c>
      <c r="Y224" s="3">
        <f t="shared" si="182"/>
        <v>0</v>
      </c>
      <c r="Z224" s="3">
        <f t="shared" si="182"/>
        <v>0</v>
      </c>
      <c r="AA224" s="3">
        <f t="shared" si="182"/>
        <v>0</v>
      </c>
      <c r="AB224" s="3">
        <f t="shared" si="182"/>
        <v>0</v>
      </c>
      <c r="AC224" s="3">
        <f t="shared" si="182"/>
        <v>0</v>
      </c>
      <c r="AD224" s="3">
        <f t="shared" si="182"/>
        <v>0</v>
      </c>
      <c r="AE224" s="3">
        <f t="shared" si="182"/>
        <v>0</v>
      </c>
      <c r="AF224" s="3">
        <f t="shared" si="182"/>
        <v>0</v>
      </c>
      <c r="AG224" s="3">
        <f t="shared" si="182"/>
        <v>0</v>
      </c>
      <c r="AH224" s="3">
        <f t="shared" si="182"/>
        <v>0</v>
      </c>
      <c r="AI224" s="3">
        <f t="shared" si="182"/>
        <v>0</v>
      </c>
      <c r="AJ224" s="3">
        <f t="shared" si="182"/>
        <v>0</v>
      </c>
      <c r="AK224" s="3">
        <f t="shared" si="182"/>
        <v>0</v>
      </c>
      <c r="AL224" s="3">
        <f t="shared" si="182"/>
        <v>0</v>
      </c>
      <c r="AM224" s="3">
        <f t="shared" si="183"/>
        <v>0</v>
      </c>
      <c r="AN224" s="3">
        <f t="shared" si="183"/>
        <v>0</v>
      </c>
      <c r="AO224" s="3">
        <f t="shared" si="183"/>
        <v>0</v>
      </c>
      <c r="AP224" s="3">
        <f t="shared" si="183"/>
        <v>0</v>
      </c>
      <c r="AQ224" s="3">
        <f t="shared" si="183"/>
        <v>0</v>
      </c>
      <c r="AR224" s="3">
        <f t="shared" si="183"/>
        <v>0</v>
      </c>
      <c r="AS224" s="3">
        <f t="shared" si="183"/>
        <v>0</v>
      </c>
      <c r="AT224" s="3">
        <f t="shared" si="183"/>
        <v>0</v>
      </c>
      <c r="AU224" s="3">
        <f t="shared" si="183"/>
        <v>0</v>
      </c>
      <c r="AV224" s="3">
        <f t="shared" si="183"/>
        <v>0</v>
      </c>
      <c r="AW224" s="3">
        <f t="shared" si="183"/>
        <v>0</v>
      </c>
      <c r="AX224" s="3">
        <f t="shared" si="183"/>
        <v>0</v>
      </c>
      <c r="AY224" s="3">
        <f t="shared" si="183"/>
        <v>0</v>
      </c>
      <c r="AZ224" s="3">
        <f t="shared" si="183"/>
        <v>0</v>
      </c>
      <c r="BA224" s="3">
        <f t="shared" si="183"/>
        <v>0</v>
      </c>
      <c r="BB224" s="3">
        <f t="shared" si="183"/>
        <v>0</v>
      </c>
      <c r="BC224" s="3">
        <f t="shared" si="181"/>
        <v>0</v>
      </c>
      <c r="BD224" s="3">
        <f t="shared" si="181"/>
        <v>0</v>
      </c>
      <c r="BE224" s="3">
        <f t="shared" si="181"/>
        <v>0</v>
      </c>
      <c r="BF224" s="3">
        <f t="shared" si="181"/>
        <v>0</v>
      </c>
      <c r="BG224" s="3">
        <f t="shared" si="181"/>
        <v>0</v>
      </c>
      <c r="BH224" s="3">
        <f t="shared" si="181"/>
        <v>1</v>
      </c>
      <c r="BI224" s="3">
        <f t="shared" si="181"/>
        <v>0</v>
      </c>
      <c r="BJ224" s="3">
        <f t="shared" si="181"/>
        <v>0</v>
      </c>
      <c r="BK224" s="3">
        <f t="shared" si="181"/>
        <v>0</v>
      </c>
      <c r="BL224" s="3">
        <f t="shared" si="181"/>
        <v>0</v>
      </c>
      <c r="BM224" s="3">
        <f t="shared" si="181"/>
        <v>0</v>
      </c>
      <c r="BN224" s="3">
        <f t="shared" si="181"/>
        <v>0</v>
      </c>
      <c r="BO224" s="3">
        <f t="shared" si="181"/>
        <v>0</v>
      </c>
      <c r="BP224" s="3">
        <f t="shared" si="181"/>
        <v>0</v>
      </c>
      <c r="BQ224" s="3">
        <f t="shared" si="181"/>
        <v>0</v>
      </c>
      <c r="BR224" s="3">
        <f t="shared" si="176"/>
        <v>0</v>
      </c>
    </row>
    <row r="225" spans="1:70" outlineLevel="1" x14ac:dyDescent="0.3">
      <c r="A225" s="7">
        <v>56</v>
      </c>
      <c r="B225" s="150" t="s">
        <v>161</v>
      </c>
      <c r="C225" s="150"/>
      <c r="D225" s="150"/>
      <c r="E225" s="150"/>
      <c r="F225" s="3">
        <v>0</v>
      </c>
      <c r="G225" s="3">
        <f t="shared" si="164"/>
        <v>0</v>
      </c>
      <c r="H225" s="3">
        <f t="shared" si="184"/>
        <v>0</v>
      </c>
      <c r="I225" s="3">
        <f t="shared" si="184"/>
        <v>0</v>
      </c>
      <c r="J225" s="3">
        <f t="shared" si="184"/>
        <v>0</v>
      </c>
      <c r="K225" s="3">
        <f t="shared" si="184"/>
        <v>0</v>
      </c>
      <c r="L225" s="3">
        <f t="shared" si="184"/>
        <v>0</v>
      </c>
      <c r="M225" s="3">
        <f t="shared" si="184"/>
        <v>0</v>
      </c>
      <c r="N225" s="3">
        <f t="shared" si="184"/>
        <v>0</v>
      </c>
      <c r="O225" s="3">
        <f t="shared" si="184"/>
        <v>0</v>
      </c>
      <c r="P225" s="3">
        <f t="shared" si="184"/>
        <v>0</v>
      </c>
      <c r="Q225" s="3">
        <f t="shared" si="184"/>
        <v>0</v>
      </c>
      <c r="R225" s="3">
        <f t="shared" si="184"/>
        <v>0</v>
      </c>
      <c r="S225" s="3">
        <f t="shared" si="184"/>
        <v>0</v>
      </c>
      <c r="T225" s="3">
        <f t="shared" si="184"/>
        <v>0</v>
      </c>
      <c r="U225" s="3">
        <f t="shared" si="184"/>
        <v>0</v>
      </c>
      <c r="V225" s="3">
        <f t="shared" si="184"/>
        <v>0</v>
      </c>
      <c r="W225" s="3">
        <f t="shared" si="184"/>
        <v>0</v>
      </c>
      <c r="X225" s="3">
        <f t="shared" si="182"/>
        <v>0</v>
      </c>
      <c r="Y225" s="3">
        <f t="shared" si="182"/>
        <v>0</v>
      </c>
      <c r="Z225" s="3">
        <f t="shared" si="182"/>
        <v>0</v>
      </c>
      <c r="AA225" s="3">
        <f t="shared" si="182"/>
        <v>0</v>
      </c>
      <c r="AB225" s="3">
        <f t="shared" si="182"/>
        <v>0</v>
      </c>
      <c r="AC225" s="3">
        <f t="shared" si="182"/>
        <v>0</v>
      </c>
      <c r="AD225" s="3">
        <f t="shared" si="182"/>
        <v>0</v>
      </c>
      <c r="AE225" s="3">
        <f t="shared" si="182"/>
        <v>0</v>
      </c>
      <c r="AF225" s="3">
        <f t="shared" si="182"/>
        <v>0</v>
      </c>
      <c r="AG225" s="3">
        <f t="shared" si="182"/>
        <v>0</v>
      </c>
      <c r="AH225" s="3">
        <f t="shared" si="182"/>
        <v>0</v>
      </c>
      <c r="AI225" s="3">
        <f t="shared" si="182"/>
        <v>0</v>
      </c>
      <c r="AJ225" s="3">
        <f t="shared" si="182"/>
        <v>0</v>
      </c>
      <c r="AK225" s="3">
        <f t="shared" si="182"/>
        <v>0</v>
      </c>
      <c r="AL225" s="3">
        <f t="shared" si="182"/>
        <v>0</v>
      </c>
      <c r="AM225" s="3">
        <f t="shared" si="183"/>
        <v>0</v>
      </c>
      <c r="AN225" s="3">
        <f t="shared" si="183"/>
        <v>0</v>
      </c>
      <c r="AO225" s="3">
        <f t="shared" si="183"/>
        <v>0</v>
      </c>
      <c r="AP225" s="3">
        <f t="shared" si="183"/>
        <v>0</v>
      </c>
      <c r="AQ225" s="3">
        <f t="shared" si="183"/>
        <v>0</v>
      </c>
      <c r="AR225" s="3">
        <f t="shared" si="183"/>
        <v>0</v>
      </c>
      <c r="AS225" s="3">
        <f t="shared" si="183"/>
        <v>0</v>
      </c>
      <c r="AT225" s="3">
        <f t="shared" si="183"/>
        <v>0</v>
      </c>
      <c r="AU225" s="3">
        <f t="shared" si="183"/>
        <v>0</v>
      </c>
      <c r="AV225" s="3">
        <f t="shared" si="183"/>
        <v>0</v>
      </c>
      <c r="AW225" s="3">
        <f t="shared" si="183"/>
        <v>0</v>
      </c>
      <c r="AX225" s="3">
        <f t="shared" si="183"/>
        <v>0</v>
      </c>
      <c r="AY225" s="3">
        <f t="shared" si="183"/>
        <v>0</v>
      </c>
      <c r="AZ225" s="3">
        <f t="shared" si="183"/>
        <v>0</v>
      </c>
      <c r="BA225" s="3">
        <f t="shared" si="183"/>
        <v>0</v>
      </c>
      <c r="BB225" s="3">
        <f t="shared" si="183"/>
        <v>0</v>
      </c>
      <c r="BC225" s="3">
        <f t="shared" si="181"/>
        <v>0</v>
      </c>
      <c r="BD225" s="3">
        <f t="shared" si="181"/>
        <v>0</v>
      </c>
      <c r="BE225" s="3">
        <f t="shared" si="181"/>
        <v>0</v>
      </c>
      <c r="BF225" s="3">
        <f t="shared" si="181"/>
        <v>0</v>
      </c>
      <c r="BG225" s="3">
        <f t="shared" si="181"/>
        <v>0</v>
      </c>
      <c r="BH225" s="3">
        <f t="shared" si="181"/>
        <v>0</v>
      </c>
      <c r="BI225" s="3">
        <f t="shared" si="181"/>
        <v>1</v>
      </c>
      <c r="BJ225" s="3">
        <f t="shared" si="181"/>
        <v>0</v>
      </c>
      <c r="BK225" s="3">
        <f t="shared" si="181"/>
        <v>0</v>
      </c>
      <c r="BL225" s="3">
        <f t="shared" si="181"/>
        <v>0</v>
      </c>
      <c r="BM225" s="3">
        <f t="shared" si="181"/>
        <v>0</v>
      </c>
      <c r="BN225" s="3">
        <f t="shared" si="181"/>
        <v>0</v>
      </c>
      <c r="BO225" s="3">
        <f t="shared" si="181"/>
        <v>0</v>
      </c>
      <c r="BP225" s="3">
        <f t="shared" si="181"/>
        <v>0</v>
      </c>
      <c r="BQ225" s="3">
        <f t="shared" si="181"/>
        <v>0</v>
      </c>
      <c r="BR225" s="3">
        <f t="shared" si="176"/>
        <v>0</v>
      </c>
    </row>
    <row r="226" spans="1:70" outlineLevel="1" x14ac:dyDescent="0.3">
      <c r="A226" s="7">
        <v>57</v>
      </c>
      <c r="B226" s="150" t="s">
        <v>162</v>
      </c>
      <c r="C226" s="150"/>
      <c r="D226" s="150"/>
      <c r="E226" s="150"/>
      <c r="F226" s="3">
        <v>0</v>
      </c>
      <c r="G226" s="3">
        <f t="shared" ref="G226:G234" si="185">IF(F225=1,1,0)</f>
        <v>0</v>
      </c>
      <c r="H226" s="3">
        <f t="shared" si="184"/>
        <v>0</v>
      </c>
      <c r="I226" s="3">
        <f t="shared" si="184"/>
        <v>0</v>
      </c>
      <c r="J226" s="3">
        <f t="shared" si="184"/>
        <v>0</v>
      </c>
      <c r="K226" s="3">
        <f t="shared" si="184"/>
        <v>0</v>
      </c>
      <c r="L226" s="3">
        <f t="shared" si="184"/>
        <v>0</v>
      </c>
      <c r="M226" s="3">
        <f t="shared" si="184"/>
        <v>0</v>
      </c>
      <c r="N226" s="3">
        <f t="shared" si="184"/>
        <v>0</v>
      </c>
      <c r="O226" s="3">
        <f t="shared" si="184"/>
        <v>0</v>
      </c>
      <c r="P226" s="3">
        <f t="shared" si="184"/>
        <v>0</v>
      </c>
      <c r="Q226" s="3">
        <f t="shared" si="184"/>
        <v>0</v>
      </c>
      <c r="R226" s="3">
        <f t="shared" si="184"/>
        <v>0</v>
      </c>
      <c r="S226" s="3">
        <f t="shared" si="184"/>
        <v>0</v>
      </c>
      <c r="T226" s="3">
        <f t="shared" si="184"/>
        <v>0</v>
      </c>
      <c r="U226" s="3">
        <f t="shared" si="184"/>
        <v>0</v>
      </c>
      <c r="V226" s="3">
        <f t="shared" si="184"/>
        <v>0</v>
      </c>
      <c r="W226" s="3">
        <f t="shared" si="184"/>
        <v>0</v>
      </c>
      <c r="X226" s="3">
        <f t="shared" si="182"/>
        <v>0</v>
      </c>
      <c r="Y226" s="3">
        <f t="shared" si="182"/>
        <v>0</v>
      </c>
      <c r="Z226" s="3">
        <f t="shared" si="182"/>
        <v>0</v>
      </c>
      <c r="AA226" s="3">
        <f t="shared" si="182"/>
        <v>0</v>
      </c>
      <c r="AB226" s="3">
        <f t="shared" si="182"/>
        <v>0</v>
      </c>
      <c r="AC226" s="3">
        <f t="shared" si="182"/>
        <v>0</v>
      </c>
      <c r="AD226" s="3">
        <f t="shared" si="182"/>
        <v>0</v>
      </c>
      <c r="AE226" s="3">
        <f t="shared" si="182"/>
        <v>0</v>
      </c>
      <c r="AF226" s="3">
        <f t="shared" si="182"/>
        <v>0</v>
      </c>
      <c r="AG226" s="3">
        <f t="shared" si="182"/>
        <v>0</v>
      </c>
      <c r="AH226" s="3">
        <f t="shared" si="182"/>
        <v>0</v>
      </c>
      <c r="AI226" s="3">
        <f t="shared" si="182"/>
        <v>0</v>
      </c>
      <c r="AJ226" s="3">
        <f t="shared" si="182"/>
        <v>0</v>
      </c>
      <c r="AK226" s="3">
        <f t="shared" si="182"/>
        <v>0</v>
      </c>
      <c r="AL226" s="3">
        <f t="shared" si="182"/>
        <v>0</v>
      </c>
      <c r="AM226" s="3">
        <f t="shared" si="183"/>
        <v>0</v>
      </c>
      <c r="AN226" s="3">
        <f t="shared" si="183"/>
        <v>0</v>
      </c>
      <c r="AO226" s="3">
        <f t="shared" si="183"/>
        <v>0</v>
      </c>
      <c r="AP226" s="3">
        <f t="shared" si="183"/>
        <v>0</v>
      </c>
      <c r="AQ226" s="3">
        <f t="shared" si="183"/>
        <v>0</v>
      </c>
      <c r="AR226" s="3">
        <f t="shared" si="183"/>
        <v>0</v>
      </c>
      <c r="AS226" s="3">
        <f t="shared" si="183"/>
        <v>0</v>
      </c>
      <c r="AT226" s="3">
        <f t="shared" si="183"/>
        <v>0</v>
      </c>
      <c r="AU226" s="3">
        <f t="shared" si="183"/>
        <v>0</v>
      </c>
      <c r="AV226" s="3">
        <f t="shared" si="183"/>
        <v>0</v>
      </c>
      <c r="AW226" s="3">
        <f t="shared" si="183"/>
        <v>0</v>
      </c>
      <c r="AX226" s="3">
        <f t="shared" si="183"/>
        <v>0</v>
      </c>
      <c r="AY226" s="3">
        <f t="shared" si="183"/>
        <v>0</v>
      </c>
      <c r="AZ226" s="3">
        <f t="shared" si="183"/>
        <v>0</v>
      </c>
      <c r="BA226" s="3">
        <f t="shared" si="183"/>
        <v>0</v>
      </c>
      <c r="BB226" s="3">
        <f t="shared" si="183"/>
        <v>0</v>
      </c>
      <c r="BC226" s="3">
        <f t="shared" si="181"/>
        <v>0</v>
      </c>
      <c r="BD226" s="3">
        <f t="shared" si="181"/>
        <v>0</v>
      </c>
      <c r="BE226" s="3">
        <f t="shared" si="181"/>
        <v>0</v>
      </c>
      <c r="BF226" s="3">
        <f t="shared" si="181"/>
        <v>0</v>
      </c>
      <c r="BG226" s="3">
        <f t="shared" si="181"/>
        <v>0</v>
      </c>
      <c r="BH226" s="3">
        <f t="shared" si="181"/>
        <v>0</v>
      </c>
      <c r="BI226" s="3">
        <f t="shared" si="181"/>
        <v>0</v>
      </c>
      <c r="BJ226" s="3">
        <f t="shared" si="181"/>
        <v>1</v>
      </c>
      <c r="BK226" s="3">
        <f t="shared" si="181"/>
        <v>0</v>
      </c>
      <c r="BL226" s="3">
        <f t="shared" si="181"/>
        <v>0</v>
      </c>
      <c r="BM226" s="3">
        <f t="shared" si="181"/>
        <v>0</v>
      </c>
      <c r="BN226" s="3">
        <f t="shared" si="181"/>
        <v>0</v>
      </c>
      <c r="BO226" s="3">
        <f t="shared" si="181"/>
        <v>0</v>
      </c>
      <c r="BP226" s="3">
        <f t="shared" si="181"/>
        <v>0</v>
      </c>
      <c r="BQ226" s="3">
        <f t="shared" si="181"/>
        <v>0</v>
      </c>
      <c r="BR226" s="3">
        <f t="shared" si="176"/>
        <v>0</v>
      </c>
    </row>
    <row r="227" spans="1:70" outlineLevel="1" x14ac:dyDescent="0.3">
      <c r="A227" s="7">
        <v>58</v>
      </c>
      <c r="B227" s="150" t="s">
        <v>163</v>
      </c>
      <c r="C227" s="150"/>
      <c r="D227" s="150"/>
      <c r="E227" s="150"/>
      <c r="F227" s="3">
        <v>0</v>
      </c>
      <c r="G227" s="3">
        <f t="shared" si="185"/>
        <v>0</v>
      </c>
      <c r="H227" s="3">
        <f t="shared" si="184"/>
        <v>0</v>
      </c>
      <c r="I227" s="3">
        <f t="shared" si="184"/>
        <v>0</v>
      </c>
      <c r="J227" s="3">
        <f t="shared" si="184"/>
        <v>0</v>
      </c>
      <c r="K227" s="3">
        <f t="shared" si="184"/>
        <v>0</v>
      </c>
      <c r="L227" s="3">
        <f t="shared" si="184"/>
        <v>0</v>
      </c>
      <c r="M227" s="3">
        <f t="shared" si="184"/>
        <v>0</v>
      </c>
      <c r="N227" s="3">
        <f t="shared" si="184"/>
        <v>0</v>
      </c>
      <c r="O227" s="3">
        <f t="shared" si="184"/>
        <v>0</v>
      </c>
      <c r="P227" s="3">
        <f t="shared" si="184"/>
        <v>0</v>
      </c>
      <c r="Q227" s="3">
        <f t="shared" si="184"/>
        <v>0</v>
      </c>
      <c r="R227" s="3">
        <f t="shared" si="184"/>
        <v>0</v>
      </c>
      <c r="S227" s="3">
        <f t="shared" si="184"/>
        <v>0</v>
      </c>
      <c r="T227" s="3">
        <f t="shared" si="184"/>
        <v>0</v>
      </c>
      <c r="U227" s="3">
        <f t="shared" si="184"/>
        <v>0</v>
      </c>
      <c r="V227" s="3">
        <f t="shared" si="184"/>
        <v>0</v>
      </c>
      <c r="W227" s="3">
        <f t="shared" si="184"/>
        <v>0</v>
      </c>
      <c r="X227" s="3">
        <f t="shared" si="182"/>
        <v>0</v>
      </c>
      <c r="Y227" s="3">
        <f t="shared" si="182"/>
        <v>0</v>
      </c>
      <c r="Z227" s="3">
        <f t="shared" si="182"/>
        <v>0</v>
      </c>
      <c r="AA227" s="3">
        <f t="shared" si="182"/>
        <v>0</v>
      </c>
      <c r="AB227" s="3">
        <f t="shared" si="182"/>
        <v>0</v>
      </c>
      <c r="AC227" s="3">
        <f t="shared" si="182"/>
        <v>0</v>
      </c>
      <c r="AD227" s="3">
        <f t="shared" si="182"/>
        <v>0</v>
      </c>
      <c r="AE227" s="3">
        <f t="shared" si="182"/>
        <v>0</v>
      </c>
      <c r="AF227" s="3">
        <f t="shared" si="182"/>
        <v>0</v>
      </c>
      <c r="AG227" s="3">
        <f t="shared" si="182"/>
        <v>0</v>
      </c>
      <c r="AH227" s="3">
        <f t="shared" si="182"/>
        <v>0</v>
      </c>
      <c r="AI227" s="3">
        <f t="shared" si="182"/>
        <v>0</v>
      </c>
      <c r="AJ227" s="3">
        <f t="shared" si="182"/>
        <v>0</v>
      </c>
      <c r="AK227" s="3">
        <f t="shared" si="182"/>
        <v>0</v>
      </c>
      <c r="AL227" s="3">
        <f t="shared" si="182"/>
        <v>0</v>
      </c>
      <c r="AM227" s="3">
        <f t="shared" si="183"/>
        <v>0</v>
      </c>
      <c r="AN227" s="3">
        <f t="shared" si="183"/>
        <v>0</v>
      </c>
      <c r="AO227" s="3">
        <f t="shared" si="183"/>
        <v>0</v>
      </c>
      <c r="AP227" s="3">
        <f t="shared" si="183"/>
        <v>0</v>
      </c>
      <c r="AQ227" s="3">
        <f t="shared" si="183"/>
        <v>0</v>
      </c>
      <c r="AR227" s="3">
        <f t="shared" si="183"/>
        <v>0</v>
      </c>
      <c r="AS227" s="3">
        <f t="shared" si="183"/>
        <v>0</v>
      </c>
      <c r="AT227" s="3">
        <f t="shared" si="183"/>
        <v>0</v>
      </c>
      <c r="AU227" s="3">
        <f t="shared" si="183"/>
        <v>0</v>
      </c>
      <c r="AV227" s="3">
        <f t="shared" si="183"/>
        <v>0</v>
      </c>
      <c r="AW227" s="3">
        <f t="shared" si="183"/>
        <v>0</v>
      </c>
      <c r="AX227" s="3">
        <f t="shared" si="183"/>
        <v>0</v>
      </c>
      <c r="AY227" s="3">
        <f t="shared" si="183"/>
        <v>0</v>
      </c>
      <c r="AZ227" s="3">
        <f t="shared" si="183"/>
        <v>0</v>
      </c>
      <c r="BA227" s="3">
        <f t="shared" si="183"/>
        <v>0</v>
      </c>
      <c r="BB227" s="3">
        <f t="shared" si="183"/>
        <v>0</v>
      </c>
      <c r="BC227" s="3">
        <f t="shared" si="181"/>
        <v>0</v>
      </c>
      <c r="BD227" s="3">
        <f t="shared" si="181"/>
        <v>0</v>
      </c>
      <c r="BE227" s="3">
        <f t="shared" si="181"/>
        <v>0</v>
      </c>
      <c r="BF227" s="3">
        <f t="shared" si="181"/>
        <v>0</v>
      </c>
      <c r="BG227" s="3">
        <f t="shared" si="181"/>
        <v>0</v>
      </c>
      <c r="BH227" s="3">
        <f t="shared" si="181"/>
        <v>0</v>
      </c>
      <c r="BI227" s="3">
        <f t="shared" si="181"/>
        <v>0</v>
      </c>
      <c r="BJ227" s="3">
        <f t="shared" si="181"/>
        <v>0</v>
      </c>
      <c r="BK227" s="3">
        <f t="shared" si="181"/>
        <v>1</v>
      </c>
      <c r="BL227" s="3">
        <f t="shared" si="181"/>
        <v>0</v>
      </c>
      <c r="BM227" s="3">
        <f t="shared" si="181"/>
        <v>0</v>
      </c>
      <c r="BN227" s="3">
        <f t="shared" si="181"/>
        <v>0</v>
      </c>
      <c r="BO227" s="3">
        <f t="shared" si="181"/>
        <v>0</v>
      </c>
      <c r="BP227" s="3">
        <f t="shared" si="181"/>
        <v>0</v>
      </c>
      <c r="BQ227" s="3">
        <f t="shared" si="181"/>
        <v>0</v>
      </c>
      <c r="BR227" s="3">
        <f t="shared" si="176"/>
        <v>0</v>
      </c>
    </row>
    <row r="228" spans="1:70" outlineLevel="1" x14ac:dyDescent="0.3">
      <c r="A228" s="7">
        <v>59</v>
      </c>
      <c r="B228" s="150" t="s">
        <v>164</v>
      </c>
      <c r="C228" s="150"/>
      <c r="D228" s="150"/>
      <c r="E228" s="150"/>
      <c r="F228" s="3">
        <v>0</v>
      </c>
      <c r="G228" s="3">
        <f t="shared" si="185"/>
        <v>0</v>
      </c>
      <c r="H228" s="3">
        <f t="shared" si="184"/>
        <v>0</v>
      </c>
      <c r="I228" s="3">
        <f t="shared" si="184"/>
        <v>0</v>
      </c>
      <c r="J228" s="3">
        <f t="shared" si="184"/>
        <v>0</v>
      </c>
      <c r="K228" s="3">
        <f t="shared" si="184"/>
        <v>0</v>
      </c>
      <c r="L228" s="3">
        <f t="shared" si="184"/>
        <v>0</v>
      </c>
      <c r="M228" s="3">
        <f t="shared" si="184"/>
        <v>0</v>
      </c>
      <c r="N228" s="3">
        <f t="shared" si="184"/>
        <v>0</v>
      </c>
      <c r="O228" s="3">
        <f t="shared" si="184"/>
        <v>0</v>
      </c>
      <c r="P228" s="3">
        <f t="shared" si="184"/>
        <v>0</v>
      </c>
      <c r="Q228" s="3">
        <f t="shared" si="184"/>
        <v>0</v>
      </c>
      <c r="R228" s="3">
        <f t="shared" si="184"/>
        <v>0</v>
      </c>
      <c r="S228" s="3">
        <f t="shared" si="184"/>
        <v>0</v>
      </c>
      <c r="T228" s="3">
        <f t="shared" si="184"/>
        <v>0</v>
      </c>
      <c r="U228" s="3">
        <f t="shared" si="184"/>
        <v>0</v>
      </c>
      <c r="V228" s="3">
        <f t="shared" si="184"/>
        <v>0</v>
      </c>
      <c r="W228" s="3">
        <f t="shared" si="184"/>
        <v>0</v>
      </c>
      <c r="X228" s="3">
        <f t="shared" si="182"/>
        <v>0</v>
      </c>
      <c r="Y228" s="3">
        <f t="shared" si="182"/>
        <v>0</v>
      </c>
      <c r="Z228" s="3">
        <f t="shared" si="182"/>
        <v>0</v>
      </c>
      <c r="AA228" s="3">
        <f t="shared" si="182"/>
        <v>0</v>
      </c>
      <c r="AB228" s="3">
        <f t="shared" si="182"/>
        <v>0</v>
      </c>
      <c r="AC228" s="3">
        <f t="shared" si="182"/>
        <v>0</v>
      </c>
      <c r="AD228" s="3">
        <f t="shared" si="182"/>
        <v>0</v>
      </c>
      <c r="AE228" s="3">
        <f t="shared" si="182"/>
        <v>0</v>
      </c>
      <c r="AF228" s="3">
        <f t="shared" si="182"/>
        <v>0</v>
      </c>
      <c r="AG228" s="3">
        <f t="shared" si="182"/>
        <v>0</v>
      </c>
      <c r="AH228" s="3">
        <f t="shared" si="182"/>
        <v>0</v>
      </c>
      <c r="AI228" s="3">
        <f t="shared" si="182"/>
        <v>0</v>
      </c>
      <c r="AJ228" s="3">
        <f t="shared" si="182"/>
        <v>0</v>
      </c>
      <c r="AK228" s="3">
        <f t="shared" si="182"/>
        <v>0</v>
      </c>
      <c r="AL228" s="3">
        <f t="shared" si="182"/>
        <v>0</v>
      </c>
      <c r="AM228" s="3">
        <f t="shared" si="183"/>
        <v>0</v>
      </c>
      <c r="AN228" s="3">
        <f t="shared" si="183"/>
        <v>0</v>
      </c>
      <c r="AO228" s="3">
        <f t="shared" si="183"/>
        <v>0</v>
      </c>
      <c r="AP228" s="3">
        <f t="shared" si="183"/>
        <v>0</v>
      </c>
      <c r="AQ228" s="3">
        <f t="shared" si="183"/>
        <v>0</v>
      </c>
      <c r="AR228" s="3">
        <f t="shared" si="183"/>
        <v>0</v>
      </c>
      <c r="AS228" s="3">
        <f t="shared" si="183"/>
        <v>0</v>
      </c>
      <c r="AT228" s="3">
        <f t="shared" si="183"/>
        <v>0</v>
      </c>
      <c r="AU228" s="3">
        <f t="shared" si="183"/>
        <v>0</v>
      </c>
      <c r="AV228" s="3">
        <f t="shared" si="183"/>
        <v>0</v>
      </c>
      <c r="AW228" s="3">
        <f t="shared" si="183"/>
        <v>0</v>
      </c>
      <c r="AX228" s="3">
        <f t="shared" si="183"/>
        <v>0</v>
      </c>
      <c r="AY228" s="3">
        <f t="shared" si="183"/>
        <v>0</v>
      </c>
      <c r="AZ228" s="3">
        <f t="shared" si="183"/>
        <v>0</v>
      </c>
      <c r="BA228" s="3">
        <f t="shared" si="183"/>
        <v>0</v>
      </c>
      <c r="BB228" s="3">
        <f t="shared" si="183"/>
        <v>0</v>
      </c>
      <c r="BC228" s="3">
        <f t="shared" si="181"/>
        <v>0</v>
      </c>
      <c r="BD228" s="3">
        <f t="shared" si="181"/>
        <v>0</v>
      </c>
      <c r="BE228" s="3">
        <f t="shared" si="181"/>
        <v>0</v>
      </c>
      <c r="BF228" s="3">
        <f t="shared" si="181"/>
        <v>0</v>
      </c>
      <c r="BG228" s="3">
        <f t="shared" si="181"/>
        <v>0</v>
      </c>
      <c r="BH228" s="3">
        <f t="shared" si="181"/>
        <v>0</v>
      </c>
      <c r="BI228" s="3">
        <f t="shared" si="181"/>
        <v>0</v>
      </c>
      <c r="BJ228" s="3">
        <f t="shared" si="181"/>
        <v>0</v>
      </c>
      <c r="BK228" s="3">
        <f t="shared" si="181"/>
        <v>0</v>
      </c>
      <c r="BL228" s="3">
        <f t="shared" si="181"/>
        <v>1</v>
      </c>
      <c r="BM228" s="3">
        <f t="shared" si="181"/>
        <v>0</v>
      </c>
      <c r="BN228" s="3">
        <f t="shared" si="181"/>
        <v>0</v>
      </c>
      <c r="BO228" s="3">
        <f t="shared" si="181"/>
        <v>0</v>
      </c>
      <c r="BP228" s="3">
        <f t="shared" si="181"/>
        <v>0</v>
      </c>
      <c r="BQ228" s="3">
        <f t="shared" si="181"/>
        <v>0</v>
      </c>
      <c r="BR228" s="3">
        <f t="shared" si="176"/>
        <v>0</v>
      </c>
    </row>
    <row r="229" spans="1:70" outlineLevel="1" x14ac:dyDescent="0.3">
      <c r="A229" s="7">
        <v>60</v>
      </c>
      <c r="B229" s="150" t="s">
        <v>165</v>
      </c>
      <c r="C229" s="150"/>
      <c r="D229" s="150"/>
      <c r="E229" s="150"/>
      <c r="F229" s="3">
        <v>0</v>
      </c>
      <c r="G229" s="3">
        <f t="shared" si="185"/>
        <v>0</v>
      </c>
      <c r="H229" s="3">
        <f t="shared" si="184"/>
        <v>0</v>
      </c>
      <c r="I229" s="3">
        <f t="shared" si="184"/>
        <v>0</v>
      </c>
      <c r="J229" s="3">
        <f t="shared" si="184"/>
        <v>0</v>
      </c>
      <c r="K229" s="3">
        <f t="shared" si="184"/>
        <v>0</v>
      </c>
      <c r="L229" s="3">
        <f t="shared" si="184"/>
        <v>0</v>
      </c>
      <c r="M229" s="3">
        <f t="shared" si="184"/>
        <v>0</v>
      </c>
      <c r="N229" s="3">
        <f t="shared" si="184"/>
        <v>0</v>
      </c>
      <c r="O229" s="3">
        <f t="shared" si="184"/>
        <v>0</v>
      </c>
      <c r="P229" s="3">
        <f t="shared" si="184"/>
        <v>0</v>
      </c>
      <c r="Q229" s="3">
        <f t="shared" si="184"/>
        <v>0</v>
      </c>
      <c r="R229" s="3">
        <f t="shared" si="184"/>
        <v>0</v>
      </c>
      <c r="S229" s="3">
        <f t="shared" si="184"/>
        <v>0</v>
      </c>
      <c r="T229" s="3">
        <f t="shared" si="184"/>
        <v>0</v>
      </c>
      <c r="U229" s="3">
        <f t="shared" si="184"/>
        <v>0</v>
      </c>
      <c r="V229" s="3">
        <f t="shared" si="184"/>
        <v>0</v>
      </c>
      <c r="W229" s="3">
        <f t="shared" si="184"/>
        <v>0</v>
      </c>
      <c r="X229" s="3">
        <f t="shared" si="182"/>
        <v>0</v>
      </c>
      <c r="Y229" s="3">
        <f t="shared" si="182"/>
        <v>0</v>
      </c>
      <c r="Z229" s="3">
        <f t="shared" si="182"/>
        <v>0</v>
      </c>
      <c r="AA229" s="3">
        <f t="shared" si="182"/>
        <v>0</v>
      </c>
      <c r="AB229" s="3">
        <f t="shared" si="182"/>
        <v>0</v>
      </c>
      <c r="AC229" s="3">
        <f t="shared" si="182"/>
        <v>0</v>
      </c>
      <c r="AD229" s="3">
        <f t="shared" si="182"/>
        <v>0</v>
      </c>
      <c r="AE229" s="3">
        <f t="shared" si="182"/>
        <v>0</v>
      </c>
      <c r="AF229" s="3">
        <f t="shared" si="182"/>
        <v>0</v>
      </c>
      <c r="AG229" s="3">
        <f t="shared" si="182"/>
        <v>0</v>
      </c>
      <c r="AH229" s="3">
        <f t="shared" si="182"/>
        <v>0</v>
      </c>
      <c r="AI229" s="3">
        <f t="shared" si="182"/>
        <v>0</v>
      </c>
      <c r="AJ229" s="3">
        <f t="shared" si="182"/>
        <v>0</v>
      </c>
      <c r="AK229" s="3">
        <f t="shared" si="182"/>
        <v>0</v>
      </c>
      <c r="AL229" s="3">
        <f t="shared" si="182"/>
        <v>0</v>
      </c>
      <c r="AM229" s="3">
        <f t="shared" si="183"/>
        <v>0</v>
      </c>
      <c r="AN229" s="3">
        <f t="shared" si="183"/>
        <v>0</v>
      </c>
      <c r="AO229" s="3">
        <f t="shared" si="183"/>
        <v>0</v>
      </c>
      <c r="AP229" s="3">
        <f t="shared" si="183"/>
        <v>0</v>
      </c>
      <c r="AQ229" s="3">
        <f t="shared" si="183"/>
        <v>0</v>
      </c>
      <c r="AR229" s="3">
        <f t="shared" si="183"/>
        <v>0</v>
      </c>
      <c r="AS229" s="3">
        <f t="shared" si="183"/>
        <v>0</v>
      </c>
      <c r="AT229" s="3">
        <f t="shared" si="183"/>
        <v>0</v>
      </c>
      <c r="AU229" s="3">
        <f t="shared" si="183"/>
        <v>0</v>
      </c>
      <c r="AV229" s="3">
        <f t="shared" si="183"/>
        <v>0</v>
      </c>
      <c r="AW229" s="3">
        <f t="shared" si="183"/>
        <v>0</v>
      </c>
      <c r="AX229" s="3">
        <f t="shared" si="183"/>
        <v>0</v>
      </c>
      <c r="AY229" s="3">
        <f t="shared" si="183"/>
        <v>0</v>
      </c>
      <c r="AZ229" s="3">
        <f t="shared" si="183"/>
        <v>0</v>
      </c>
      <c r="BA229" s="3">
        <f t="shared" si="183"/>
        <v>0</v>
      </c>
      <c r="BB229" s="3">
        <f t="shared" si="183"/>
        <v>0</v>
      </c>
      <c r="BC229" s="3">
        <f t="shared" si="181"/>
        <v>0</v>
      </c>
      <c r="BD229" s="3">
        <f t="shared" si="181"/>
        <v>0</v>
      </c>
      <c r="BE229" s="3">
        <f t="shared" si="181"/>
        <v>0</v>
      </c>
      <c r="BF229" s="3">
        <f t="shared" si="181"/>
        <v>0</v>
      </c>
      <c r="BG229" s="3">
        <f t="shared" si="181"/>
        <v>0</v>
      </c>
      <c r="BH229" s="3">
        <f t="shared" si="181"/>
        <v>0</v>
      </c>
      <c r="BI229" s="3">
        <f t="shared" si="181"/>
        <v>0</v>
      </c>
      <c r="BJ229" s="3">
        <f t="shared" si="181"/>
        <v>0</v>
      </c>
      <c r="BK229" s="3">
        <f t="shared" si="181"/>
        <v>0</v>
      </c>
      <c r="BL229" s="3">
        <f t="shared" si="181"/>
        <v>0</v>
      </c>
      <c r="BM229" s="3">
        <f t="shared" si="181"/>
        <v>1</v>
      </c>
      <c r="BN229" s="3">
        <f t="shared" si="181"/>
        <v>0</v>
      </c>
      <c r="BO229" s="3">
        <f t="shared" si="181"/>
        <v>0</v>
      </c>
      <c r="BP229" s="3">
        <f t="shared" si="181"/>
        <v>0</v>
      </c>
      <c r="BQ229" s="3">
        <f t="shared" si="181"/>
        <v>0</v>
      </c>
      <c r="BR229" s="3">
        <f t="shared" si="176"/>
        <v>0</v>
      </c>
    </row>
    <row r="230" spans="1:70" outlineLevel="1" x14ac:dyDescent="0.3">
      <c r="A230" s="7">
        <v>61</v>
      </c>
      <c r="B230" s="150" t="s">
        <v>166</v>
      </c>
      <c r="C230" s="150"/>
      <c r="D230" s="150"/>
      <c r="E230" s="150"/>
      <c r="F230" s="3">
        <v>0</v>
      </c>
      <c r="G230" s="3">
        <f t="shared" si="185"/>
        <v>0</v>
      </c>
      <c r="H230" s="3">
        <f t="shared" si="184"/>
        <v>0</v>
      </c>
      <c r="I230" s="3">
        <f t="shared" si="184"/>
        <v>0</v>
      </c>
      <c r="J230" s="3">
        <f t="shared" si="184"/>
        <v>0</v>
      </c>
      <c r="K230" s="3">
        <f t="shared" si="184"/>
        <v>0</v>
      </c>
      <c r="L230" s="3">
        <f t="shared" si="184"/>
        <v>0</v>
      </c>
      <c r="M230" s="3">
        <f t="shared" si="184"/>
        <v>0</v>
      </c>
      <c r="N230" s="3">
        <f t="shared" si="184"/>
        <v>0</v>
      </c>
      <c r="O230" s="3">
        <f t="shared" si="184"/>
        <v>0</v>
      </c>
      <c r="P230" s="3">
        <f t="shared" si="184"/>
        <v>0</v>
      </c>
      <c r="Q230" s="3">
        <f t="shared" si="184"/>
        <v>0</v>
      </c>
      <c r="R230" s="3">
        <f t="shared" si="184"/>
        <v>0</v>
      </c>
      <c r="S230" s="3">
        <f t="shared" si="184"/>
        <v>0</v>
      </c>
      <c r="T230" s="3">
        <f t="shared" si="184"/>
        <v>0</v>
      </c>
      <c r="U230" s="3">
        <f t="shared" si="184"/>
        <v>0</v>
      </c>
      <c r="V230" s="3">
        <f t="shared" si="184"/>
        <v>0</v>
      </c>
      <c r="W230" s="3">
        <f t="shared" si="184"/>
        <v>0</v>
      </c>
      <c r="X230" s="3">
        <f t="shared" si="182"/>
        <v>0</v>
      </c>
      <c r="Y230" s="3">
        <f t="shared" si="182"/>
        <v>0</v>
      </c>
      <c r="Z230" s="3">
        <f t="shared" si="182"/>
        <v>0</v>
      </c>
      <c r="AA230" s="3">
        <f t="shared" si="182"/>
        <v>0</v>
      </c>
      <c r="AB230" s="3">
        <f t="shared" si="182"/>
        <v>0</v>
      </c>
      <c r="AC230" s="3">
        <f t="shared" si="182"/>
        <v>0</v>
      </c>
      <c r="AD230" s="3">
        <f t="shared" si="182"/>
        <v>0</v>
      </c>
      <c r="AE230" s="3">
        <f t="shared" si="182"/>
        <v>0</v>
      </c>
      <c r="AF230" s="3">
        <f t="shared" si="182"/>
        <v>0</v>
      </c>
      <c r="AG230" s="3">
        <f t="shared" si="182"/>
        <v>0</v>
      </c>
      <c r="AH230" s="3">
        <f t="shared" si="182"/>
        <v>0</v>
      </c>
      <c r="AI230" s="3">
        <f t="shared" si="182"/>
        <v>0</v>
      </c>
      <c r="AJ230" s="3">
        <f t="shared" si="182"/>
        <v>0</v>
      </c>
      <c r="AK230" s="3">
        <f t="shared" si="182"/>
        <v>0</v>
      </c>
      <c r="AL230" s="3">
        <f t="shared" si="182"/>
        <v>0</v>
      </c>
      <c r="AM230" s="3">
        <f t="shared" si="183"/>
        <v>0</v>
      </c>
      <c r="AN230" s="3">
        <f t="shared" si="183"/>
        <v>0</v>
      </c>
      <c r="AO230" s="3">
        <f t="shared" si="183"/>
        <v>0</v>
      </c>
      <c r="AP230" s="3">
        <f t="shared" si="183"/>
        <v>0</v>
      </c>
      <c r="AQ230" s="3">
        <f t="shared" si="183"/>
        <v>0</v>
      </c>
      <c r="AR230" s="3">
        <f t="shared" si="183"/>
        <v>0</v>
      </c>
      <c r="AS230" s="3">
        <f t="shared" si="183"/>
        <v>0</v>
      </c>
      <c r="AT230" s="3">
        <f t="shared" si="183"/>
        <v>0</v>
      </c>
      <c r="AU230" s="3">
        <f t="shared" si="183"/>
        <v>0</v>
      </c>
      <c r="AV230" s="3">
        <f t="shared" si="183"/>
        <v>0</v>
      </c>
      <c r="AW230" s="3">
        <f t="shared" si="183"/>
        <v>0</v>
      </c>
      <c r="AX230" s="3">
        <f t="shared" si="183"/>
        <v>0</v>
      </c>
      <c r="AY230" s="3">
        <f t="shared" si="183"/>
        <v>0</v>
      </c>
      <c r="AZ230" s="3">
        <f t="shared" si="183"/>
        <v>0</v>
      </c>
      <c r="BA230" s="3">
        <f t="shared" si="183"/>
        <v>0</v>
      </c>
      <c r="BB230" s="3">
        <f t="shared" si="183"/>
        <v>0</v>
      </c>
      <c r="BC230" s="3">
        <f t="shared" si="181"/>
        <v>0</v>
      </c>
      <c r="BD230" s="3">
        <f t="shared" si="181"/>
        <v>0</v>
      </c>
      <c r="BE230" s="3">
        <f t="shared" si="181"/>
        <v>0</v>
      </c>
      <c r="BF230" s="3">
        <f t="shared" si="181"/>
        <v>0</v>
      </c>
      <c r="BG230" s="3">
        <f t="shared" si="181"/>
        <v>0</v>
      </c>
      <c r="BH230" s="3">
        <f t="shared" si="181"/>
        <v>0</v>
      </c>
      <c r="BI230" s="3">
        <f t="shared" si="181"/>
        <v>0</v>
      </c>
      <c r="BJ230" s="3">
        <f t="shared" si="181"/>
        <v>0</v>
      </c>
      <c r="BK230" s="3">
        <f t="shared" si="181"/>
        <v>0</v>
      </c>
      <c r="BL230" s="3">
        <f t="shared" si="181"/>
        <v>0</v>
      </c>
      <c r="BM230" s="3">
        <f t="shared" si="181"/>
        <v>0</v>
      </c>
      <c r="BN230" s="3">
        <f t="shared" si="181"/>
        <v>1</v>
      </c>
      <c r="BO230" s="3">
        <f t="shared" si="181"/>
        <v>0</v>
      </c>
      <c r="BP230" s="3">
        <f t="shared" si="181"/>
        <v>0</v>
      </c>
      <c r="BQ230" s="3">
        <f t="shared" si="181"/>
        <v>0</v>
      </c>
      <c r="BR230" s="3">
        <f t="shared" si="176"/>
        <v>0</v>
      </c>
    </row>
    <row r="231" spans="1:70" outlineLevel="1" x14ac:dyDescent="0.3">
      <c r="A231" s="7">
        <v>62</v>
      </c>
      <c r="B231" s="150" t="s">
        <v>167</v>
      </c>
      <c r="C231" s="150"/>
      <c r="D231" s="150"/>
      <c r="E231" s="150"/>
      <c r="F231" s="3">
        <v>0</v>
      </c>
      <c r="G231" s="3">
        <f t="shared" si="185"/>
        <v>0</v>
      </c>
      <c r="H231" s="3">
        <f t="shared" si="184"/>
        <v>0</v>
      </c>
      <c r="I231" s="3">
        <f t="shared" si="184"/>
        <v>0</v>
      </c>
      <c r="J231" s="3">
        <f t="shared" si="184"/>
        <v>0</v>
      </c>
      <c r="K231" s="3">
        <f t="shared" si="184"/>
        <v>0</v>
      </c>
      <c r="L231" s="3">
        <f t="shared" si="184"/>
        <v>0</v>
      </c>
      <c r="M231" s="3">
        <f t="shared" si="184"/>
        <v>0</v>
      </c>
      <c r="N231" s="3">
        <f t="shared" si="184"/>
        <v>0</v>
      </c>
      <c r="O231" s="3">
        <f t="shared" si="184"/>
        <v>0</v>
      </c>
      <c r="P231" s="3">
        <f t="shared" si="184"/>
        <v>0</v>
      </c>
      <c r="Q231" s="3">
        <f t="shared" si="184"/>
        <v>0</v>
      </c>
      <c r="R231" s="3">
        <f t="shared" si="184"/>
        <v>0</v>
      </c>
      <c r="S231" s="3">
        <f t="shared" si="184"/>
        <v>0</v>
      </c>
      <c r="T231" s="3">
        <f t="shared" si="184"/>
        <v>0</v>
      </c>
      <c r="U231" s="3">
        <f t="shared" si="184"/>
        <v>0</v>
      </c>
      <c r="V231" s="3">
        <f t="shared" si="184"/>
        <v>0</v>
      </c>
      <c r="W231" s="3">
        <f t="shared" si="184"/>
        <v>0</v>
      </c>
      <c r="X231" s="3">
        <f t="shared" si="182"/>
        <v>0</v>
      </c>
      <c r="Y231" s="3">
        <f t="shared" si="182"/>
        <v>0</v>
      </c>
      <c r="Z231" s="3">
        <f t="shared" si="182"/>
        <v>0</v>
      </c>
      <c r="AA231" s="3">
        <f t="shared" si="182"/>
        <v>0</v>
      </c>
      <c r="AB231" s="3">
        <f t="shared" si="182"/>
        <v>0</v>
      </c>
      <c r="AC231" s="3">
        <f t="shared" si="182"/>
        <v>0</v>
      </c>
      <c r="AD231" s="3">
        <f t="shared" si="182"/>
        <v>0</v>
      </c>
      <c r="AE231" s="3">
        <f t="shared" si="182"/>
        <v>0</v>
      </c>
      <c r="AF231" s="3">
        <f t="shared" si="182"/>
        <v>0</v>
      </c>
      <c r="AG231" s="3">
        <f t="shared" si="182"/>
        <v>0</v>
      </c>
      <c r="AH231" s="3">
        <f t="shared" si="182"/>
        <v>0</v>
      </c>
      <c r="AI231" s="3">
        <f t="shared" si="182"/>
        <v>0</v>
      </c>
      <c r="AJ231" s="3">
        <f t="shared" si="182"/>
        <v>0</v>
      </c>
      <c r="AK231" s="3">
        <f t="shared" si="182"/>
        <v>0</v>
      </c>
      <c r="AL231" s="3">
        <f t="shared" si="182"/>
        <v>0</v>
      </c>
      <c r="AM231" s="3">
        <f t="shared" si="183"/>
        <v>0</v>
      </c>
      <c r="AN231" s="3">
        <f t="shared" si="183"/>
        <v>0</v>
      </c>
      <c r="AO231" s="3">
        <f t="shared" si="183"/>
        <v>0</v>
      </c>
      <c r="AP231" s="3">
        <f t="shared" si="183"/>
        <v>0</v>
      </c>
      <c r="AQ231" s="3">
        <f t="shared" si="183"/>
        <v>0</v>
      </c>
      <c r="AR231" s="3">
        <f t="shared" si="183"/>
        <v>0</v>
      </c>
      <c r="AS231" s="3">
        <f t="shared" si="183"/>
        <v>0</v>
      </c>
      <c r="AT231" s="3">
        <f t="shared" si="183"/>
        <v>0</v>
      </c>
      <c r="AU231" s="3">
        <f t="shared" si="183"/>
        <v>0</v>
      </c>
      <c r="AV231" s="3">
        <f t="shared" si="183"/>
        <v>0</v>
      </c>
      <c r="AW231" s="3">
        <f t="shared" si="183"/>
        <v>0</v>
      </c>
      <c r="AX231" s="3">
        <f t="shared" si="183"/>
        <v>0</v>
      </c>
      <c r="AY231" s="3">
        <f t="shared" si="183"/>
        <v>0</v>
      </c>
      <c r="AZ231" s="3">
        <f t="shared" si="183"/>
        <v>0</v>
      </c>
      <c r="BA231" s="3">
        <f t="shared" si="183"/>
        <v>0</v>
      </c>
      <c r="BB231" s="3">
        <f t="shared" si="183"/>
        <v>0</v>
      </c>
      <c r="BC231" s="3">
        <f t="shared" si="181"/>
        <v>0</v>
      </c>
      <c r="BD231" s="3">
        <f t="shared" si="181"/>
        <v>0</v>
      </c>
      <c r="BE231" s="3">
        <f t="shared" si="181"/>
        <v>0</v>
      </c>
      <c r="BF231" s="3">
        <f t="shared" si="181"/>
        <v>0</v>
      </c>
      <c r="BG231" s="3">
        <f t="shared" si="181"/>
        <v>0</v>
      </c>
      <c r="BH231" s="3">
        <f t="shared" si="181"/>
        <v>0</v>
      </c>
      <c r="BI231" s="3">
        <f t="shared" si="181"/>
        <v>0</v>
      </c>
      <c r="BJ231" s="3">
        <f t="shared" si="181"/>
        <v>0</v>
      </c>
      <c r="BK231" s="3">
        <f t="shared" si="181"/>
        <v>0</v>
      </c>
      <c r="BL231" s="3">
        <f t="shared" si="181"/>
        <v>0</v>
      </c>
      <c r="BM231" s="3">
        <f t="shared" si="181"/>
        <v>0</v>
      </c>
      <c r="BN231" s="3">
        <f t="shared" si="181"/>
        <v>0</v>
      </c>
      <c r="BO231" s="3">
        <f t="shared" si="181"/>
        <v>1</v>
      </c>
      <c r="BP231" s="3">
        <f t="shared" si="181"/>
        <v>0</v>
      </c>
      <c r="BQ231" s="3">
        <f t="shared" si="181"/>
        <v>0</v>
      </c>
      <c r="BR231" s="3">
        <f t="shared" si="176"/>
        <v>0</v>
      </c>
    </row>
    <row r="232" spans="1:70" outlineLevel="1" x14ac:dyDescent="0.3">
      <c r="A232" s="7">
        <v>63</v>
      </c>
      <c r="B232" s="150" t="s">
        <v>168</v>
      </c>
      <c r="C232" s="150"/>
      <c r="D232" s="150"/>
      <c r="E232" s="150"/>
      <c r="F232" s="3">
        <v>0</v>
      </c>
      <c r="G232" s="3">
        <f t="shared" si="185"/>
        <v>0</v>
      </c>
      <c r="H232" s="3">
        <f t="shared" si="184"/>
        <v>0</v>
      </c>
      <c r="I232" s="3">
        <f t="shared" si="184"/>
        <v>0</v>
      </c>
      <c r="J232" s="3">
        <f t="shared" si="184"/>
        <v>0</v>
      </c>
      <c r="K232" s="3">
        <f t="shared" si="184"/>
        <v>0</v>
      </c>
      <c r="L232" s="3">
        <f t="shared" si="184"/>
        <v>0</v>
      </c>
      <c r="M232" s="3">
        <f t="shared" si="184"/>
        <v>0</v>
      </c>
      <c r="N232" s="3">
        <f t="shared" si="184"/>
        <v>0</v>
      </c>
      <c r="O232" s="3">
        <f t="shared" si="184"/>
        <v>0</v>
      </c>
      <c r="P232" s="3">
        <f t="shared" si="184"/>
        <v>0</v>
      </c>
      <c r="Q232" s="3">
        <f t="shared" si="184"/>
        <v>0</v>
      </c>
      <c r="R232" s="3">
        <f t="shared" si="184"/>
        <v>0</v>
      </c>
      <c r="S232" s="3">
        <f t="shared" si="184"/>
        <v>0</v>
      </c>
      <c r="T232" s="3">
        <f t="shared" si="184"/>
        <v>0</v>
      </c>
      <c r="U232" s="3">
        <f t="shared" si="184"/>
        <v>0</v>
      </c>
      <c r="V232" s="3">
        <f t="shared" si="184"/>
        <v>0</v>
      </c>
      <c r="W232" s="3">
        <f t="shared" si="184"/>
        <v>0</v>
      </c>
      <c r="X232" s="3">
        <f t="shared" si="182"/>
        <v>0</v>
      </c>
      <c r="Y232" s="3">
        <f t="shared" si="182"/>
        <v>0</v>
      </c>
      <c r="Z232" s="3">
        <f t="shared" si="182"/>
        <v>0</v>
      </c>
      <c r="AA232" s="3">
        <f t="shared" si="182"/>
        <v>0</v>
      </c>
      <c r="AB232" s="3">
        <f t="shared" si="182"/>
        <v>0</v>
      </c>
      <c r="AC232" s="3">
        <f t="shared" si="182"/>
        <v>0</v>
      </c>
      <c r="AD232" s="3">
        <f t="shared" si="182"/>
        <v>0</v>
      </c>
      <c r="AE232" s="3">
        <f t="shared" si="182"/>
        <v>0</v>
      </c>
      <c r="AF232" s="3">
        <f t="shared" si="182"/>
        <v>0</v>
      </c>
      <c r="AG232" s="3">
        <f t="shared" si="182"/>
        <v>0</v>
      </c>
      <c r="AH232" s="3">
        <f t="shared" si="182"/>
        <v>0</v>
      </c>
      <c r="AI232" s="3">
        <f t="shared" si="182"/>
        <v>0</v>
      </c>
      <c r="AJ232" s="3">
        <f t="shared" si="182"/>
        <v>0</v>
      </c>
      <c r="AK232" s="3">
        <f t="shared" si="182"/>
        <v>0</v>
      </c>
      <c r="AL232" s="3">
        <f t="shared" si="182"/>
        <v>0</v>
      </c>
      <c r="AM232" s="3">
        <f t="shared" si="183"/>
        <v>0</v>
      </c>
      <c r="AN232" s="3">
        <f t="shared" si="183"/>
        <v>0</v>
      </c>
      <c r="AO232" s="3">
        <f t="shared" si="183"/>
        <v>0</v>
      </c>
      <c r="AP232" s="3">
        <f t="shared" si="183"/>
        <v>0</v>
      </c>
      <c r="AQ232" s="3">
        <f t="shared" si="183"/>
        <v>0</v>
      </c>
      <c r="AR232" s="3">
        <f t="shared" si="183"/>
        <v>0</v>
      </c>
      <c r="AS232" s="3">
        <f t="shared" si="183"/>
        <v>0</v>
      </c>
      <c r="AT232" s="3">
        <f t="shared" si="183"/>
        <v>0</v>
      </c>
      <c r="AU232" s="3">
        <f t="shared" si="183"/>
        <v>0</v>
      </c>
      <c r="AV232" s="3">
        <f t="shared" si="183"/>
        <v>0</v>
      </c>
      <c r="AW232" s="3">
        <f t="shared" si="183"/>
        <v>0</v>
      </c>
      <c r="AX232" s="3">
        <f t="shared" si="183"/>
        <v>0</v>
      </c>
      <c r="AY232" s="3">
        <f t="shared" si="183"/>
        <v>0</v>
      </c>
      <c r="AZ232" s="3">
        <f t="shared" si="183"/>
        <v>0</v>
      </c>
      <c r="BA232" s="3">
        <f t="shared" si="183"/>
        <v>0</v>
      </c>
      <c r="BB232" s="3">
        <f t="shared" si="183"/>
        <v>0</v>
      </c>
      <c r="BC232" s="3">
        <f t="shared" si="181"/>
        <v>0</v>
      </c>
      <c r="BD232" s="3">
        <f t="shared" si="181"/>
        <v>0</v>
      </c>
      <c r="BE232" s="3">
        <f t="shared" si="181"/>
        <v>0</v>
      </c>
      <c r="BF232" s="3">
        <f t="shared" si="181"/>
        <v>0</v>
      </c>
      <c r="BG232" s="3">
        <f t="shared" si="181"/>
        <v>0</v>
      </c>
      <c r="BH232" s="3">
        <f t="shared" si="181"/>
        <v>0</v>
      </c>
      <c r="BI232" s="3">
        <f t="shared" si="181"/>
        <v>0</v>
      </c>
      <c r="BJ232" s="3">
        <f t="shared" si="181"/>
        <v>0</v>
      </c>
      <c r="BK232" s="3">
        <f t="shared" si="181"/>
        <v>0</v>
      </c>
      <c r="BL232" s="3">
        <f t="shared" si="181"/>
        <v>0</v>
      </c>
      <c r="BM232" s="3">
        <f t="shared" si="181"/>
        <v>0</v>
      </c>
      <c r="BN232" s="3">
        <f t="shared" si="181"/>
        <v>0</v>
      </c>
      <c r="BO232" s="3">
        <f t="shared" si="181"/>
        <v>0</v>
      </c>
      <c r="BP232" s="3">
        <f t="shared" si="181"/>
        <v>1</v>
      </c>
      <c r="BQ232" s="3">
        <f t="shared" si="181"/>
        <v>0</v>
      </c>
      <c r="BR232" s="3">
        <f t="shared" si="176"/>
        <v>0</v>
      </c>
    </row>
    <row r="233" spans="1:70" outlineLevel="1" x14ac:dyDescent="0.3">
      <c r="A233" s="7">
        <v>64</v>
      </c>
      <c r="B233" s="150" t="s">
        <v>169</v>
      </c>
      <c r="C233" s="150"/>
      <c r="D233" s="150"/>
      <c r="E233" s="150"/>
      <c r="F233" s="3">
        <v>0</v>
      </c>
      <c r="G233" s="3">
        <f t="shared" si="185"/>
        <v>0</v>
      </c>
      <c r="H233" s="3">
        <f t="shared" si="184"/>
        <v>0</v>
      </c>
      <c r="I233" s="3">
        <f t="shared" si="184"/>
        <v>0</v>
      </c>
      <c r="J233" s="3">
        <f t="shared" si="184"/>
        <v>0</v>
      </c>
      <c r="K233" s="3">
        <f t="shared" si="184"/>
        <v>0</v>
      </c>
      <c r="L233" s="3">
        <f t="shared" si="184"/>
        <v>0</v>
      </c>
      <c r="M233" s="3">
        <f t="shared" si="184"/>
        <v>0</v>
      </c>
      <c r="N233" s="3">
        <f t="shared" si="184"/>
        <v>0</v>
      </c>
      <c r="O233" s="3">
        <f t="shared" si="184"/>
        <v>0</v>
      </c>
      <c r="P233" s="3">
        <f t="shared" si="184"/>
        <v>0</v>
      </c>
      <c r="Q233" s="3">
        <f t="shared" si="184"/>
        <v>0</v>
      </c>
      <c r="R233" s="3">
        <f t="shared" si="184"/>
        <v>0</v>
      </c>
      <c r="S233" s="3">
        <f t="shared" si="184"/>
        <v>0</v>
      </c>
      <c r="T233" s="3">
        <f t="shared" si="184"/>
        <v>0</v>
      </c>
      <c r="U233" s="3">
        <f t="shared" si="184"/>
        <v>0</v>
      </c>
      <c r="V233" s="3">
        <f t="shared" si="184"/>
        <v>0</v>
      </c>
      <c r="W233" s="3">
        <f t="shared" si="184"/>
        <v>0</v>
      </c>
      <c r="X233" s="3">
        <f t="shared" si="182"/>
        <v>0</v>
      </c>
      <c r="Y233" s="3">
        <f t="shared" si="182"/>
        <v>0</v>
      </c>
      <c r="Z233" s="3">
        <f t="shared" si="182"/>
        <v>0</v>
      </c>
      <c r="AA233" s="3">
        <f t="shared" si="182"/>
        <v>0</v>
      </c>
      <c r="AB233" s="3">
        <f t="shared" si="182"/>
        <v>0</v>
      </c>
      <c r="AC233" s="3">
        <f t="shared" si="182"/>
        <v>0</v>
      </c>
      <c r="AD233" s="3">
        <f t="shared" si="182"/>
        <v>0</v>
      </c>
      <c r="AE233" s="3">
        <f t="shared" si="182"/>
        <v>0</v>
      </c>
      <c r="AF233" s="3">
        <f t="shared" si="182"/>
        <v>0</v>
      </c>
      <c r="AG233" s="3">
        <f t="shared" si="182"/>
        <v>0</v>
      </c>
      <c r="AH233" s="3">
        <f t="shared" si="182"/>
        <v>0</v>
      </c>
      <c r="AI233" s="3">
        <f t="shared" si="182"/>
        <v>0</v>
      </c>
      <c r="AJ233" s="3">
        <f t="shared" si="182"/>
        <v>0</v>
      </c>
      <c r="AK233" s="3">
        <f t="shared" si="182"/>
        <v>0</v>
      </c>
      <c r="AL233" s="3">
        <f t="shared" si="182"/>
        <v>0</v>
      </c>
      <c r="AM233" s="3">
        <f t="shared" si="183"/>
        <v>0</v>
      </c>
      <c r="AN233" s="3">
        <f t="shared" si="183"/>
        <v>0</v>
      </c>
      <c r="AO233" s="3">
        <f t="shared" si="183"/>
        <v>0</v>
      </c>
      <c r="AP233" s="3">
        <f t="shared" si="183"/>
        <v>0</v>
      </c>
      <c r="AQ233" s="3">
        <f t="shared" si="183"/>
        <v>0</v>
      </c>
      <c r="AR233" s="3">
        <f t="shared" si="183"/>
        <v>0</v>
      </c>
      <c r="AS233" s="3">
        <f t="shared" si="183"/>
        <v>0</v>
      </c>
      <c r="AT233" s="3">
        <f t="shared" si="183"/>
        <v>0</v>
      </c>
      <c r="AU233" s="3">
        <f t="shared" si="183"/>
        <v>0</v>
      </c>
      <c r="AV233" s="3">
        <f t="shared" si="183"/>
        <v>0</v>
      </c>
      <c r="AW233" s="3">
        <f t="shared" si="183"/>
        <v>0</v>
      </c>
      <c r="AX233" s="3">
        <f t="shared" si="183"/>
        <v>0</v>
      </c>
      <c r="AY233" s="3">
        <f t="shared" si="183"/>
        <v>0</v>
      </c>
      <c r="AZ233" s="3">
        <f t="shared" si="183"/>
        <v>0</v>
      </c>
      <c r="BA233" s="3">
        <f t="shared" si="183"/>
        <v>0</v>
      </c>
      <c r="BB233" s="3">
        <f t="shared" si="183"/>
        <v>0</v>
      </c>
      <c r="BC233" s="3">
        <f t="shared" si="181"/>
        <v>0</v>
      </c>
      <c r="BD233" s="3">
        <f t="shared" si="181"/>
        <v>0</v>
      </c>
      <c r="BE233" s="3">
        <f t="shared" si="181"/>
        <v>0</v>
      </c>
      <c r="BF233" s="3">
        <f t="shared" si="181"/>
        <v>0</v>
      </c>
      <c r="BG233" s="3">
        <f t="shared" si="181"/>
        <v>0</v>
      </c>
      <c r="BH233" s="3">
        <f t="shared" si="181"/>
        <v>0</v>
      </c>
      <c r="BI233" s="3">
        <f t="shared" si="181"/>
        <v>0</v>
      </c>
      <c r="BJ233" s="3">
        <f t="shared" si="181"/>
        <v>0</v>
      </c>
      <c r="BK233" s="3">
        <f t="shared" si="181"/>
        <v>0</v>
      </c>
      <c r="BL233" s="3">
        <f t="shared" si="181"/>
        <v>0</v>
      </c>
      <c r="BM233" s="3">
        <f t="shared" si="181"/>
        <v>0</v>
      </c>
      <c r="BN233" s="3">
        <f t="shared" si="181"/>
        <v>0</v>
      </c>
      <c r="BO233" s="3">
        <f t="shared" si="181"/>
        <v>0</v>
      </c>
      <c r="BP233" s="3">
        <f t="shared" si="181"/>
        <v>0</v>
      </c>
      <c r="BQ233" s="3">
        <f t="shared" si="181"/>
        <v>1</v>
      </c>
      <c r="BR233" s="3">
        <f t="shared" si="176"/>
        <v>0</v>
      </c>
    </row>
    <row r="234" spans="1:70" outlineLevel="1" x14ac:dyDescent="0.3">
      <c r="A234" s="7">
        <v>65</v>
      </c>
      <c r="B234" s="150" t="s">
        <v>170</v>
      </c>
      <c r="C234" s="150"/>
      <c r="D234" s="150"/>
      <c r="E234" s="150"/>
      <c r="F234" s="3">
        <v>0</v>
      </c>
      <c r="G234" s="3">
        <f t="shared" si="185"/>
        <v>0</v>
      </c>
      <c r="H234" s="3">
        <f t="shared" si="184"/>
        <v>0</v>
      </c>
      <c r="I234" s="3">
        <f t="shared" si="184"/>
        <v>0</v>
      </c>
      <c r="J234" s="3">
        <f t="shared" si="184"/>
        <v>0</v>
      </c>
      <c r="K234" s="3">
        <f t="shared" si="184"/>
        <v>0</v>
      </c>
      <c r="L234" s="3">
        <f t="shared" si="184"/>
        <v>0</v>
      </c>
      <c r="M234" s="3">
        <f t="shared" si="184"/>
        <v>0</v>
      </c>
      <c r="N234" s="3">
        <f t="shared" si="184"/>
        <v>0</v>
      </c>
      <c r="O234" s="3">
        <f t="shared" si="184"/>
        <v>0</v>
      </c>
      <c r="P234" s="3">
        <f t="shared" si="184"/>
        <v>0</v>
      </c>
      <c r="Q234" s="3">
        <f t="shared" si="184"/>
        <v>0</v>
      </c>
      <c r="R234" s="3">
        <f t="shared" si="184"/>
        <v>0</v>
      </c>
      <c r="S234" s="3">
        <f t="shared" si="184"/>
        <v>0</v>
      </c>
      <c r="T234" s="3">
        <f t="shared" si="184"/>
        <v>0</v>
      </c>
      <c r="U234" s="3">
        <f t="shared" si="184"/>
        <v>0</v>
      </c>
      <c r="V234" s="3">
        <f t="shared" si="184"/>
        <v>0</v>
      </c>
      <c r="W234" s="3">
        <f t="shared" si="184"/>
        <v>0</v>
      </c>
      <c r="X234" s="3">
        <f t="shared" si="182"/>
        <v>0</v>
      </c>
      <c r="Y234" s="3">
        <f t="shared" si="182"/>
        <v>0</v>
      </c>
      <c r="Z234" s="3">
        <f t="shared" si="182"/>
        <v>0</v>
      </c>
      <c r="AA234" s="3">
        <f t="shared" si="182"/>
        <v>0</v>
      </c>
      <c r="AB234" s="3">
        <f t="shared" si="182"/>
        <v>0</v>
      </c>
      <c r="AC234" s="3">
        <f t="shared" si="182"/>
        <v>0</v>
      </c>
      <c r="AD234" s="3">
        <f t="shared" si="182"/>
        <v>0</v>
      </c>
      <c r="AE234" s="3">
        <f t="shared" si="182"/>
        <v>0</v>
      </c>
      <c r="AF234" s="3">
        <f t="shared" si="182"/>
        <v>0</v>
      </c>
      <c r="AG234" s="3">
        <f t="shared" si="182"/>
        <v>0</v>
      </c>
      <c r="AH234" s="3">
        <f t="shared" si="182"/>
        <v>0</v>
      </c>
      <c r="AI234" s="3">
        <f t="shared" si="182"/>
        <v>0</v>
      </c>
      <c r="AJ234" s="3">
        <f t="shared" si="182"/>
        <v>0</v>
      </c>
      <c r="AK234" s="3">
        <f t="shared" si="182"/>
        <v>0</v>
      </c>
      <c r="AL234" s="3">
        <f t="shared" si="182"/>
        <v>0</v>
      </c>
      <c r="AM234" s="3">
        <f t="shared" si="183"/>
        <v>0</v>
      </c>
      <c r="AN234" s="3">
        <f t="shared" si="183"/>
        <v>0</v>
      </c>
      <c r="AO234" s="3">
        <f t="shared" si="183"/>
        <v>0</v>
      </c>
      <c r="AP234" s="3">
        <f t="shared" si="183"/>
        <v>0</v>
      </c>
      <c r="AQ234" s="3">
        <f t="shared" si="183"/>
        <v>0</v>
      </c>
      <c r="AR234" s="3">
        <f t="shared" si="183"/>
        <v>0</v>
      </c>
      <c r="AS234" s="3">
        <f t="shared" si="183"/>
        <v>0</v>
      </c>
      <c r="AT234" s="3">
        <f t="shared" si="183"/>
        <v>0</v>
      </c>
      <c r="AU234" s="3">
        <f t="shared" si="183"/>
        <v>0</v>
      </c>
      <c r="AV234" s="3">
        <f t="shared" si="183"/>
        <v>0</v>
      </c>
      <c r="AW234" s="3">
        <f t="shared" si="183"/>
        <v>0</v>
      </c>
      <c r="AX234" s="3">
        <f t="shared" si="183"/>
        <v>0</v>
      </c>
      <c r="AY234" s="3">
        <f t="shared" si="183"/>
        <v>0</v>
      </c>
      <c r="AZ234" s="3">
        <f t="shared" si="183"/>
        <v>0</v>
      </c>
      <c r="BA234" s="3">
        <f t="shared" si="183"/>
        <v>0</v>
      </c>
      <c r="BB234" s="3">
        <f t="shared" si="183"/>
        <v>0</v>
      </c>
      <c r="BC234" s="3">
        <f t="shared" si="181"/>
        <v>0</v>
      </c>
      <c r="BD234" s="3">
        <f t="shared" si="181"/>
        <v>0</v>
      </c>
      <c r="BE234" s="3">
        <f t="shared" si="181"/>
        <v>0</v>
      </c>
      <c r="BF234" s="3">
        <f t="shared" si="181"/>
        <v>0</v>
      </c>
      <c r="BG234" s="3">
        <f t="shared" si="181"/>
        <v>0</v>
      </c>
      <c r="BH234" s="3">
        <f t="shared" si="181"/>
        <v>0</v>
      </c>
      <c r="BI234" s="3">
        <f t="shared" si="181"/>
        <v>0</v>
      </c>
      <c r="BJ234" s="3">
        <f t="shared" si="181"/>
        <v>0</v>
      </c>
      <c r="BK234" s="3">
        <f t="shared" si="181"/>
        <v>0</v>
      </c>
      <c r="BL234" s="3">
        <f t="shared" si="181"/>
        <v>0</v>
      </c>
      <c r="BM234" s="3">
        <f t="shared" si="181"/>
        <v>0</v>
      </c>
      <c r="BN234" s="3">
        <f t="shared" si="181"/>
        <v>0</v>
      </c>
      <c r="BO234" s="3">
        <f t="shared" si="181"/>
        <v>0</v>
      </c>
      <c r="BP234" s="3">
        <f t="shared" si="181"/>
        <v>0</v>
      </c>
      <c r="BQ234" s="3">
        <f t="shared" si="181"/>
        <v>0</v>
      </c>
      <c r="BR234" s="3">
        <f t="shared" si="176"/>
        <v>1</v>
      </c>
    </row>
    <row r="235" spans="1:70" outlineLevel="1" x14ac:dyDescent="0.3">
      <c r="A235" s="7"/>
    </row>
    <row r="236" spans="1:70" ht="15.6" outlineLevel="1" x14ac:dyDescent="0.3">
      <c r="A236" s="77" t="s">
        <v>173</v>
      </c>
    </row>
    <row r="237" spans="1:70" outlineLevel="1" x14ac:dyDescent="0.3"/>
    <row r="238" spans="1:70" outlineLevel="1" x14ac:dyDescent="0.3">
      <c r="A238" s="7">
        <v>1</v>
      </c>
      <c r="B238" s="150" t="s">
        <v>115</v>
      </c>
      <c r="C238" s="150"/>
      <c r="D238" s="150"/>
      <c r="E238" s="150"/>
      <c r="F238" s="20">
        <f t="shared" ref="F238:AK238" si="186">F170-F89</f>
        <v>0.82807667609384306</v>
      </c>
      <c r="G238" s="20">
        <f t="shared" si="186"/>
        <v>-6.1893019482916548E-3</v>
      </c>
      <c r="H238" s="20">
        <f t="shared" si="186"/>
        <v>0</v>
      </c>
      <c r="I238" s="20">
        <f t="shared" si="186"/>
        <v>0</v>
      </c>
      <c r="J238" s="20">
        <f t="shared" si="186"/>
        <v>-0.1439079199904863</v>
      </c>
      <c r="K238" s="20">
        <f t="shared" si="186"/>
        <v>-1.5615527284981697E-2</v>
      </c>
      <c r="L238" s="20">
        <f t="shared" si="186"/>
        <v>0</v>
      </c>
      <c r="M238" s="20">
        <f t="shared" si="186"/>
        <v>0</v>
      </c>
      <c r="N238" s="20">
        <f t="shared" si="186"/>
        <v>0</v>
      </c>
      <c r="O238" s="20">
        <f t="shared" si="186"/>
        <v>0</v>
      </c>
      <c r="P238" s="20">
        <f t="shared" si="186"/>
        <v>-3.4852747658246991E-5</v>
      </c>
      <c r="Q238" s="20">
        <f t="shared" si="186"/>
        <v>0</v>
      </c>
      <c r="R238" s="20">
        <f t="shared" si="186"/>
        <v>-2.1661156024480084E-5</v>
      </c>
      <c r="S238" s="20">
        <f t="shared" si="186"/>
        <v>0</v>
      </c>
      <c r="T238" s="20">
        <f t="shared" si="186"/>
        <v>0</v>
      </c>
      <c r="U238" s="20">
        <f t="shared" si="186"/>
        <v>0</v>
      </c>
      <c r="V238" s="20">
        <f t="shared" si="186"/>
        <v>0</v>
      </c>
      <c r="W238" s="20">
        <f t="shared" si="186"/>
        <v>-1.245595721387658E-5</v>
      </c>
      <c r="X238" s="20">
        <f t="shared" si="186"/>
        <v>0</v>
      </c>
      <c r="Y238" s="20">
        <f t="shared" si="186"/>
        <v>0</v>
      </c>
      <c r="Z238" s="20">
        <f t="shared" si="186"/>
        <v>0</v>
      </c>
      <c r="AA238" s="20">
        <f t="shared" si="186"/>
        <v>0</v>
      </c>
      <c r="AB238" s="20">
        <f t="shared" si="186"/>
        <v>0</v>
      </c>
      <c r="AC238" s="20">
        <f t="shared" si="186"/>
        <v>0</v>
      </c>
      <c r="AD238" s="20">
        <f t="shared" si="186"/>
        <v>0</v>
      </c>
      <c r="AE238" s="20">
        <f t="shared" si="186"/>
        <v>0</v>
      </c>
      <c r="AF238" s="20">
        <f t="shared" si="186"/>
        <v>0</v>
      </c>
      <c r="AG238" s="20">
        <f t="shared" si="186"/>
        <v>0</v>
      </c>
      <c r="AH238" s="20">
        <f t="shared" si="186"/>
        <v>-1.4585390582417496E-4</v>
      </c>
      <c r="AI238" s="20">
        <f t="shared" si="186"/>
        <v>-7.3324909059228641E-5</v>
      </c>
      <c r="AJ238" s="20">
        <f t="shared" si="186"/>
        <v>0</v>
      </c>
      <c r="AK238" s="20">
        <f t="shared" si="186"/>
        <v>-5.527450179959024E-4</v>
      </c>
      <c r="AL238" s="20">
        <f t="shared" ref="AL238:BK238" si="187">AL170-AL89</f>
        <v>-3.9243768918949627E-5</v>
      </c>
      <c r="AM238" s="20">
        <f t="shared" si="187"/>
        <v>0</v>
      </c>
      <c r="AN238" s="20">
        <f t="shared" si="187"/>
        <v>0</v>
      </c>
      <c r="AO238" s="20">
        <f t="shared" si="187"/>
        <v>-7.4709991591905678E-5</v>
      </c>
      <c r="AP238" s="20">
        <f t="shared" si="187"/>
        <v>0</v>
      </c>
      <c r="AQ238" s="20">
        <f t="shared" si="187"/>
        <v>-2.2560782644372349E-2</v>
      </c>
      <c r="AR238" s="20">
        <f t="shared" si="187"/>
        <v>0</v>
      </c>
      <c r="AS238" s="20">
        <f t="shared" si="187"/>
        <v>-1.687389845778515E-4</v>
      </c>
      <c r="AT238" s="20">
        <f t="shared" si="187"/>
        <v>-5.5889312524592785E-6</v>
      </c>
      <c r="AU238" s="20">
        <f t="shared" si="187"/>
        <v>0</v>
      </c>
      <c r="AV238" s="20">
        <f t="shared" si="187"/>
        <v>-5.1123038790493771E-5</v>
      </c>
      <c r="AW238" s="20">
        <f t="shared" si="187"/>
        <v>-8.956768890064892E-5</v>
      </c>
      <c r="AX238" s="20">
        <f t="shared" si="187"/>
        <v>-1.1385750995377386E-4</v>
      </c>
      <c r="AY238" s="20">
        <f t="shared" si="187"/>
        <v>-3.1178931397118329E-4</v>
      </c>
      <c r="AZ238" s="20">
        <f t="shared" si="187"/>
        <v>-2.5603881457890069E-4</v>
      </c>
      <c r="BA238" s="20">
        <f t="shared" si="187"/>
        <v>-1.4346177944653112E-5</v>
      </c>
      <c r="BB238" s="20">
        <f t="shared" si="187"/>
        <v>-1.5501541496173549E-3</v>
      </c>
      <c r="BC238" s="20">
        <f t="shared" si="187"/>
        <v>-6.1211781644859029E-3</v>
      </c>
      <c r="BD238" s="20">
        <f t="shared" si="187"/>
        <v>-2.1602300101017952E-3</v>
      </c>
      <c r="BE238" s="20">
        <f t="shared" si="187"/>
        <v>-1.9470744426568223E-4</v>
      </c>
      <c r="BF238" s="20">
        <f t="shared" si="187"/>
        <v>0</v>
      </c>
      <c r="BG238" s="20">
        <f t="shared" si="187"/>
        <v>0</v>
      </c>
      <c r="BH238" s="20">
        <f t="shared" si="187"/>
        <v>-3.5390636000626995E-3</v>
      </c>
      <c r="BI238" s="20">
        <f t="shared" si="187"/>
        <v>-6.824946998921583E-4</v>
      </c>
      <c r="BJ238" s="20">
        <f t="shared" si="187"/>
        <v>-1.0983139938781975E-3</v>
      </c>
      <c r="BK238" s="20">
        <f t="shared" si="187"/>
        <v>-2.475162943274792E-4</v>
      </c>
      <c r="BL238" s="20">
        <f t="shared" ref="BL238:BR238" si="188">BL170-BL89</f>
        <v>-2.3027111051614696E-3</v>
      </c>
      <c r="BM238" s="20">
        <f t="shared" si="188"/>
        <v>-8.6230300241573691E-4</v>
      </c>
      <c r="BN238" s="20">
        <f t="shared" si="188"/>
        <v>-1.880229942101885E-3</v>
      </c>
      <c r="BO238" s="20">
        <f t="shared" si="188"/>
        <v>0</v>
      </c>
      <c r="BP238" s="20">
        <f t="shared" si="188"/>
        <v>0</v>
      </c>
      <c r="BQ238" s="20">
        <f t="shared" si="188"/>
        <v>-1.327699933766222E-3</v>
      </c>
      <c r="BR238" s="20">
        <f t="shared" si="188"/>
        <v>0</v>
      </c>
    </row>
    <row r="239" spans="1:70" outlineLevel="1" x14ac:dyDescent="0.3">
      <c r="A239" s="7">
        <v>2</v>
      </c>
      <c r="B239" s="150" t="s">
        <v>116</v>
      </c>
      <c r="C239" s="150"/>
      <c r="D239" s="150"/>
      <c r="E239" s="150"/>
      <c r="F239" s="20">
        <f t="shared" ref="F239:AK239" si="189">F171-F90</f>
        <v>0</v>
      </c>
      <c r="G239" s="20">
        <f t="shared" si="189"/>
        <v>0.86591592285330921</v>
      </c>
      <c r="H239" s="20">
        <f t="shared" si="189"/>
        <v>-6.9747166521360074E-6</v>
      </c>
      <c r="I239" s="20">
        <f t="shared" si="189"/>
        <v>-1.368587590752029E-3</v>
      </c>
      <c r="J239" s="20">
        <f t="shared" si="189"/>
        <v>-3.101006576890393E-5</v>
      </c>
      <c r="K239" s="20">
        <f t="shared" si="189"/>
        <v>0</v>
      </c>
      <c r="L239" s="20">
        <f t="shared" si="189"/>
        <v>-0.15875273052541328</v>
      </c>
      <c r="M239" s="20">
        <f t="shared" si="189"/>
        <v>-4.4626034362857996E-2</v>
      </c>
      <c r="N239" s="20">
        <f t="shared" si="189"/>
        <v>0</v>
      </c>
      <c r="O239" s="20">
        <f t="shared" si="189"/>
        <v>0</v>
      </c>
      <c r="P239" s="20">
        <f t="shared" si="189"/>
        <v>-1.8719131531580727E-5</v>
      </c>
      <c r="Q239" s="20">
        <f t="shared" si="189"/>
        <v>0</v>
      </c>
      <c r="R239" s="20">
        <f t="shared" si="189"/>
        <v>0</v>
      </c>
      <c r="S239" s="20">
        <f t="shared" si="189"/>
        <v>-4.6674534659652151E-5</v>
      </c>
      <c r="T239" s="20">
        <f t="shared" si="189"/>
        <v>-3.2478087343784266E-6</v>
      </c>
      <c r="U239" s="20">
        <f t="shared" si="189"/>
        <v>-6.0036594299784371E-5</v>
      </c>
      <c r="V239" s="20">
        <f t="shared" si="189"/>
        <v>0</v>
      </c>
      <c r="W239" s="20">
        <f t="shared" si="189"/>
        <v>0</v>
      </c>
      <c r="X239" s="20">
        <f t="shared" si="189"/>
        <v>-1.0248764934446635E-4</v>
      </c>
      <c r="Y239" s="20">
        <f t="shared" si="189"/>
        <v>0</v>
      </c>
      <c r="Z239" s="20">
        <f t="shared" si="189"/>
        <v>-1.2064838363196477E-4</v>
      </c>
      <c r="AA239" s="20">
        <f t="shared" si="189"/>
        <v>-1.1358789834576492E-2</v>
      </c>
      <c r="AB239" s="20">
        <f t="shared" si="189"/>
        <v>0</v>
      </c>
      <c r="AC239" s="20">
        <f t="shared" si="189"/>
        <v>0</v>
      </c>
      <c r="AD239" s="20">
        <f t="shared" si="189"/>
        <v>0</v>
      </c>
      <c r="AE239" s="20">
        <f t="shared" si="189"/>
        <v>-7.6399214028451633E-4</v>
      </c>
      <c r="AF239" s="20">
        <f t="shared" si="189"/>
        <v>-6.087099167099126E-5</v>
      </c>
      <c r="AG239" s="20">
        <f t="shared" si="189"/>
        <v>-1.9453779147140427E-5</v>
      </c>
      <c r="AH239" s="20">
        <f t="shared" si="189"/>
        <v>-9.115869114010936E-5</v>
      </c>
      <c r="AI239" s="20">
        <f t="shared" si="189"/>
        <v>-5.7995659778553673E-5</v>
      </c>
      <c r="AJ239" s="20">
        <f t="shared" si="189"/>
        <v>-2.1039769766000236E-4</v>
      </c>
      <c r="AK239" s="20">
        <f t="shared" si="189"/>
        <v>-1.7766804149868292E-5</v>
      </c>
      <c r="AL239" s="20">
        <f t="shared" ref="AL239:BK239" si="190">AL171-AL90</f>
        <v>-6.8694865519204189E-5</v>
      </c>
      <c r="AM239" s="20">
        <f t="shared" si="190"/>
        <v>0</v>
      </c>
      <c r="AN239" s="20">
        <f t="shared" si="190"/>
        <v>0</v>
      </c>
      <c r="AO239" s="20">
        <f t="shared" si="190"/>
        <v>-1.1668069089138145E-4</v>
      </c>
      <c r="AP239" s="20">
        <f t="shared" si="190"/>
        <v>-1.0954771512904746E-3</v>
      </c>
      <c r="AQ239" s="20">
        <f t="shared" si="190"/>
        <v>-5.5503589617205524E-4</v>
      </c>
      <c r="AR239" s="20">
        <f t="shared" si="190"/>
        <v>-1.5769598882056743E-5</v>
      </c>
      <c r="AS239" s="20">
        <f t="shared" si="190"/>
        <v>-1.858358860989554E-5</v>
      </c>
      <c r="AT239" s="20">
        <f t="shared" si="190"/>
        <v>-4.4949276881481006E-5</v>
      </c>
      <c r="AU239" s="20">
        <f t="shared" si="190"/>
        <v>0</v>
      </c>
      <c r="AV239" s="20">
        <f t="shared" si="190"/>
        <v>-2.4712042919876147E-6</v>
      </c>
      <c r="AW239" s="20">
        <f t="shared" si="190"/>
        <v>-2.1195407297100123E-5</v>
      </c>
      <c r="AX239" s="20">
        <f t="shared" si="190"/>
        <v>-2.7033860055690923E-4</v>
      </c>
      <c r="AY239" s="20">
        <f t="shared" si="190"/>
        <v>-2.869672520822153E-4</v>
      </c>
      <c r="AZ239" s="20">
        <f t="shared" si="190"/>
        <v>-5.0195857044329465E-4</v>
      </c>
      <c r="BA239" s="20">
        <f t="shared" si="190"/>
        <v>-1.334528180897964E-6</v>
      </c>
      <c r="BB239" s="20">
        <f t="shared" si="190"/>
        <v>-7.5286748402979854E-7</v>
      </c>
      <c r="BC239" s="20">
        <f t="shared" si="190"/>
        <v>-3.1493667907521965E-4</v>
      </c>
      <c r="BD239" s="20">
        <f t="shared" si="190"/>
        <v>-3.3908123114743675E-5</v>
      </c>
      <c r="BE239" s="20">
        <f t="shared" si="190"/>
        <v>-4.0372891365174455E-6</v>
      </c>
      <c r="BF239" s="20">
        <f t="shared" si="190"/>
        <v>0</v>
      </c>
      <c r="BG239" s="20">
        <f t="shared" si="190"/>
        <v>-1.3536317941035799E-4</v>
      </c>
      <c r="BH239" s="20">
        <f t="shared" si="190"/>
        <v>-1.0892696314283514E-5</v>
      </c>
      <c r="BI239" s="20">
        <f t="shared" si="190"/>
        <v>-3.4168710168570036E-4</v>
      </c>
      <c r="BJ239" s="20">
        <f t="shared" si="190"/>
        <v>-6.880865852556395E-5</v>
      </c>
      <c r="BK239" s="20">
        <f t="shared" si="190"/>
        <v>-7.4284602139099414E-5</v>
      </c>
      <c r="BL239" s="20">
        <f t="shared" ref="BL239:BR239" si="191">BL171-BL90</f>
        <v>-1.5584508998055932E-4</v>
      </c>
      <c r="BM239" s="20">
        <f t="shared" si="191"/>
        <v>-1.8405613712182217E-6</v>
      </c>
      <c r="BN239" s="20">
        <f t="shared" si="191"/>
        <v>-7.6623790743963961E-5</v>
      </c>
      <c r="BO239" s="20">
        <f t="shared" si="191"/>
        <v>0</v>
      </c>
      <c r="BP239" s="20">
        <f t="shared" si="191"/>
        <v>0</v>
      </c>
      <c r="BQ239" s="20">
        <f t="shared" si="191"/>
        <v>-1.3206430624402055E-4</v>
      </c>
      <c r="BR239" s="20">
        <f t="shared" si="191"/>
        <v>0</v>
      </c>
    </row>
    <row r="240" spans="1:70" outlineLevel="1" x14ac:dyDescent="0.3">
      <c r="A240" s="7">
        <v>3</v>
      </c>
      <c r="B240" s="150" t="s">
        <v>117</v>
      </c>
      <c r="C240" s="150"/>
      <c r="D240" s="150"/>
      <c r="E240" s="150"/>
      <c r="F240" s="20">
        <f t="shared" ref="F240:AK240" si="192">F172-F91</f>
        <v>0</v>
      </c>
      <c r="G240" s="20">
        <f t="shared" si="192"/>
        <v>0</v>
      </c>
      <c r="H240" s="20">
        <f t="shared" si="192"/>
        <v>0.99593931996512641</v>
      </c>
      <c r="I240" s="20">
        <f t="shared" si="192"/>
        <v>0</v>
      </c>
      <c r="J240" s="20">
        <f t="shared" si="192"/>
        <v>-1.482645388970576E-2</v>
      </c>
      <c r="K240" s="20">
        <f t="shared" si="192"/>
        <v>0</v>
      </c>
      <c r="L240" s="20">
        <f t="shared" si="192"/>
        <v>0</v>
      </c>
      <c r="M240" s="20">
        <f t="shared" si="192"/>
        <v>0</v>
      </c>
      <c r="N240" s="20">
        <f t="shared" si="192"/>
        <v>0</v>
      </c>
      <c r="O240" s="20">
        <f t="shared" si="192"/>
        <v>0</v>
      </c>
      <c r="P240" s="20">
        <f t="shared" si="192"/>
        <v>0</v>
      </c>
      <c r="Q240" s="20">
        <f t="shared" si="192"/>
        <v>0</v>
      </c>
      <c r="R240" s="20">
        <f t="shared" si="192"/>
        <v>0</v>
      </c>
      <c r="S240" s="20">
        <f t="shared" si="192"/>
        <v>-1.0716092141246668E-5</v>
      </c>
      <c r="T240" s="20">
        <f t="shared" si="192"/>
        <v>0</v>
      </c>
      <c r="U240" s="20">
        <f t="shared" si="192"/>
        <v>0</v>
      </c>
      <c r="V240" s="20">
        <f t="shared" si="192"/>
        <v>0</v>
      </c>
      <c r="W240" s="20">
        <f t="shared" si="192"/>
        <v>0</v>
      </c>
      <c r="X240" s="20">
        <f t="shared" si="192"/>
        <v>0</v>
      </c>
      <c r="Y240" s="20">
        <f t="shared" si="192"/>
        <v>0</v>
      </c>
      <c r="Z240" s="20">
        <f t="shared" si="192"/>
        <v>0</v>
      </c>
      <c r="AA240" s="20">
        <f t="shared" si="192"/>
        <v>0</v>
      </c>
      <c r="AB240" s="20">
        <f t="shared" si="192"/>
        <v>0</v>
      </c>
      <c r="AC240" s="20">
        <f t="shared" si="192"/>
        <v>0</v>
      </c>
      <c r="AD240" s="20">
        <f t="shared" si="192"/>
        <v>0</v>
      </c>
      <c r="AE240" s="20">
        <f t="shared" si="192"/>
        <v>0</v>
      </c>
      <c r="AF240" s="20">
        <f t="shared" si="192"/>
        <v>0</v>
      </c>
      <c r="AG240" s="20">
        <f t="shared" si="192"/>
        <v>0</v>
      </c>
      <c r="AH240" s="20">
        <f t="shared" si="192"/>
        <v>0</v>
      </c>
      <c r="AI240" s="20">
        <f t="shared" si="192"/>
        <v>0</v>
      </c>
      <c r="AJ240" s="20">
        <f t="shared" si="192"/>
        <v>0</v>
      </c>
      <c r="AK240" s="20">
        <f t="shared" si="192"/>
        <v>0</v>
      </c>
      <c r="AL240" s="20">
        <f t="shared" ref="AL240:BK240" si="193">AL172-AL91</f>
        <v>-1.1327344846251755E-5</v>
      </c>
      <c r="AM240" s="20">
        <f t="shared" si="193"/>
        <v>0</v>
      </c>
      <c r="AN240" s="20">
        <f t="shared" si="193"/>
        <v>0</v>
      </c>
      <c r="AO240" s="20">
        <f t="shared" si="193"/>
        <v>-4.3473486486669251E-6</v>
      </c>
      <c r="AP240" s="20">
        <f t="shared" si="193"/>
        <v>0</v>
      </c>
      <c r="AQ240" s="20">
        <f t="shared" si="193"/>
        <v>-1.218821020439884E-2</v>
      </c>
      <c r="AR240" s="20">
        <f t="shared" si="193"/>
        <v>0</v>
      </c>
      <c r="AS240" s="20">
        <f t="shared" si="193"/>
        <v>0</v>
      </c>
      <c r="AT240" s="20">
        <f t="shared" si="193"/>
        <v>0</v>
      </c>
      <c r="AU240" s="20">
        <f t="shared" si="193"/>
        <v>0</v>
      </c>
      <c r="AV240" s="20">
        <f t="shared" si="193"/>
        <v>0</v>
      </c>
      <c r="AW240" s="20">
        <f t="shared" si="193"/>
        <v>0</v>
      </c>
      <c r="AX240" s="20">
        <f t="shared" si="193"/>
        <v>0</v>
      </c>
      <c r="AY240" s="20">
        <f t="shared" si="193"/>
        <v>-4.8130583418852564E-5</v>
      </c>
      <c r="AZ240" s="20">
        <f t="shared" si="193"/>
        <v>0</v>
      </c>
      <c r="BA240" s="20">
        <f t="shared" si="193"/>
        <v>0</v>
      </c>
      <c r="BB240" s="20">
        <f t="shared" si="193"/>
        <v>0</v>
      </c>
      <c r="BC240" s="20">
        <f t="shared" si="193"/>
        <v>0</v>
      </c>
      <c r="BD240" s="20">
        <f t="shared" si="193"/>
        <v>-1.2178667552045436E-3</v>
      </c>
      <c r="BE240" s="20">
        <f t="shared" si="193"/>
        <v>-2.5691839959656467E-6</v>
      </c>
      <c r="BF240" s="20">
        <f t="shared" si="193"/>
        <v>0</v>
      </c>
      <c r="BG240" s="20">
        <f t="shared" si="193"/>
        <v>0</v>
      </c>
      <c r="BH240" s="20">
        <f t="shared" si="193"/>
        <v>0</v>
      </c>
      <c r="BI240" s="20">
        <f t="shared" si="193"/>
        <v>-5.6288222671518201E-5</v>
      </c>
      <c r="BJ240" s="20">
        <f t="shared" si="193"/>
        <v>-4.7127655010046295E-5</v>
      </c>
      <c r="BK240" s="20">
        <f t="shared" si="193"/>
        <v>-6.1210512162617904E-5</v>
      </c>
      <c r="BL240" s="20">
        <f t="shared" ref="BL240:BR240" si="194">BL172-BL91</f>
        <v>-5.7542802454360359E-4</v>
      </c>
      <c r="BM240" s="20">
        <f t="shared" si="194"/>
        <v>-8.650638444725642E-5</v>
      </c>
      <c r="BN240" s="20">
        <f t="shared" si="194"/>
        <v>-1.2436630651520305E-4</v>
      </c>
      <c r="BO240" s="20">
        <f t="shared" si="194"/>
        <v>0</v>
      </c>
      <c r="BP240" s="20">
        <f t="shared" si="194"/>
        <v>0</v>
      </c>
      <c r="BQ240" s="20">
        <f t="shared" si="194"/>
        <v>-1.9154365027758705E-5</v>
      </c>
      <c r="BR240" s="20">
        <f t="shared" si="194"/>
        <v>0</v>
      </c>
    </row>
    <row r="241" spans="1:70" outlineLevel="1" x14ac:dyDescent="0.3">
      <c r="A241" s="7">
        <v>4</v>
      </c>
      <c r="B241" s="150" t="s">
        <v>118</v>
      </c>
      <c r="C241" s="150"/>
      <c r="D241" s="150"/>
      <c r="E241" s="150"/>
      <c r="F241" s="20">
        <f t="shared" ref="F241:AK241" si="195">F173-F92</f>
        <v>-7.2499814575996456E-3</v>
      </c>
      <c r="G241" s="20">
        <f t="shared" si="195"/>
        <v>-9.7288357929703733E-4</v>
      </c>
      <c r="H241" s="20">
        <f t="shared" si="195"/>
        <v>-1.5344376634699215E-5</v>
      </c>
      <c r="I241" s="20">
        <f t="shared" si="195"/>
        <v>0.98236162741078881</v>
      </c>
      <c r="J241" s="20">
        <f t="shared" si="195"/>
        <v>-8.5696070640732929E-5</v>
      </c>
      <c r="K241" s="20">
        <f t="shared" si="195"/>
        <v>0</v>
      </c>
      <c r="L241" s="20">
        <f t="shared" si="195"/>
        <v>0</v>
      </c>
      <c r="M241" s="20">
        <f t="shared" si="195"/>
        <v>0</v>
      </c>
      <c r="N241" s="20">
        <f t="shared" si="195"/>
        <v>0</v>
      </c>
      <c r="O241" s="20">
        <f t="shared" si="195"/>
        <v>-0.32352270036380859</v>
      </c>
      <c r="P241" s="20">
        <f t="shared" si="195"/>
        <v>-3.5104059755604673E-3</v>
      </c>
      <c r="Q241" s="20">
        <f t="shared" si="195"/>
        <v>0</v>
      </c>
      <c r="R241" s="20">
        <f t="shared" si="195"/>
        <v>0</v>
      </c>
      <c r="S241" s="20">
        <f t="shared" si="195"/>
        <v>-3.5286900744220695E-2</v>
      </c>
      <c r="T241" s="20">
        <f t="shared" si="195"/>
        <v>-1.0563111264668883E-4</v>
      </c>
      <c r="U241" s="20">
        <f t="shared" si="195"/>
        <v>0</v>
      </c>
      <c r="V241" s="20">
        <f t="shared" si="195"/>
        <v>0</v>
      </c>
      <c r="W241" s="20">
        <f t="shared" si="195"/>
        <v>0</v>
      </c>
      <c r="X241" s="20">
        <f t="shared" si="195"/>
        <v>0</v>
      </c>
      <c r="Y241" s="20">
        <f t="shared" si="195"/>
        <v>0</v>
      </c>
      <c r="Z241" s="20">
        <f t="shared" si="195"/>
        <v>-1.6015272163535146E-6</v>
      </c>
      <c r="AA241" s="20">
        <f t="shared" si="195"/>
        <v>0</v>
      </c>
      <c r="AB241" s="20">
        <f t="shared" si="195"/>
        <v>-3.3599239919159836E-4</v>
      </c>
      <c r="AC241" s="20">
        <f t="shared" si="195"/>
        <v>-0.21314290476947689</v>
      </c>
      <c r="AD241" s="20">
        <f t="shared" si="195"/>
        <v>-0.78042346542901009</v>
      </c>
      <c r="AE241" s="20">
        <f t="shared" si="195"/>
        <v>0</v>
      </c>
      <c r="AF241" s="20">
        <f t="shared" si="195"/>
        <v>0</v>
      </c>
      <c r="AG241" s="20">
        <f t="shared" si="195"/>
        <v>-2.2215626277575368E-3</v>
      </c>
      <c r="AH241" s="20">
        <f t="shared" si="195"/>
        <v>-2.0399516212317975E-2</v>
      </c>
      <c r="AI241" s="20">
        <f t="shared" si="195"/>
        <v>0</v>
      </c>
      <c r="AJ241" s="20">
        <f t="shared" si="195"/>
        <v>-5.9814852416263091E-5</v>
      </c>
      <c r="AK241" s="20">
        <f t="shared" si="195"/>
        <v>0</v>
      </c>
      <c r="AL241" s="20">
        <f t="shared" ref="AL241:BK241" si="196">AL173-AL92</f>
        <v>-5.8441791442242119E-4</v>
      </c>
      <c r="AM241" s="20">
        <f t="shared" si="196"/>
        <v>0</v>
      </c>
      <c r="AN241" s="20">
        <f t="shared" si="196"/>
        <v>0</v>
      </c>
      <c r="AO241" s="20">
        <f t="shared" si="196"/>
        <v>0</v>
      </c>
      <c r="AP241" s="20">
        <f t="shared" si="196"/>
        <v>0</v>
      </c>
      <c r="AQ241" s="20">
        <f t="shared" si="196"/>
        <v>0</v>
      </c>
      <c r="AR241" s="20">
        <f t="shared" si="196"/>
        <v>-1.2130460678505187E-5</v>
      </c>
      <c r="AS241" s="20">
        <f t="shared" si="196"/>
        <v>-2.4530336965062109E-5</v>
      </c>
      <c r="AT241" s="20">
        <f t="shared" si="196"/>
        <v>0</v>
      </c>
      <c r="AU241" s="20">
        <f t="shared" si="196"/>
        <v>-5.4913980720774408E-5</v>
      </c>
      <c r="AV241" s="20">
        <f t="shared" si="196"/>
        <v>0</v>
      </c>
      <c r="AW241" s="20">
        <f t="shared" si="196"/>
        <v>0</v>
      </c>
      <c r="AX241" s="20">
        <f t="shared" si="196"/>
        <v>0</v>
      </c>
      <c r="AY241" s="20">
        <f t="shared" si="196"/>
        <v>-1.5892678283828876E-3</v>
      </c>
      <c r="AZ241" s="20">
        <f t="shared" si="196"/>
        <v>-5.03689462065513E-4</v>
      </c>
      <c r="BA241" s="20">
        <f t="shared" si="196"/>
        <v>0</v>
      </c>
      <c r="BB241" s="20">
        <f t="shared" si="196"/>
        <v>0</v>
      </c>
      <c r="BC241" s="20">
        <f t="shared" si="196"/>
        <v>-4.6630715580613386E-6</v>
      </c>
      <c r="BD241" s="20">
        <f t="shared" si="196"/>
        <v>-2.9528323879089285E-4</v>
      </c>
      <c r="BE241" s="20">
        <f t="shared" si="196"/>
        <v>0</v>
      </c>
      <c r="BF241" s="20">
        <f t="shared" si="196"/>
        <v>0</v>
      </c>
      <c r="BG241" s="20">
        <f t="shared" si="196"/>
        <v>0</v>
      </c>
      <c r="BH241" s="20">
        <f t="shared" si="196"/>
        <v>-2.8440564401074394E-3</v>
      </c>
      <c r="BI241" s="20">
        <f t="shared" si="196"/>
        <v>-3.3860883950835173E-4</v>
      </c>
      <c r="BJ241" s="20">
        <f t="shared" si="196"/>
        <v>-1.6991060123476738E-4</v>
      </c>
      <c r="BK241" s="20">
        <f t="shared" si="196"/>
        <v>-1.5555195687927414E-4</v>
      </c>
      <c r="BL241" s="20">
        <f t="shared" ref="BL241:BR241" si="197">BL173-BL92</f>
        <v>-8.8911621847883207E-5</v>
      </c>
      <c r="BM241" s="20">
        <f t="shared" si="197"/>
        <v>-1.794547336937766E-5</v>
      </c>
      <c r="BN241" s="20">
        <f t="shared" si="197"/>
        <v>-9.4129379860084968E-4</v>
      </c>
      <c r="BO241" s="20">
        <f t="shared" si="197"/>
        <v>0</v>
      </c>
      <c r="BP241" s="20">
        <f t="shared" si="197"/>
        <v>-6.1875061875061879E-6</v>
      </c>
      <c r="BQ241" s="20">
        <f t="shared" si="197"/>
        <v>-2.5818067808468445E-3</v>
      </c>
      <c r="BR241" s="20">
        <f t="shared" si="197"/>
        <v>0</v>
      </c>
    </row>
    <row r="242" spans="1:70" outlineLevel="1" x14ac:dyDescent="0.3">
      <c r="A242" s="7">
        <v>5</v>
      </c>
      <c r="B242" s="150" t="s">
        <v>119</v>
      </c>
      <c r="C242" s="150"/>
      <c r="D242" s="150"/>
      <c r="E242" s="150"/>
      <c r="F242" s="20">
        <f t="shared" ref="F242:AK242" si="198">F174-F93</f>
        <v>-7.231859739976651E-2</v>
      </c>
      <c r="G242" s="20">
        <f t="shared" si="198"/>
        <v>-7.7640158347817425E-5</v>
      </c>
      <c r="H242" s="20">
        <f t="shared" si="198"/>
        <v>-1.3906190061028771E-2</v>
      </c>
      <c r="I242" s="20">
        <f t="shared" si="198"/>
        <v>-1.1396709298437569E-4</v>
      </c>
      <c r="J242" s="20">
        <f t="shared" si="198"/>
        <v>0.88515791309936054</v>
      </c>
      <c r="K242" s="20">
        <f t="shared" si="198"/>
        <v>-2.1426779571726007E-3</v>
      </c>
      <c r="L242" s="20">
        <f t="shared" si="198"/>
        <v>0</v>
      </c>
      <c r="M242" s="20">
        <f t="shared" si="198"/>
        <v>-4.2542060367872699E-4</v>
      </c>
      <c r="N242" s="20">
        <f t="shared" si="198"/>
        <v>0</v>
      </c>
      <c r="O242" s="20">
        <f t="shared" si="198"/>
        <v>0</v>
      </c>
      <c r="P242" s="20">
        <f t="shared" si="198"/>
        <v>-1.147193185160548E-2</v>
      </c>
      <c r="Q242" s="20">
        <f t="shared" si="198"/>
        <v>-9.0811989552917619E-4</v>
      </c>
      <c r="R242" s="20">
        <f t="shared" si="198"/>
        <v>0</v>
      </c>
      <c r="S242" s="20">
        <f t="shared" si="198"/>
        <v>-4.2626233184070077E-5</v>
      </c>
      <c r="T242" s="20">
        <f t="shared" si="198"/>
        <v>-1.3919180290193257E-6</v>
      </c>
      <c r="U242" s="20">
        <f t="shared" si="198"/>
        <v>0</v>
      </c>
      <c r="V242" s="20">
        <f t="shared" si="198"/>
        <v>0</v>
      </c>
      <c r="W242" s="20">
        <f t="shared" si="198"/>
        <v>0</v>
      </c>
      <c r="X242" s="20">
        <f t="shared" si="198"/>
        <v>0</v>
      </c>
      <c r="Y242" s="20">
        <f t="shared" si="198"/>
        <v>-2.0420579860383293E-6</v>
      </c>
      <c r="Z242" s="20">
        <f t="shared" si="198"/>
        <v>0</v>
      </c>
      <c r="AA242" s="20">
        <f t="shared" si="198"/>
        <v>-5.6270303581068973E-3</v>
      </c>
      <c r="AB242" s="20">
        <f t="shared" si="198"/>
        <v>0</v>
      </c>
      <c r="AC242" s="20">
        <f t="shared" si="198"/>
        <v>0</v>
      </c>
      <c r="AD242" s="20">
        <f t="shared" si="198"/>
        <v>0</v>
      </c>
      <c r="AE242" s="20">
        <f t="shared" si="198"/>
        <v>0</v>
      </c>
      <c r="AF242" s="20">
        <f t="shared" si="198"/>
        <v>0</v>
      </c>
      <c r="AG242" s="20">
        <f t="shared" si="198"/>
        <v>-1.7390499540625534E-4</v>
      </c>
      <c r="AH242" s="20">
        <f t="shared" si="198"/>
        <v>-5.5473102181794543E-5</v>
      </c>
      <c r="AI242" s="20">
        <f t="shared" si="198"/>
        <v>-2.7541551207612715E-4</v>
      </c>
      <c r="AJ242" s="20">
        <f t="shared" si="198"/>
        <v>-7.5428859345703198E-4</v>
      </c>
      <c r="AK242" s="20">
        <f t="shared" si="198"/>
        <v>-3.3988623634774351E-3</v>
      </c>
      <c r="AL242" s="20">
        <f t="shared" ref="AL242:BK242" si="199">AL174-AL93</f>
        <v>-2.1295408310953299E-4</v>
      </c>
      <c r="AM242" s="20">
        <f t="shared" si="199"/>
        <v>0</v>
      </c>
      <c r="AN242" s="20">
        <f t="shared" si="199"/>
        <v>0</v>
      </c>
      <c r="AO242" s="20">
        <f t="shared" si="199"/>
        <v>-8.2760637237585182E-5</v>
      </c>
      <c r="AP242" s="20">
        <f t="shared" si="199"/>
        <v>0</v>
      </c>
      <c r="AQ242" s="20">
        <f t="shared" si="199"/>
        <v>-0.19535705734005654</v>
      </c>
      <c r="AR242" s="20">
        <f t="shared" si="199"/>
        <v>-3.8210951137291341E-4</v>
      </c>
      <c r="AS242" s="20">
        <f t="shared" si="199"/>
        <v>0</v>
      </c>
      <c r="AT242" s="20">
        <f t="shared" si="199"/>
        <v>0</v>
      </c>
      <c r="AU242" s="20">
        <f t="shared" si="199"/>
        <v>0</v>
      </c>
      <c r="AV242" s="20">
        <f t="shared" si="199"/>
        <v>-2.2333508788838067E-4</v>
      </c>
      <c r="AW242" s="20">
        <f t="shared" si="199"/>
        <v>-4.8886181346537378E-4</v>
      </c>
      <c r="AX242" s="20">
        <f t="shared" si="199"/>
        <v>0</v>
      </c>
      <c r="AY242" s="20">
        <f t="shared" si="199"/>
        <v>-1.1745073186487294E-4</v>
      </c>
      <c r="AZ242" s="20">
        <f t="shared" si="199"/>
        <v>-4.2555967714876883E-3</v>
      </c>
      <c r="BA242" s="20">
        <f t="shared" si="199"/>
        <v>0</v>
      </c>
      <c r="BB242" s="20">
        <f t="shared" si="199"/>
        <v>-3.4782477762176689E-4</v>
      </c>
      <c r="BC242" s="20">
        <f t="shared" si="199"/>
        <v>-1.8939244481972205E-4</v>
      </c>
      <c r="BD242" s="20">
        <f t="shared" si="199"/>
        <v>-1.3845816938520335E-2</v>
      </c>
      <c r="BE242" s="20">
        <f t="shared" si="199"/>
        <v>-9.935401538684295E-4</v>
      </c>
      <c r="BF242" s="20">
        <f t="shared" si="199"/>
        <v>-3.0165104980441645E-4</v>
      </c>
      <c r="BG242" s="20">
        <f t="shared" si="199"/>
        <v>0</v>
      </c>
      <c r="BH242" s="20">
        <f t="shared" si="199"/>
        <v>-5.4277508707515163E-3</v>
      </c>
      <c r="BI242" s="20">
        <f t="shared" si="199"/>
        <v>-2.4944184510448577E-3</v>
      </c>
      <c r="BJ242" s="20">
        <f t="shared" si="199"/>
        <v>-1.2835610523365732E-2</v>
      </c>
      <c r="BK242" s="20">
        <f t="shared" si="199"/>
        <v>-3.6020603577249302E-3</v>
      </c>
      <c r="BL242" s="20">
        <f t="shared" ref="BL242:BR242" si="200">BL174-BL93</f>
        <v>-4.2565689704433786E-2</v>
      </c>
      <c r="BM242" s="20">
        <f t="shared" si="200"/>
        <v>-4.5898999194754408E-3</v>
      </c>
      <c r="BN242" s="20">
        <f t="shared" si="200"/>
        <v>-5.401977247449459E-3</v>
      </c>
      <c r="BO242" s="20">
        <f t="shared" si="200"/>
        <v>-2.2590003542299086E-3</v>
      </c>
      <c r="BP242" s="20">
        <f t="shared" si="200"/>
        <v>0</v>
      </c>
      <c r="BQ242" s="20">
        <f t="shared" si="200"/>
        <v>-4.85915997019984E-4</v>
      </c>
      <c r="BR242" s="20">
        <f t="shared" si="200"/>
        <v>0</v>
      </c>
    </row>
    <row r="243" spans="1:70" outlineLevel="1" x14ac:dyDescent="0.3">
      <c r="A243" s="7">
        <v>6</v>
      </c>
      <c r="B243" s="150" t="s">
        <v>120</v>
      </c>
      <c r="C243" s="150"/>
      <c r="D243" s="150"/>
      <c r="E243" s="150"/>
      <c r="F243" s="20">
        <f t="shared" ref="F243:AK243" si="201">F175-F94</f>
        <v>-5.5310071002184053E-4</v>
      </c>
      <c r="G243" s="20">
        <f t="shared" si="201"/>
        <v>-1.6706923644476664E-3</v>
      </c>
      <c r="H243" s="20">
        <f t="shared" si="201"/>
        <v>-2.0597733217088056E-2</v>
      </c>
      <c r="I243" s="20">
        <f t="shared" si="201"/>
        <v>-2.2213758382558057E-3</v>
      </c>
      <c r="J243" s="20">
        <f t="shared" si="201"/>
        <v>-5.9923260423910547E-4</v>
      </c>
      <c r="K243" s="20">
        <f t="shared" si="201"/>
        <v>0.84643754932258775</v>
      </c>
      <c r="L243" s="20">
        <f t="shared" si="201"/>
        <v>-5.5088470648084502E-5</v>
      </c>
      <c r="M243" s="20">
        <f t="shared" si="201"/>
        <v>-1.4158569341389186E-3</v>
      </c>
      <c r="N243" s="20">
        <f t="shared" si="201"/>
        <v>-3.506929360645047E-3</v>
      </c>
      <c r="O243" s="20">
        <f t="shared" si="201"/>
        <v>-1.0327642993993929E-3</v>
      </c>
      <c r="P243" s="20">
        <f t="shared" si="201"/>
        <v>0</v>
      </c>
      <c r="Q243" s="20">
        <f t="shared" si="201"/>
        <v>-1.1851483139043083E-5</v>
      </c>
      <c r="R243" s="20">
        <f t="shared" si="201"/>
        <v>-4.1285171268642647E-3</v>
      </c>
      <c r="S243" s="20">
        <f t="shared" si="201"/>
        <v>-1.1966302891058779E-3</v>
      </c>
      <c r="T243" s="20">
        <f t="shared" si="201"/>
        <v>-4.299480134081917E-5</v>
      </c>
      <c r="U243" s="20">
        <f t="shared" si="201"/>
        <v>-3.2625261004210968E-4</v>
      </c>
      <c r="V243" s="20">
        <f t="shared" si="201"/>
        <v>0</v>
      </c>
      <c r="W243" s="20">
        <f t="shared" si="201"/>
        <v>-2.0334574179660964E-3</v>
      </c>
      <c r="X243" s="20">
        <f t="shared" si="201"/>
        <v>0</v>
      </c>
      <c r="Y243" s="20">
        <f t="shared" si="201"/>
        <v>-8.8007894355931898E-3</v>
      </c>
      <c r="Z243" s="20">
        <f t="shared" si="201"/>
        <v>-1.0564741203878685E-3</v>
      </c>
      <c r="AA243" s="20">
        <f t="shared" si="201"/>
        <v>-3.8000301304612599E-2</v>
      </c>
      <c r="AB243" s="20">
        <f t="shared" si="201"/>
        <v>-3.3774033652843333E-3</v>
      </c>
      <c r="AC243" s="20">
        <f t="shared" si="201"/>
        <v>0</v>
      </c>
      <c r="AD243" s="20">
        <f t="shared" si="201"/>
        <v>0</v>
      </c>
      <c r="AE243" s="20">
        <f t="shared" si="201"/>
        <v>0</v>
      </c>
      <c r="AF243" s="20">
        <f t="shared" si="201"/>
        <v>-2.8578414733668775E-4</v>
      </c>
      <c r="AG243" s="20">
        <f t="shared" si="201"/>
        <v>-2.9062767028909789E-4</v>
      </c>
      <c r="AH243" s="20">
        <f t="shared" si="201"/>
        <v>-8.5018241704911584E-4</v>
      </c>
      <c r="AI243" s="20">
        <f t="shared" si="201"/>
        <v>-1.4465701571196956E-3</v>
      </c>
      <c r="AJ243" s="20">
        <f t="shared" si="201"/>
        <v>-1.9995250664865093E-3</v>
      </c>
      <c r="AK243" s="20">
        <f t="shared" si="201"/>
        <v>-2.0602219853084114E-3</v>
      </c>
      <c r="AL243" s="20">
        <f t="shared" ref="AL243:BK243" si="202">AL175-AL94</f>
        <v>-1.8357606615344778E-4</v>
      </c>
      <c r="AM243" s="20">
        <f t="shared" si="202"/>
        <v>0</v>
      </c>
      <c r="AN243" s="20">
        <f t="shared" si="202"/>
        <v>-5.8521769968524254E-4</v>
      </c>
      <c r="AO243" s="20">
        <f t="shared" si="202"/>
        <v>-4.5249995625815863E-4</v>
      </c>
      <c r="AP243" s="20">
        <f t="shared" si="202"/>
        <v>-7.7373772635736264E-4</v>
      </c>
      <c r="AQ243" s="20">
        <f t="shared" si="202"/>
        <v>-4.8689478157735912E-3</v>
      </c>
      <c r="AR243" s="20">
        <f t="shared" si="202"/>
        <v>-2.3387528188158003E-3</v>
      </c>
      <c r="AS243" s="20">
        <f t="shared" si="202"/>
        <v>-2.8685627378234753E-3</v>
      </c>
      <c r="AT243" s="20">
        <f t="shared" si="202"/>
        <v>-6.6591521305897782E-5</v>
      </c>
      <c r="AU243" s="20">
        <f t="shared" si="202"/>
        <v>-2.7099313091324685E-4</v>
      </c>
      <c r="AV243" s="20">
        <f t="shared" si="202"/>
        <v>-1.4858115805575531E-4</v>
      </c>
      <c r="AW243" s="20">
        <f t="shared" si="202"/>
        <v>-1.5383763360798478E-4</v>
      </c>
      <c r="AX243" s="20">
        <f t="shared" si="202"/>
        <v>-1.0509923995732971E-5</v>
      </c>
      <c r="AY243" s="20">
        <f t="shared" si="202"/>
        <v>-4.3393202094921479E-4</v>
      </c>
      <c r="AZ243" s="20">
        <f t="shared" si="202"/>
        <v>-1.2981687166636932E-3</v>
      </c>
      <c r="BA243" s="20">
        <f t="shared" si="202"/>
        <v>-1.7579072462878432E-3</v>
      </c>
      <c r="BB243" s="20">
        <f t="shared" si="202"/>
        <v>-5.7970796270294481E-5</v>
      </c>
      <c r="BC243" s="20">
        <f t="shared" si="202"/>
        <v>-9.7737979856965668E-3</v>
      </c>
      <c r="BD243" s="20">
        <f t="shared" si="202"/>
        <v>-1.0584985765652484E-2</v>
      </c>
      <c r="BE243" s="20">
        <f t="shared" si="202"/>
        <v>-1.9015264806712031E-2</v>
      </c>
      <c r="BF243" s="20">
        <f t="shared" si="202"/>
        <v>-1.7844422491676843E-3</v>
      </c>
      <c r="BG243" s="20">
        <f t="shared" si="202"/>
        <v>-1.4968911589795422E-3</v>
      </c>
      <c r="BH243" s="20">
        <f t="shared" si="202"/>
        <v>-3.7898612908110812E-3</v>
      </c>
      <c r="BI243" s="20">
        <f t="shared" si="202"/>
        <v>-1.554082647821448E-3</v>
      </c>
      <c r="BJ243" s="20">
        <f t="shared" si="202"/>
        <v>-7.5860690195348119E-4</v>
      </c>
      <c r="BK243" s="20">
        <f t="shared" si="202"/>
        <v>-2.8164264055018148E-3</v>
      </c>
      <c r="BL243" s="20">
        <f t="shared" ref="BL243:BR243" si="203">BL175-BL94</f>
        <v>-4.1328919054459869E-3</v>
      </c>
      <c r="BM243" s="20">
        <f t="shared" si="203"/>
        <v>-7.2301852064879787E-3</v>
      </c>
      <c r="BN243" s="20">
        <f t="shared" si="203"/>
        <v>-4.5237507227686409E-3</v>
      </c>
      <c r="BO243" s="20">
        <f t="shared" si="203"/>
        <v>-7.9813827521421936E-4</v>
      </c>
      <c r="BP243" s="20">
        <f t="shared" si="203"/>
        <v>-2.3255742005742007E-2</v>
      </c>
      <c r="BQ243" s="20">
        <f t="shared" si="203"/>
        <v>-1.7151221695645202E-2</v>
      </c>
      <c r="BR243" s="20">
        <f t="shared" si="203"/>
        <v>0</v>
      </c>
    </row>
    <row r="244" spans="1:70" outlineLevel="1" x14ac:dyDescent="0.3">
      <c r="A244" s="7">
        <v>7</v>
      </c>
      <c r="B244" s="150" t="s">
        <v>121</v>
      </c>
      <c r="C244" s="150"/>
      <c r="D244" s="150"/>
      <c r="E244" s="150"/>
      <c r="F244" s="20">
        <f t="shared" ref="F244:AK244" si="204">F176-F95</f>
        <v>-2.4334877950879014E-5</v>
      </c>
      <c r="G244" s="20">
        <f t="shared" si="204"/>
        <v>0</v>
      </c>
      <c r="H244" s="20">
        <f t="shared" si="204"/>
        <v>-1.952920662598082E-5</v>
      </c>
      <c r="I244" s="20">
        <f t="shared" si="204"/>
        <v>-3.0253678304300652E-3</v>
      </c>
      <c r="J244" s="20">
        <f t="shared" si="204"/>
        <v>-1.0324383007980318E-3</v>
      </c>
      <c r="K244" s="20">
        <f t="shared" si="204"/>
        <v>-6.7335534392857751E-4</v>
      </c>
      <c r="L244" s="20">
        <f t="shared" si="204"/>
        <v>0.79136991122141565</v>
      </c>
      <c r="M244" s="20">
        <f t="shared" si="204"/>
        <v>-7.8933768876922783E-4</v>
      </c>
      <c r="N244" s="20">
        <f t="shared" si="204"/>
        <v>-1.5375539517624847E-3</v>
      </c>
      <c r="O244" s="20">
        <f t="shared" si="204"/>
        <v>0</v>
      </c>
      <c r="P244" s="20">
        <f t="shared" si="204"/>
        <v>-5.3789062483840526E-4</v>
      </c>
      <c r="Q244" s="20">
        <f t="shared" si="204"/>
        <v>0</v>
      </c>
      <c r="R244" s="20">
        <f t="shared" si="204"/>
        <v>-3.1145766021153194E-3</v>
      </c>
      <c r="S244" s="20">
        <f t="shared" si="204"/>
        <v>-1.2468768544792789E-2</v>
      </c>
      <c r="T244" s="20">
        <f t="shared" si="204"/>
        <v>-6.8977271215846589E-5</v>
      </c>
      <c r="U244" s="20">
        <f t="shared" si="204"/>
        <v>-5.106082624110373E-4</v>
      </c>
      <c r="V244" s="20">
        <f t="shared" si="204"/>
        <v>-2.9132263202261339E-4</v>
      </c>
      <c r="W244" s="20">
        <f t="shared" si="204"/>
        <v>-1.1376142217997354E-3</v>
      </c>
      <c r="X244" s="20">
        <f t="shared" si="204"/>
        <v>-4.9456249392969222E-4</v>
      </c>
      <c r="Y244" s="20">
        <f t="shared" si="204"/>
        <v>-2.5218214916993345E-3</v>
      </c>
      <c r="Z244" s="20">
        <f t="shared" si="204"/>
        <v>-2.8395077545947819E-3</v>
      </c>
      <c r="AA244" s="20">
        <f t="shared" si="204"/>
        <v>-0.10138703183734886</v>
      </c>
      <c r="AB244" s="20">
        <f t="shared" si="204"/>
        <v>0</v>
      </c>
      <c r="AC244" s="20">
        <f t="shared" si="204"/>
        <v>-1.5552723974400731E-2</v>
      </c>
      <c r="AD244" s="20">
        <f t="shared" si="204"/>
        <v>0</v>
      </c>
      <c r="AE244" s="20">
        <f t="shared" si="204"/>
        <v>-9.4339244988449478E-2</v>
      </c>
      <c r="AF244" s="20">
        <f t="shared" si="204"/>
        <v>-8.0060829723202064E-4</v>
      </c>
      <c r="AG244" s="20">
        <f t="shared" si="204"/>
        <v>-3.8200148143475749E-4</v>
      </c>
      <c r="AH244" s="20">
        <f t="shared" si="204"/>
        <v>-5.5225345013767885E-2</v>
      </c>
      <c r="AI244" s="20">
        <f t="shared" si="204"/>
        <v>-4.746957527249018E-4</v>
      </c>
      <c r="AJ244" s="20">
        <f t="shared" si="204"/>
        <v>-4.5204133570808059E-3</v>
      </c>
      <c r="AK244" s="20">
        <f t="shared" si="204"/>
        <v>-9.7384944617962281E-4</v>
      </c>
      <c r="AL244" s="20">
        <f t="shared" ref="AL244:BK244" si="205">AL176-AL95</f>
        <v>-1.125426520208239E-3</v>
      </c>
      <c r="AM244" s="20">
        <f t="shared" si="205"/>
        <v>0</v>
      </c>
      <c r="AN244" s="20">
        <f t="shared" si="205"/>
        <v>0</v>
      </c>
      <c r="AO244" s="20">
        <f t="shared" si="205"/>
        <v>-2.928180834246545E-3</v>
      </c>
      <c r="AP244" s="20">
        <f t="shared" si="205"/>
        <v>0</v>
      </c>
      <c r="AQ244" s="20">
        <f t="shared" si="205"/>
        <v>-3.7159924552925672E-4</v>
      </c>
      <c r="AR244" s="20">
        <f t="shared" si="205"/>
        <v>-8.8127796829340192E-4</v>
      </c>
      <c r="AS244" s="20">
        <f t="shared" si="205"/>
        <v>-2.9956744839151612E-4</v>
      </c>
      <c r="AT244" s="20">
        <f t="shared" si="205"/>
        <v>-1.7504057028978846E-4</v>
      </c>
      <c r="AU244" s="20">
        <f t="shared" si="205"/>
        <v>-3.4463256866141179E-4</v>
      </c>
      <c r="AV244" s="20">
        <f t="shared" si="205"/>
        <v>0</v>
      </c>
      <c r="AW244" s="20">
        <f t="shared" si="205"/>
        <v>0</v>
      </c>
      <c r="AX244" s="20">
        <f t="shared" si="205"/>
        <v>0</v>
      </c>
      <c r="AY244" s="20">
        <f t="shared" si="205"/>
        <v>-4.3330642426746028E-3</v>
      </c>
      <c r="AZ244" s="20">
        <f t="shared" si="205"/>
        <v>-2.1497673947950759E-3</v>
      </c>
      <c r="BA244" s="20">
        <f t="shared" si="205"/>
        <v>-3.5865444861632781E-4</v>
      </c>
      <c r="BB244" s="20">
        <f t="shared" si="205"/>
        <v>0</v>
      </c>
      <c r="BC244" s="20">
        <f t="shared" si="205"/>
        <v>-1.2156268854053751E-3</v>
      </c>
      <c r="BD244" s="20">
        <f t="shared" si="205"/>
        <v>-2.8567593724171548E-3</v>
      </c>
      <c r="BE244" s="20">
        <f t="shared" si="205"/>
        <v>-4.0813322907339987E-4</v>
      </c>
      <c r="BF244" s="20">
        <f t="shared" si="205"/>
        <v>-5.7849097430024462E-4</v>
      </c>
      <c r="BG244" s="20">
        <f t="shared" si="205"/>
        <v>0</v>
      </c>
      <c r="BH244" s="20">
        <f t="shared" si="205"/>
        <v>0</v>
      </c>
      <c r="BI244" s="20">
        <f t="shared" si="205"/>
        <v>-3.4886971343284727E-5</v>
      </c>
      <c r="BJ244" s="20">
        <f t="shared" si="205"/>
        <v>-1.6762839033839709E-4</v>
      </c>
      <c r="BK244" s="20">
        <f t="shared" si="205"/>
        <v>-6.6856141925189467E-5</v>
      </c>
      <c r="BL244" s="20">
        <f t="shared" ref="BL244:BR244" si="206">BL176-BL95</f>
        <v>-2.7172990047892392E-4</v>
      </c>
      <c r="BM244" s="20">
        <f t="shared" si="206"/>
        <v>-1.0118486138272174E-3</v>
      </c>
      <c r="BN244" s="20">
        <f t="shared" si="206"/>
        <v>-9.9610927967153142E-5</v>
      </c>
      <c r="BO244" s="20">
        <f t="shared" si="206"/>
        <v>0</v>
      </c>
      <c r="BP244" s="20">
        <f t="shared" si="206"/>
        <v>-1.423126423126423E-4</v>
      </c>
      <c r="BQ244" s="20">
        <f t="shared" si="206"/>
        <v>-3.8933767230107433E-3</v>
      </c>
      <c r="BR244" s="20">
        <f t="shared" si="206"/>
        <v>0</v>
      </c>
    </row>
    <row r="245" spans="1:70" outlineLevel="1" x14ac:dyDescent="0.3">
      <c r="A245" s="7">
        <v>8</v>
      </c>
      <c r="B245" s="150" t="s">
        <v>122</v>
      </c>
      <c r="C245" s="150"/>
      <c r="D245" s="150"/>
      <c r="E245" s="150"/>
      <c r="F245" s="20">
        <f t="shared" ref="F245:AK245" si="207">F177-F96</f>
        <v>-4.9058078422250769E-4</v>
      </c>
      <c r="G245" s="20">
        <f t="shared" si="207"/>
        <v>-5.9659078730454798E-4</v>
      </c>
      <c r="H245" s="20">
        <f t="shared" si="207"/>
        <v>-6.7096774193548382E-4</v>
      </c>
      <c r="I245" s="20">
        <f t="shared" si="207"/>
        <v>-1.1884671851732742E-3</v>
      </c>
      <c r="J245" s="20">
        <f t="shared" si="207"/>
        <v>-1.2023488500483166E-2</v>
      </c>
      <c r="K245" s="20">
        <f t="shared" si="207"/>
        <v>-3.1851451770923489E-3</v>
      </c>
      <c r="L245" s="20">
        <f t="shared" si="207"/>
        <v>-5.2822211066827903E-3</v>
      </c>
      <c r="M245" s="20">
        <f t="shared" si="207"/>
        <v>0.93266717281595524</v>
      </c>
      <c r="N245" s="20">
        <f t="shared" si="207"/>
        <v>-0.27849321786299702</v>
      </c>
      <c r="O245" s="20">
        <f t="shared" si="207"/>
        <v>-2.1634770628377068E-4</v>
      </c>
      <c r="P245" s="20">
        <f t="shared" si="207"/>
        <v>-1.2152956609259951E-3</v>
      </c>
      <c r="Q245" s="20">
        <f t="shared" si="207"/>
        <v>-1.4681024738489616E-3</v>
      </c>
      <c r="R245" s="20">
        <f t="shared" si="207"/>
        <v>-4.6953449348941714E-3</v>
      </c>
      <c r="S245" s="20">
        <f t="shared" si="207"/>
        <v>-3.5806035874618868E-3</v>
      </c>
      <c r="T245" s="20">
        <f t="shared" si="207"/>
        <v>-1.2898440402245754E-4</v>
      </c>
      <c r="U245" s="20">
        <f t="shared" si="207"/>
        <v>0</v>
      </c>
      <c r="V245" s="20">
        <f t="shared" si="207"/>
        <v>-1.0210207034434123E-3</v>
      </c>
      <c r="W245" s="20">
        <f t="shared" si="207"/>
        <v>-1.6307446717850793E-3</v>
      </c>
      <c r="X245" s="20">
        <f t="shared" si="207"/>
        <v>-5.2947979771798142E-4</v>
      </c>
      <c r="Y245" s="20">
        <f t="shared" si="207"/>
        <v>-6.4348850771807819E-4</v>
      </c>
      <c r="Z245" s="20">
        <f t="shared" si="207"/>
        <v>-2.3809371283122253E-4</v>
      </c>
      <c r="AA245" s="20">
        <f t="shared" si="207"/>
        <v>-8.6759966013809694E-3</v>
      </c>
      <c r="AB245" s="20">
        <f t="shared" si="207"/>
        <v>-9.9282840732222593E-4</v>
      </c>
      <c r="AC245" s="20">
        <f t="shared" si="207"/>
        <v>-2.7530898617186622E-4</v>
      </c>
      <c r="AD245" s="20">
        <f t="shared" si="207"/>
        <v>-4.2482601400451088E-4</v>
      </c>
      <c r="AE245" s="20">
        <f t="shared" si="207"/>
        <v>-2.3871449919616546E-3</v>
      </c>
      <c r="AF245" s="20">
        <f t="shared" si="207"/>
        <v>-1.5578847020880814E-4</v>
      </c>
      <c r="AG245" s="20">
        <f t="shared" si="207"/>
        <v>-2.3724767932626258E-3</v>
      </c>
      <c r="AH245" s="20">
        <f t="shared" si="207"/>
        <v>-8.9651534113259547E-5</v>
      </c>
      <c r="AI245" s="20">
        <f t="shared" si="207"/>
        <v>-2.1537595239348346E-4</v>
      </c>
      <c r="AJ245" s="20">
        <f t="shared" si="207"/>
        <v>-9.9924863940631155E-3</v>
      </c>
      <c r="AK245" s="20">
        <f t="shared" si="207"/>
        <v>-4.5227426002559454E-3</v>
      </c>
      <c r="AL245" s="20">
        <f t="shared" ref="AL245:BK245" si="208">AL177-AL96</f>
        <v>-1.5967902251006507E-4</v>
      </c>
      <c r="AM245" s="20">
        <f t="shared" si="208"/>
        <v>0</v>
      </c>
      <c r="AN245" s="20">
        <f t="shared" si="208"/>
        <v>0</v>
      </c>
      <c r="AO245" s="20">
        <f t="shared" si="208"/>
        <v>-3.9517935926092066E-4</v>
      </c>
      <c r="AP245" s="20">
        <f t="shared" si="208"/>
        <v>-3.6615770181659029E-3</v>
      </c>
      <c r="AQ245" s="20">
        <f t="shared" si="208"/>
        <v>-4.8474185142191413E-3</v>
      </c>
      <c r="AR245" s="20">
        <f t="shared" si="208"/>
        <v>-2.2936881573951531E-2</v>
      </c>
      <c r="AS245" s="20">
        <f t="shared" si="208"/>
        <v>-6.1251508058215694E-4</v>
      </c>
      <c r="AT245" s="20">
        <f t="shared" si="208"/>
        <v>-6.1359330346148677E-5</v>
      </c>
      <c r="AU245" s="20">
        <f t="shared" si="208"/>
        <v>-9.8213970116695364E-4</v>
      </c>
      <c r="AV245" s="20">
        <f t="shared" si="208"/>
        <v>-2.6020236691947089E-3</v>
      </c>
      <c r="AW245" s="20">
        <f t="shared" si="208"/>
        <v>-3.4828840248847751E-3</v>
      </c>
      <c r="AX245" s="20">
        <f t="shared" si="208"/>
        <v>-3.8723231077611706E-3</v>
      </c>
      <c r="AY245" s="20">
        <f t="shared" si="208"/>
        <v>-4.7923732903111163E-4</v>
      </c>
      <c r="AZ245" s="20">
        <f t="shared" si="208"/>
        <v>-4.5668909724681718E-4</v>
      </c>
      <c r="BA245" s="20">
        <f t="shared" si="208"/>
        <v>-2.2139822521097222E-3</v>
      </c>
      <c r="BB245" s="20">
        <f t="shared" si="208"/>
        <v>-7.1823557976442777E-4</v>
      </c>
      <c r="BC245" s="20">
        <f t="shared" si="208"/>
        <v>-3.0647141070827754E-3</v>
      </c>
      <c r="BD245" s="20">
        <f t="shared" si="208"/>
        <v>-1.4375631362188206E-2</v>
      </c>
      <c r="BE245" s="20">
        <f t="shared" si="208"/>
        <v>-1.4455330240158142E-3</v>
      </c>
      <c r="BF245" s="20">
        <f t="shared" si="208"/>
        <v>-4.03507248439674E-4</v>
      </c>
      <c r="BG245" s="20">
        <f t="shared" si="208"/>
        <v>-4.9576764459043614E-3</v>
      </c>
      <c r="BH245" s="20">
        <f t="shared" si="208"/>
        <v>-1.6492604921904679E-2</v>
      </c>
      <c r="BI245" s="20">
        <f t="shared" si="208"/>
        <v>-7.3123385103351197E-4</v>
      </c>
      <c r="BJ245" s="20">
        <f t="shared" si="208"/>
        <v>-4.3460142099579257E-3</v>
      </c>
      <c r="BK245" s="20">
        <f t="shared" si="208"/>
        <v>-3.031108905683812E-3</v>
      </c>
      <c r="BL245" s="20">
        <f t="shared" ref="BL245:BR245" si="209">BL177-BL96</f>
        <v>-3.8741490957987755E-3</v>
      </c>
      <c r="BM245" s="20">
        <f t="shared" si="209"/>
        <v>-1.3399286782468654E-3</v>
      </c>
      <c r="BN245" s="20">
        <f t="shared" si="209"/>
        <v>-1.1576086540088094E-3</v>
      </c>
      <c r="BO245" s="20">
        <f t="shared" si="209"/>
        <v>-9.7928876015048057E-4</v>
      </c>
      <c r="BP245" s="20">
        <f t="shared" si="209"/>
        <v>-8.8110088110088108E-3</v>
      </c>
      <c r="BQ245" s="20">
        <f t="shared" si="209"/>
        <v>-4.9508992974380524E-3</v>
      </c>
      <c r="BR245" s="20">
        <f t="shared" si="209"/>
        <v>0</v>
      </c>
    </row>
    <row r="246" spans="1:70" outlineLevel="1" x14ac:dyDescent="0.3">
      <c r="A246" s="7">
        <v>9</v>
      </c>
      <c r="B246" s="150" t="s">
        <v>123</v>
      </c>
      <c r="C246" s="150"/>
      <c r="D246" s="150"/>
      <c r="E246" s="150"/>
      <c r="F246" s="20">
        <f t="shared" ref="F246:AK246" si="210">F178-F97</f>
        <v>-7.0545257889516284E-5</v>
      </c>
      <c r="G246" s="20">
        <f t="shared" si="210"/>
        <v>-1.4649221288264569E-3</v>
      </c>
      <c r="H246" s="20">
        <f t="shared" si="210"/>
        <v>-7.8674803836094158E-4</v>
      </c>
      <c r="I246" s="20">
        <f t="shared" si="210"/>
        <v>0</v>
      </c>
      <c r="J246" s="20">
        <f t="shared" si="210"/>
        <v>-2.5570998677691419E-3</v>
      </c>
      <c r="K246" s="20">
        <f t="shared" si="210"/>
        <v>-2.0579236600925194E-3</v>
      </c>
      <c r="L246" s="20">
        <f t="shared" si="210"/>
        <v>-1.8060554848960486E-3</v>
      </c>
      <c r="M246" s="20">
        <f t="shared" si="210"/>
        <v>-7.2604776092740145E-4</v>
      </c>
      <c r="N246" s="20">
        <f t="shared" si="210"/>
        <v>0.93712047144742616</v>
      </c>
      <c r="O246" s="20">
        <f t="shared" si="210"/>
        <v>0</v>
      </c>
      <c r="P246" s="20">
        <f t="shared" si="210"/>
        <v>-3.0746949195242817E-4</v>
      </c>
      <c r="Q246" s="20">
        <f t="shared" si="210"/>
        <v>0</v>
      </c>
      <c r="R246" s="20">
        <f t="shared" si="210"/>
        <v>0</v>
      </c>
      <c r="S246" s="20">
        <f t="shared" si="210"/>
        <v>-4.8603431245076555E-4</v>
      </c>
      <c r="T246" s="20">
        <f t="shared" si="210"/>
        <v>0</v>
      </c>
      <c r="U246" s="20">
        <f t="shared" si="210"/>
        <v>-2.2239864281631581E-4</v>
      </c>
      <c r="V246" s="20">
        <f t="shared" si="210"/>
        <v>-5.6995486280312599E-5</v>
      </c>
      <c r="W246" s="20">
        <f t="shared" si="210"/>
        <v>0</v>
      </c>
      <c r="X246" s="20">
        <f t="shared" si="210"/>
        <v>-3.1628165274443458E-4</v>
      </c>
      <c r="Y246" s="20">
        <f t="shared" si="210"/>
        <v>-2.5345543238475737E-5</v>
      </c>
      <c r="Z246" s="20">
        <f t="shared" si="210"/>
        <v>0</v>
      </c>
      <c r="AA246" s="20">
        <f t="shared" si="210"/>
        <v>0</v>
      </c>
      <c r="AB246" s="20">
        <f t="shared" si="210"/>
        <v>0</v>
      </c>
      <c r="AC246" s="20">
        <f t="shared" si="210"/>
        <v>0</v>
      </c>
      <c r="AD246" s="20">
        <f t="shared" si="210"/>
        <v>0</v>
      </c>
      <c r="AE246" s="20">
        <f t="shared" si="210"/>
        <v>0</v>
      </c>
      <c r="AF246" s="20">
        <f t="shared" si="210"/>
        <v>0</v>
      </c>
      <c r="AG246" s="20">
        <f t="shared" si="210"/>
        <v>0</v>
      </c>
      <c r="AH246" s="20">
        <f t="shared" si="210"/>
        <v>0</v>
      </c>
      <c r="AI246" s="20">
        <f t="shared" si="210"/>
        <v>-2.6810856991900541E-3</v>
      </c>
      <c r="AJ246" s="20">
        <f t="shared" si="210"/>
        <v>-5.209987180141421E-3</v>
      </c>
      <c r="AK246" s="20">
        <f t="shared" si="210"/>
        <v>-9.1057468754061812E-4</v>
      </c>
      <c r="AL246" s="20">
        <f t="shared" ref="AL246:BK246" si="211">AL178-AL97</f>
        <v>0</v>
      </c>
      <c r="AM246" s="20">
        <f t="shared" si="211"/>
        <v>0</v>
      </c>
      <c r="AN246" s="20">
        <f t="shared" si="211"/>
        <v>0</v>
      </c>
      <c r="AO246" s="20">
        <f t="shared" si="211"/>
        <v>-1.7695319129203523E-4</v>
      </c>
      <c r="AP246" s="20">
        <f t="shared" si="211"/>
        <v>-6.0062367950063957E-3</v>
      </c>
      <c r="AQ246" s="20">
        <f t="shared" si="211"/>
        <v>-7.6035191831327908E-4</v>
      </c>
      <c r="AR246" s="20">
        <f t="shared" si="211"/>
        <v>-0.18079056638333954</v>
      </c>
      <c r="AS246" s="20">
        <f t="shared" si="211"/>
        <v>-9.0910915479608979E-3</v>
      </c>
      <c r="AT246" s="20">
        <f t="shared" si="211"/>
        <v>-5.9893127743109887E-3</v>
      </c>
      <c r="AU246" s="20">
        <f t="shared" si="211"/>
        <v>-8.1316875129395019E-3</v>
      </c>
      <c r="AV246" s="20">
        <f t="shared" si="211"/>
        <v>-3.1906336414925084E-3</v>
      </c>
      <c r="AW246" s="20">
        <f t="shared" si="211"/>
        <v>-2.9782965866505849E-3</v>
      </c>
      <c r="AX246" s="20">
        <f t="shared" si="211"/>
        <v>-2.9894894921196008E-3</v>
      </c>
      <c r="AY246" s="20">
        <f t="shared" si="211"/>
        <v>0</v>
      </c>
      <c r="AZ246" s="20">
        <f t="shared" si="211"/>
        <v>-1.5684541007485441E-4</v>
      </c>
      <c r="BA246" s="20">
        <f t="shared" si="211"/>
        <v>-3.6923058444994416E-3</v>
      </c>
      <c r="BB246" s="20">
        <f t="shared" si="211"/>
        <v>-4.3568441300804433E-3</v>
      </c>
      <c r="BC246" s="20">
        <f t="shared" si="211"/>
        <v>-5.8852267436479998E-2</v>
      </c>
      <c r="BD246" s="20">
        <f t="shared" si="211"/>
        <v>-2.3727209149541888E-2</v>
      </c>
      <c r="BE246" s="20">
        <f t="shared" si="211"/>
        <v>-1.0001466270009125E-4</v>
      </c>
      <c r="BF246" s="20">
        <f t="shared" si="211"/>
        <v>-1.7628957456102264E-5</v>
      </c>
      <c r="BG246" s="20">
        <f t="shared" si="211"/>
        <v>-1.0689179067437935E-2</v>
      </c>
      <c r="BH246" s="20">
        <f t="shared" si="211"/>
        <v>-2.6453311512517302E-3</v>
      </c>
      <c r="BI246" s="20">
        <f t="shared" si="211"/>
        <v>-6.3800648223380995E-4</v>
      </c>
      <c r="BJ246" s="20">
        <f t="shared" si="211"/>
        <v>-1.7538790738605605E-3</v>
      </c>
      <c r="BK246" s="20">
        <f t="shared" si="211"/>
        <v>-1.4307214371990544E-4</v>
      </c>
      <c r="BL246" s="20">
        <f t="shared" ref="BL246:BR246" si="212">BL178-BL97</f>
        <v>-7.9920558964389403E-5</v>
      </c>
      <c r="BM246" s="20">
        <f t="shared" si="212"/>
        <v>-1.3440699413321065E-3</v>
      </c>
      <c r="BN246" s="20">
        <f t="shared" si="212"/>
        <v>-4.0875845293030007E-3</v>
      </c>
      <c r="BO246" s="20">
        <f t="shared" si="212"/>
        <v>-4.0120348490487352E-2</v>
      </c>
      <c r="BP246" s="20">
        <f t="shared" si="212"/>
        <v>-5.0335362835362838E-3</v>
      </c>
      <c r="BQ246" s="20">
        <f t="shared" si="212"/>
        <v>-2.7380660744943499E-3</v>
      </c>
      <c r="BR246" s="20">
        <f t="shared" si="212"/>
        <v>0</v>
      </c>
    </row>
    <row r="247" spans="1:70" outlineLevel="1" x14ac:dyDescent="0.3">
      <c r="A247" s="7">
        <v>10</v>
      </c>
      <c r="B247" s="150" t="s">
        <v>124</v>
      </c>
      <c r="C247" s="150"/>
      <c r="D247" s="150"/>
      <c r="E247" s="150"/>
      <c r="F247" s="20">
        <f t="shared" ref="F247:AK247" si="213">F179-F98</f>
        <v>-3.4214450076415402E-2</v>
      </c>
      <c r="G247" s="20">
        <f t="shared" si="213"/>
        <v>-3.8052965830232884E-2</v>
      </c>
      <c r="H247" s="20">
        <f t="shared" si="213"/>
        <v>-9.6525893635571056E-2</v>
      </c>
      <c r="I247" s="20">
        <f t="shared" si="213"/>
        <v>-4.4172073280840787E-2</v>
      </c>
      <c r="J247" s="20">
        <f t="shared" si="213"/>
        <v>-4.1186289573766155E-3</v>
      </c>
      <c r="K247" s="20">
        <f t="shared" si="213"/>
        <v>-1.1444488647124687E-3</v>
      </c>
      <c r="L247" s="20">
        <f t="shared" si="213"/>
        <v>-3.9012309817256655E-3</v>
      </c>
      <c r="M247" s="20">
        <f t="shared" si="213"/>
        <v>-1.6274188300295395E-3</v>
      </c>
      <c r="N247" s="20">
        <f t="shared" si="213"/>
        <v>-1.6225704211114556E-3</v>
      </c>
      <c r="O247" s="20">
        <f t="shared" si="213"/>
        <v>0.99193539706800427</v>
      </c>
      <c r="P247" s="20">
        <f t="shared" si="213"/>
        <v>-4.3822417700976248E-3</v>
      </c>
      <c r="Q247" s="20">
        <f t="shared" si="213"/>
        <v>-7.8516075796160423E-5</v>
      </c>
      <c r="R247" s="20">
        <f t="shared" si="213"/>
        <v>-1.4967693460579674E-3</v>
      </c>
      <c r="S247" s="20">
        <f t="shared" si="213"/>
        <v>-5.2756512288261925E-3</v>
      </c>
      <c r="T247" s="20">
        <f t="shared" si="213"/>
        <v>-1.3235593880385988E-3</v>
      </c>
      <c r="U247" s="20">
        <f t="shared" si="213"/>
        <v>-2.1719320684661738E-3</v>
      </c>
      <c r="V247" s="20">
        <f t="shared" si="213"/>
        <v>0</v>
      </c>
      <c r="W247" s="20">
        <f t="shared" si="213"/>
        <v>-1.9320175361955331E-4</v>
      </c>
      <c r="X247" s="20">
        <f t="shared" si="213"/>
        <v>-9.9210427999149109E-4</v>
      </c>
      <c r="Y247" s="20">
        <f t="shared" si="213"/>
        <v>-3.3225484643423643E-4</v>
      </c>
      <c r="Z247" s="20">
        <f t="shared" si="213"/>
        <v>-6.5342310427223395E-4</v>
      </c>
      <c r="AA247" s="20">
        <f t="shared" si="213"/>
        <v>-9.4810922261894335E-3</v>
      </c>
      <c r="AB247" s="20">
        <f t="shared" si="213"/>
        <v>-5.4523991993670135E-3</v>
      </c>
      <c r="AC247" s="20">
        <f t="shared" si="213"/>
        <v>-3.7350997038753087E-3</v>
      </c>
      <c r="AD247" s="20">
        <f t="shared" si="213"/>
        <v>0</v>
      </c>
      <c r="AE247" s="20">
        <f t="shared" si="213"/>
        <v>-8.3243798087036192E-2</v>
      </c>
      <c r="AF247" s="20">
        <f t="shared" si="213"/>
        <v>-5.6187020447494643E-3</v>
      </c>
      <c r="AG247" s="20">
        <f t="shared" si="213"/>
        <v>-8.7928134202779704E-3</v>
      </c>
      <c r="AH247" s="20">
        <f t="shared" si="213"/>
        <v>-2.4758554659747876E-2</v>
      </c>
      <c r="AI247" s="20">
        <f t="shared" si="213"/>
        <v>-9.4389852445756189E-3</v>
      </c>
      <c r="AJ247" s="20">
        <f t="shared" si="213"/>
        <v>-8.6326993994732225E-3</v>
      </c>
      <c r="AK247" s="20">
        <f t="shared" si="213"/>
        <v>-3.6428182473598374E-3</v>
      </c>
      <c r="AL247" s="20">
        <f t="shared" ref="AL247:BK247" si="214">AL179-AL98</f>
        <v>-9.4703691640149093E-2</v>
      </c>
      <c r="AM247" s="20">
        <f t="shared" si="214"/>
        <v>-0.18179633268461837</v>
      </c>
      <c r="AN247" s="20">
        <f t="shared" si="214"/>
        <v>-0.11606601203690832</v>
      </c>
      <c r="AO247" s="20">
        <f t="shared" si="214"/>
        <v>-5.2639951618839928E-3</v>
      </c>
      <c r="AP247" s="20">
        <f t="shared" si="214"/>
        <v>-6.7630408674199099E-3</v>
      </c>
      <c r="AQ247" s="20">
        <f t="shared" si="214"/>
        <v>-1.4865720170890145E-3</v>
      </c>
      <c r="AR247" s="20">
        <f t="shared" si="214"/>
        <v>-1.6855275112782958E-3</v>
      </c>
      <c r="AS247" s="20">
        <f t="shared" si="214"/>
        <v>-1.4844570581584555E-3</v>
      </c>
      <c r="AT247" s="20">
        <f t="shared" si="214"/>
        <v>-6.8815202463791154E-4</v>
      </c>
      <c r="AU247" s="20">
        <f t="shared" si="214"/>
        <v>-1.9329300416925457E-3</v>
      </c>
      <c r="AV247" s="20">
        <f t="shared" si="214"/>
        <v>-5.2157855587763589E-4</v>
      </c>
      <c r="AW247" s="20">
        <f t="shared" si="214"/>
        <v>-9.3259792107240548E-4</v>
      </c>
      <c r="AX247" s="20">
        <f t="shared" si="214"/>
        <v>-1.6161927566771591E-3</v>
      </c>
      <c r="AY247" s="20">
        <f t="shared" si="214"/>
        <v>-1.1394436336632969E-3</v>
      </c>
      <c r="AZ247" s="20">
        <f t="shared" si="214"/>
        <v>-1.8865387227084993E-3</v>
      </c>
      <c r="BA247" s="20">
        <f t="shared" si="214"/>
        <v>-6.1221480298694099E-3</v>
      </c>
      <c r="BB247" s="20">
        <f t="shared" si="214"/>
        <v>-2.1750341613620875E-3</v>
      </c>
      <c r="BC247" s="20">
        <f t="shared" si="214"/>
        <v>-2.415112369263615E-3</v>
      </c>
      <c r="BD247" s="20">
        <f t="shared" si="214"/>
        <v>-4.8206048361460595E-3</v>
      </c>
      <c r="BE247" s="20">
        <f t="shared" si="214"/>
        <v>-9.7634497240971646E-3</v>
      </c>
      <c r="BF247" s="20">
        <f t="shared" si="214"/>
        <v>-3.2920445738395406E-3</v>
      </c>
      <c r="BG247" s="20">
        <f t="shared" si="214"/>
        <v>-1.3333273171920262E-3</v>
      </c>
      <c r="BH247" s="20">
        <f t="shared" si="214"/>
        <v>-1.1353111990201887E-2</v>
      </c>
      <c r="BI247" s="20">
        <f t="shared" si="214"/>
        <v>-5.0850692411101624E-3</v>
      </c>
      <c r="BJ247" s="20">
        <f t="shared" si="214"/>
        <v>-4.2628276227852282E-3</v>
      </c>
      <c r="BK247" s="20">
        <f t="shared" si="214"/>
        <v>-2.7841868881734459E-3</v>
      </c>
      <c r="BL247" s="20">
        <f t="shared" ref="BL247:BR247" si="215">BL179-BL98</f>
        <v>-7.0679744334131876E-3</v>
      </c>
      <c r="BM247" s="20">
        <f t="shared" si="215"/>
        <v>-2.7590014954561141E-3</v>
      </c>
      <c r="BN247" s="20">
        <f t="shared" si="215"/>
        <v>-8.1910832305297464E-3</v>
      </c>
      <c r="BO247" s="20">
        <f t="shared" si="215"/>
        <v>-6.7527878790596312E-3</v>
      </c>
      <c r="BP247" s="20">
        <f t="shared" si="215"/>
        <v>-7.6013513513513518E-3</v>
      </c>
      <c r="BQ247" s="20">
        <f t="shared" si="215"/>
        <v>-2.3922793795195479E-3</v>
      </c>
      <c r="BR247" s="20">
        <f t="shared" si="215"/>
        <v>0</v>
      </c>
    </row>
    <row r="248" spans="1:70" outlineLevel="1" x14ac:dyDescent="0.3">
      <c r="A248" s="7">
        <v>11</v>
      </c>
      <c r="B248" s="150" t="s">
        <v>125</v>
      </c>
      <c r="C248" s="150"/>
      <c r="D248" s="150"/>
      <c r="E248" s="150"/>
      <c r="F248" s="20">
        <f t="shared" ref="F248:AK248" si="216">F180-F99</f>
        <v>-4.675907966009353E-2</v>
      </c>
      <c r="G248" s="20">
        <f t="shared" si="216"/>
        <v>-1.2734176769016716E-2</v>
      </c>
      <c r="H248" s="20">
        <f t="shared" si="216"/>
        <v>-3.664516129032258E-3</v>
      </c>
      <c r="I248" s="20">
        <f t="shared" si="216"/>
        <v>-5.7030377797638331E-2</v>
      </c>
      <c r="J248" s="20">
        <f t="shared" si="216"/>
        <v>-1.1977268735789514E-2</v>
      </c>
      <c r="K248" s="20">
        <f t="shared" si="216"/>
        <v>-3.2413786429592834E-2</v>
      </c>
      <c r="L248" s="20">
        <f t="shared" si="216"/>
        <v>-2.067684158528145E-2</v>
      </c>
      <c r="M248" s="20">
        <f t="shared" si="216"/>
        <v>-2.3457084707698781E-2</v>
      </c>
      <c r="N248" s="20">
        <f t="shared" si="216"/>
        <v>-4.1957182803034468E-2</v>
      </c>
      <c r="O248" s="20">
        <f t="shared" si="216"/>
        <v>-1.8625815340236367E-2</v>
      </c>
      <c r="P248" s="20">
        <f t="shared" si="216"/>
        <v>0.84553686262391348</v>
      </c>
      <c r="Q248" s="20">
        <f t="shared" si="216"/>
        <v>-7.0579285681482504E-3</v>
      </c>
      <c r="R248" s="20">
        <f t="shared" si="216"/>
        <v>-9.3950717066940581E-2</v>
      </c>
      <c r="S248" s="20">
        <f t="shared" si="216"/>
        <v>-2.1177379424912584E-2</v>
      </c>
      <c r="T248" s="20">
        <f t="shared" si="216"/>
        <v>-1.2609230767327293E-3</v>
      </c>
      <c r="U248" s="20">
        <f t="shared" si="216"/>
        <v>-8.483756704546333E-3</v>
      </c>
      <c r="V248" s="20">
        <f t="shared" si="216"/>
        <v>-1.5539618959570776E-3</v>
      </c>
      <c r="W248" s="20">
        <f t="shared" si="216"/>
        <v>-1.4061789971233907E-3</v>
      </c>
      <c r="X248" s="20">
        <f t="shared" si="216"/>
        <v>-2.8869340760112761E-3</v>
      </c>
      <c r="Y248" s="20">
        <f t="shared" si="216"/>
        <v>-7.1133288127775167E-3</v>
      </c>
      <c r="Z248" s="20">
        <f t="shared" si="216"/>
        <v>-3.0626538800733712E-3</v>
      </c>
      <c r="AA248" s="20">
        <f t="shared" si="216"/>
        <v>-1.5120247518404892E-2</v>
      </c>
      <c r="AB248" s="20">
        <f t="shared" si="216"/>
        <v>-1.519695563696196E-2</v>
      </c>
      <c r="AC248" s="20">
        <f t="shared" si="216"/>
        <v>-1.7744306360265819E-4</v>
      </c>
      <c r="AD248" s="20">
        <f t="shared" si="216"/>
        <v>-4.6145714847074532E-5</v>
      </c>
      <c r="AE248" s="20">
        <f t="shared" si="216"/>
        <v>0</v>
      </c>
      <c r="AF248" s="20">
        <f t="shared" si="216"/>
        <v>-2.6559354891293695E-2</v>
      </c>
      <c r="AG248" s="20">
        <f t="shared" si="216"/>
        <v>-9.8250427319944225E-3</v>
      </c>
      <c r="AH248" s="20">
        <f t="shared" si="216"/>
        <v>-7.7315696938336908E-3</v>
      </c>
      <c r="AI248" s="20">
        <f t="shared" si="216"/>
        <v>-1.007719298962772E-2</v>
      </c>
      <c r="AJ248" s="20">
        <f t="shared" si="216"/>
        <v>0</v>
      </c>
      <c r="AK248" s="20">
        <f t="shared" si="216"/>
        <v>-2.2966971095487636E-3</v>
      </c>
      <c r="AL248" s="20">
        <f t="shared" ref="AL248:BK248" si="217">AL180-AL99</f>
        <v>0</v>
      </c>
      <c r="AM248" s="20">
        <f t="shared" si="217"/>
        <v>0</v>
      </c>
      <c r="AN248" s="20">
        <f t="shared" si="217"/>
        <v>0</v>
      </c>
      <c r="AO248" s="20">
        <f t="shared" si="217"/>
        <v>-1.6456056409478593E-3</v>
      </c>
      <c r="AP248" s="20">
        <f t="shared" si="217"/>
        <v>0</v>
      </c>
      <c r="AQ248" s="20">
        <f t="shared" si="217"/>
        <v>-3.446088528487992E-3</v>
      </c>
      <c r="AR248" s="20">
        <f t="shared" si="217"/>
        <v>-1.8777953130326029E-3</v>
      </c>
      <c r="AS248" s="20">
        <f t="shared" si="217"/>
        <v>-2.649276392226708E-3</v>
      </c>
      <c r="AT248" s="20">
        <f t="shared" si="217"/>
        <v>-2.9728357725847227E-4</v>
      </c>
      <c r="AU248" s="20">
        <f t="shared" si="217"/>
        <v>-2.9034978312133592E-4</v>
      </c>
      <c r="AV248" s="20">
        <f t="shared" si="217"/>
        <v>-4.5485603999397028E-4</v>
      </c>
      <c r="AW248" s="20">
        <f t="shared" si="217"/>
        <v>-4.6219662363998975E-4</v>
      </c>
      <c r="AX248" s="20">
        <f t="shared" si="217"/>
        <v>-8.0751249367215006E-4</v>
      </c>
      <c r="AY248" s="20">
        <f t="shared" si="217"/>
        <v>-6.0739383636923454E-3</v>
      </c>
      <c r="AZ248" s="20">
        <f t="shared" si="217"/>
        <v>-1.0119058714506736E-4</v>
      </c>
      <c r="BA248" s="20">
        <f t="shared" si="217"/>
        <v>-8.6200511524651725E-3</v>
      </c>
      <c r="BB248" s="20">
        <f t="shared" si="217"/>
        <v>-1.6663216024031528E-2</v>
      </c>
      <c r="BC248" s="20">
        <f t="shared" si="217"/>
        <v>-1.2748120244115383E-3</v>
      </c>
      <c r="BD248" s="20">
        <f t="shared" si="217"/>
        <v>-1.8437541943641875E-2</v>
      </c>
      <c r="BE248" s="20">
        <f t="shared" si="217"/>
        <v>-5.2209489060873323E-3</v>
      </c>
      <c r="BF248" s="20">
        <f t="shared" si="217"/>
        <v>0</v>
      </c>
      <c r="BG248" s="20">
        <f t="shared" si="217"/>
        <v>-5.2453232021513715E-4</v>
      </c>
      <c r="BH248" s="20">
        <f t="shared" si="217"/>
        <v>-1.2386324086939658E-2</v>
      </c>
      <c r="BI248" s="20">
        <f t="shared" si="217"/>
        <v>-1.5312888493177474E-3</v>
      </c>
      <c r="BJ248" s="20">
        <f t="shared" si="217"/>
        <v>-4.1406152292846003E-3</v>
      </c>
      <c r="BK248" s="20">
        <f t="shared" si="217"/>
        <v>-3.1276788884646413E-3</v>
      </c>
      <c r="BL248" s="20">
        <f t="shared" ref="BL248:BR248" si="218">BL180-BL99</f>
        <v>-5.6713626655104819E-3</v>
      </c>
      <c r="BM248" s="20">
        <f t="shared" si="218"/>
        <v>-3.3792706775566551E-3</v>
      </c>
      <c r="BN248" s="20">
        <f t="shared" si="218"/>
        <v>-8.4692865323078327E-3</v>
      </c>
      <c r="BO248" s="20">
        <f t="shared" si="218"/>
        <v>-8.5553248826333178E-4</v>
      </c>
      <c r="BP248" s="20">
        <f t="shared" si="218"/>
        <v>-8.7243837243837247E-4</v>
      </c>
      <c r="BQ248" s="20">
        <f t="shared" si="218"/>
        <v>-6.011345432843284E-2</v>
      </c>
      <c r="BR248" s="20">
        <f t="shared" si="218"/>
        <v>0</v>
      </c>
    </row>
    <row r="249" spans="1:70" outlineLevel="1" x14ac:dyDescent="0.3">
      <c r="A249" s="7">
        <v>12</v>
      </c>
      <c r="B249" s="150" t="s">
        <v>126</v>
      </c>
      <c r="C249" s="150"/>
      <c r="D249" s="150"/>
      <c r="E249" s="150"/>
      <c r="F249" s="20">
        <f t="shared" ref="F249:AK249" si="219">F181-F100</f>
        <v>-3.2874090176514587E-3</v>
      </c>
      <c r="G249" s="20">
        <f t="shared" si="219"/>
        <v>0</v>
      </c>
      <c r="H249" s="20">
        <f t="shared" si="219"/>
        <v>-5.1612903225806451E-5</v>
      </c>
      <c r="I249" s="20">
        <f t="shared" si="219"/>
        <v>0</v>
      </c>
      <c r="J249" s="20">
        <f t="shared" si="219"/>
        <v>-5.6984687524857267E-4</v>
      </c>
      <c r="K249" s="20">
        <f t="shared" si="219"/>
        <v>0</v>
      </c>
      <c r="L249" s="20">
        <f t="shared" si="219"/>
        <v>0</v>
      </c>
      <c r="M249" s="20">
        <f t="shared" si="219"/>
        <v>0</v>
      </c>
      <c r="N249" s="20">
        <f t="shared" si="219"/>
        <v>-7.2575034810097059E-6</v>
      </c>
      <c r="O249" s="20">
        <f t="shared" si="219"/>
        <v>0</v>
      </c>
      <c r="P249" s="20">
        <f t="shared" si="219"/>
        <v>-3.3756489126563258E-4</v>
      </c>
      <c r="Q249" s="20">
        <f t="shared" si="219"/>
        <v>0.96080529346494403</v>
      </c>
      <c r="R249" s="20">
        <f t="shared" si="219"/>
        <v>-6.9447981147188054E-6</v>
      </c>
      <c r="S249" s="20">
        <f t="shared" si="219"/>
        <v>0</v>
      </c>
      <c r="T249" s="20">
        <f t="shared" si="219"/>
        <v>0</v>
      </c>
      <c r="U249" s="20">
        <f t="shared" si="219"/>
        <v>-1.7832651772213178E-6</v>
      </c>
      <c r="V249" s="20">
        <f t="shared" si="219"/>
        <v>0</v>
      </c>
      <c r="W249" s="20">
        <f t="shared" si="219"/>
        <v>0</v>
      </c>
      <c r="X249" s="20">
        <f t="shared" si="219"/>
        <v>0</v>
      </c>
      <c r="Y249" s="20">
        <f t="shared" si="219"/>
        <v>-9.609684640180373E-7</v>
      </c>
      <c r="Z249" s="20">
        <f t="shared" si="219"/>
        <v>0</v>
      </c>
      <c r="AA249" s="20">
        <f t="shared" si="219"/>
        <v>-4.3619450455548929E-4</v>
      </c>
      <c r="AB249" s="20">
        <f t="shared" si="219"/>
        <v>-1.5925651291162468E-5</v>
      </c>
      <c r="AC249" s="20">
        <f t="shared" si="219"/>
        <v>0</v>
      </c>
      <c r="AD249" s="20">
        <f t="shared" si="219"/>
        <v>0</v>
      </c>
      <c r="AE249" s="20">
        <f t="shared" si="219"/>
        <v>0</v>
      </c>
      <c r="AF249" s="20">
        <f t="shared" si="219"/>
        <v>0</v>
      </c>
      <c r="AG249" s="20">
        <f t="shared" si="219"/>
        <v>0</v>
      </c>
      <c r="AH249" s="20">
        <f t="shared" si="219"/>
        <v>-2.4795163990109746E-6</v>
      </c>
      <c r="AI249" s="20">
        <f t="shared" si="219"/>
        <v>0</v>
      </c>
      <c r="AJ249" s="20">
        <f t="shared" si="219"/>
        <v>0</v>
      </c>
      <c r="AK249" s="20">
        <f t="shared" si="219"/>
        <v>0</v>
      </c>
      <c r="AL249" s="20">
        <f t="shared" ref="AL249:BK249" si="220">AL181-AL100</f>
        <v>0</v>
      </c>
      <c r="AM249" s="20">
        <f t="shared" si="220"/>
        <v>0</v>
      </c>
      <c r="AN249" s="20">
        <f t="shared" si="220"/>
        <v>0</v>
      </c>
      <c r="AO249" s="20">
        <f t="shared" si="220"/>
        <v>0</v>
      </c>
      <c r="AP249" s="20">
        <f t="shared" si="220"/>
        <v>-2.6051775298227699E-6</v>
      </c>
      <c r="AQ249" s="20">
        <f t="shared" si="220"/>
        <v>0</v>
      </c>
      <c r="AR249" s="20">
        <f t="shared" si="220"/>
        <v>0</v>
      </c>
      <c r="AS249" s="20">
        <f t="shared" si="220"/>
        <v>0</v>
      </c>
      <c r="AT249" s="20">
        <f t="shared" si="220"/>
        <v>0</v>
      </c>
      <c r="AU249" s="20">
        <f t="shared" si="220"/>
        <v>0</v>
      </c>
      <c r="AV249" s="20">
        <f t="shared" si="220"/>
        <v>0</v>
      </c>
      <c r="AW249" s="20">
        <f t="shared" si="220"/>
        <v>0</v>
      </c>
      <c r="AX249" s="20">
        <f t="shared" si="220"/>
        <v>0</v>
      </c>
      <c r="AY249" s="20">
        <f t="shared" si="220"/>
        <v>0</v>
      </c>
      <c r="AZ249" s="20">
        <f t="shared" si="220"/>
        <v>-2.9691448596513185E-5</v>
      </c>
      <c r="BA249" s="20">
        <f t="shared" si="220"/>
        <v>-8.5409803577469697E-5</v>
      </c>
      <c r="BB249" s="20">
        <f t="shared" si="220"/>
        <v>-1.2053408419317074E-3</v>
      </c>
      <c r="BC249" s="20">
        <f t="shared" si="220"/>
        <v>-1.6978960938525651E-2</v>
      </c>
      <c r="BD249" s="20">
        <f t="shared" si="220"/>
        <v>0</v>
      </c>
      <c r="BE249" s="20">
        <f t="shared" si="220"/>
        <v>-1.8351314256897478E-6</v>
      </c>
      <c r="BF249" s="20">
        <f t="shared" si="220"/>
        <v>0</v>
      </c>
      <c r="BG249" s="20">
        <f t="shared" si="220"/>
        <v>0</v>
      </c>
      <c r="BH249" s="20">
        <f t="shared" si="220"/>
        <v>0</v>
      </c>
      <c r="BI249" s="20">
        <f t="shared" si="220"/>
        <v>-2.8004856618212378E-4</v>
      </c>
      <c r="BJ249" s="20">
        <f t="shared" si="220"/>
        <v>-4.2038324711140564E-4</v>
      </c>
      <c r="BK249" s="20">
        <f t="shared" si="220"/>
        <v>-0.11702974504038853</v>
      </c>
      <c r="BL249" s="20">
        <f t="shared" ref="BL249:BR249" si="221">BL181-BL100</f>
        <v>-2.0616507191851298E-2</v>
      </c>
      <c r="BM249" s="20">
        <f t="shared" si="221"/>
        <v>-1.1365466467272519E-4</v>
      </c>
      <c r="BN249" s="20">
        <f t="shared" si="221"/>
        <v>-1.9745361460944561E-4</v>
      </c>
      <c r="BO249" s="20">
        <f t="shared" si="221"/>
        <v>0</v>
      </c>
      <c r="BP249" s="20">
        <f t="shared" si="221"/>
        <v>0</v>
      </c>
      <c r="BQ249" s="20">
        <f t="shared" si="221"/>
        <v>-3.8308730055517409E-5</v>
      </c>
      <c r="BR249" s="20">
        <f t="shared" si="221"/>
        <v>0</v>
      </c>
    </row>
    <row r="250" spans="1:70" outlineLevel="1" x14ac:dyDescent="0.3">
      <c r="A250" s="7">
        <v>13</v>
      </c>
      <c r="B250" s="150" t="s">
        <v>8</v>
      </c>
      <c r="C250" s="150"/>
      <c r="D250" s="150"/>
      <c r="E250" s="150"/>
      <c r="F250" s="20">
        <f t="shared" ref="F250:AK250" si="222">F182-F101</f>
        <v>-1.3095529799417179E-3</v>
      </c>
      <c r="G250" s="20">
        <f t="shared" si="222"/>
        <v>-5.6081915606576837E-3</v>
      </c>
      <c r="H250" s="20">
        <f t="shared" si="222"/>
        <v>-9.6000000000000009E-3</v>
      </c>
      <c r="I250" s="20">
        <f t="shared" si="222"/>
        <v>-1.1767429842283298E-2</v>
      </c>
      <c r="J250" s="20">
        <f t="shared" si="222"/>
        <v>-1.7492581210932241E-2</v>
      </c>
      <c r="K250" s="20">
        <f t="shared" si="222"/>
        <v>-1.0166261983507898E-2</v>
      </c>
      <c r="L250" s="20">
        <f t="shared" si="222"/>
        <v>-5.6848430156169385E-3</v>
      </c>
      <c r="M250" s="20">
        <f t="shared" si="222"/>
        <v>-9.9150817601235171E-3</v>
      </c>
      <c r="N250" s="20">
        <f t="shared" si="222"/>
        <v>-9.2273972829980538E-3</v>
      </c>
      <c r="O250" s="20">
        <f t="shared" si="222"/>
        <v>-3.4658687275310526E-4</v>
      </c>
      <c r="P250" s="20">
        <f t="shared" si="222"/>
        <v>-5.0625425834387189E-3</v>
      </c>
      <c r="Q250" s="20">
        <f t="shared" si="222"/>
        <v>-1.9666054833849616E-3</v>
      </c>
      <c r="R250" s="20">
        <f t="shared" si="222"/>
        <v>0.91449299997420508</v>
      </c>
      <c r="S250" s="20">
        <f t="shared" si="222"/>
        <v>-2.5482867111884577E-2</v>
      </c>
      <c r="T250" s="20">
        <f t="shared" si="222"/>
        <v>-2.0894236191167879E-4</v>
      </c>
      <c r="U250" s="20">
        <f t="shared" si="222"/>
        <v>-1.3794829906647768E-3</v>
      </c>
      <c r="V250" s="20">
        <f t="shared" si="222"/>
        <v>-2.2028978085959104E-3</v>
      </c>
      <c r="W250" s="20">
        <f t="shared" si="222"/>
        <v>-2.3384581084204152E-2</v>
      </c>
      <c r="X250" s="20">
        <f t="shared" si="222"/>
        <v>-3.7455660684843923E-3</v>
      </c>
      <c r="Y250" s="20">
        <f t="shared" si="222"/>
        <v>-1.1439368595670716E-2</v>
      </c>
      <c r="Z250" s="20">
        <f t="shared" si="222"/>
        <v>-7.8784462196483905E-3</v>
      </c>
      <c r="AA250" s="20">
        <f t="shared" si="222"/>
        <v>-2.1781534755972057E-2</v>
      </c>
      <c r="AB250" s="20">
        <f t="shared" si="222"/>
        <v>-4.7823565535803003E-3</v>
      </c>
      <c r="AC250" s="20">
        <f t="shared" si="222"/>
        <v>0</v>
      </c>
      <c r="AD250" s="20">
        <f t="shared" si="222"/>
        <v>0</v>
      </c>
      <c r="AE250" s="20">
        <f t="shared" si="222"/>
        <v>0</v>
      </c>
      <c r="AF250" s="20">
        <f t="shared" si="222"/>
        <v>-3.2653676040455483E-3</v>
      </c>
      <c r="AG250" s="20">
        <f t="shared" si="222"/>
        <v>-1.9153719341507263E-2</v>
      </c>
      <c r="AH250" s="20">
        <f t="shared" si="222"/>
        <v>-2.8507388983178037E-2</v>
      </c>
      <c r="AI250" s="20">
        <f t="shared" si="222"/>
        <v>-4.4472707038118224E-2</v>
      </c>
      <c r="AJ250" s="20">
        <f t="shared" si="222"/>
        <v>-1.2222666136200749E-2</v>
      </c>
      <c r="AK250" s="20">
        <f t="shared" si="222"/>
        <v>-1.0253108385505571E-2</v>
      </c>
      <c r="AL250" s="20">
        <f t="shared" ref="AL250:BK250" si="223">AL182-AL101</f>
        <v>-6.2778337527252311E-3</v>
      </c>
      <c r="AM250" s="20">
        <f t="shared" si="223"/>
        <v>0</v>
      </c>
      <c r="AN250" s="20">
        <f t="shared" si="223"/>
        <v>-2.8838696854633484E-4</v>
      </c>
      <c r="AO250" s="20">
        <f t="shared" si="223"/>
        <v>-8.0001949329665668E-4</v>
      </c>
      <c r="AP250" s="20">
        <f t="shared" si="223"/>
        <v>-6.5520214875042649E-4</v>
      </c>
      <c r="AQ250" s="20">
        <f t="shared" si="223"/>
        <v>-2.1037453283165976E-3</v>
      </c>
      <c r="AR250" s="20">
        <f t="shared" si="223"/>
        <v>-7.0720585755685238E-4</v>
      </c>
      <c r="AS250" s="20">
        <f t="shared" si="223"/>
        <v>-1.4123527343520609E-4</v>
      </c>
      <c r="AT250" s="20">
        <f t="shared" si="223"/>
        <v>0</v>
      </c>
      <c r="AU250" s="20">
        <f t="shared" si="223"/>
        <v>-1.3164627485436225E-3</v>
      </c>
      <c r="AV250" s="20">
        <f t="shared" si="223"/>
        <v>-3.2125655795838985E-4</v>
      </c>
      <c r="AW250" s="20">
        <f t="shared" si="223"/>
        <v>-1.6477719866455259E-4</v>
      </c>
      <c r="AX250" s="20">
        <f t="shared" si="223"/>
        <v>-2.8750480974993973E-3</v>
      </c>
      <c r="AY250" s="20">
        <f t="shared" si="223"/>
        <v>-5.6527200817594317E-3</v>
      </c>
      <c r="AZ250" s="20">
        <f t="shared" si="223"/>
        <v>-1.5982786948544585E-3</v>
      </c>
      <c r="BA250" s="20">
        <f t="shared" si="223"/>
        <v>-1.3892438363147805E-3</v>
      </c>
      <c r="BB250" s="20">
        <f t="shared" si="223"/>
        <v>-3.0709464673575478E-3</v>
      </c>
      <c r="BC250" s="20">
        <f t="shared" si="223"/>
        <v>-6.7682690176199536E-3</v>
      </c>
      <c r="BD250" s="20">
        <f t="shared" si="223"/>
        <v>-4.2413410662691881E-3</v>
      </c>
      <c r="BE250" s="20">
        <f t="shared" si="223"/>
        <v>-1.2717460780029951E-4</v>
      </c>
      <c r="BF250" s="20">
        <f t="shared" si="223"/>
        <v>0</v>
      </c>
      <c r="BG250" s="20">
        <f t="shared" si="223"/>
        <v>-2.0530082210570961E-3</v>
      </c>
      <c r="BH250" s="20">
        <f t="shared" si="223"/>
        <v>-1.1450614905990717E-3</v>
      </c>
      <c r="BI250" s="20">
        <f t="shared" si="223"/>
        <v>-9.1702896102348417E-4</v>
      </c>
      <c r="BJ250" s="20">
        <f t="shared" si="223"/>
        <v>-8.1486340054900855E-4</v>
      </c>
      <c r="BK250" s="20">
        <f t="shared" si="223"/>
        <v>-2.3215423860511344E-3</v>
      </c>
      <c r="BL250" s="20">
        <f t="shared" ref="BL250:BR250" si="224">BL182-BL101</f>
        <v>-4.2208045203068149E-3</v>
      </c>
      <c r="BM250" s="20">
        <f t="shared" si="224"/>
        <v>-1.9413321062924194E-3</v>
      </c>
      <c r="BN250" s="20">
        <f t="shared" si="224"/>
        <v>-2.28574661926994E-3</v>
      </c>
      <c r="BO250" s="20">
        <f t="shared" si="224"/>
        <v>-2.2679682000188326E-3</v>
      </c>
      <c r="BP250" s="20">
        <f t="shared" si="224"/>
        <v>-2.2491584991584991E-3</v>
      </c>
      <c r="BQ250" s="20">
        <f t="shared" si="224"/>
        <v>-1.0304040260459038E-2</v>
      </c>
      <c r="BR250" s="20">
        <f t="shared" si="224"/>
        <v>0</v>
      </c>
    </row>
    <row r="251" spans="1:70" outlineLevel="1" x14ac:dyDescent="0.3">
      <c r="A251" s="7">
        <v>14</v>
      </c>
      <c r="B251" s="150" t="s">
        <v>9</v>
      </c>
      <c r="C251" s="150"/>
      <c r="D251" s="150"/>
      <c r="E251" s="150"/>
      <c r="F251" s="20">
        <f t="shared" ref="F251:AK251" si="225">F183-F102</f>
        <v>-1.7135378420943424E-3</v>
      </c>
      <c r="G251" s="20">
        <f t="shared" si="225"/>
        <v>-6.8923502533307858E-4</v>
      </c>
      <c r="H251" s="20">
        <f t="shared" si="225"/>
        <v>-2.1482127288578902E-4</v>
      </c>
      <c r="I251" s="20">
        <f t="shared" si="225"/>
        <v>0</v>
      </c>
      <c r="J251" s="20">
        <f t="shared" si="225"/>
        <v>-2.6162651043631457E-3</v>
      </c>
      <c r="K251" s="20">
        <f t="shared" si="225"/>
        <v>-2.2012722077260823E-5</v>
      </c>
      <c r="L251" s="20">
        <f t="shared" si="225"/>
        <v>-8.1487107597606901E-3</v>
      </c>
      <c r="M251" s="20">
        <f t="shared" si="225"/>
        <v>0</v>
      </c>
      <c r="N251" s="20">
        <f t="shared" si="225"/>
        <v>-1.087588735939883E-3</v>
      </c>
      <c r="O251" s="20">
        <f t="shared" si="225"/>
        <v>-1.3868856693862613E-3</v>
      </c>
      <c r="P251" s="20">
        <f t="shared" si="225"/>
        <v>-3.3591016140648727E-4</v>
      </c>
      <c r="Q251" s="20">
        <f t="shared" si="225"/>
        <v>-1.5473592673413124E-3</v>
      </c>
      <c r="R251" s="20">
        <f t="shared" si="225"/>
        <v>-1.5927729123771515E-2</v>
      </c>
      <c r="S251" s="20">
        <f t="shared" si="225"/>
        <v>0.8973462669421417</v>
      </c>
      <c r="T251" s="20">
        <f t="shared" si="225"/>
        <v>-3.6375457825038382E-4</v>
      </c>
      <c r="U251" s="20">
        <f t="shared" si="225"/>
        <v>-3.5443669158114564E-3</v>
      </c>
      <c r="V251" s="20">
        <f t="shared" si="225"/>
        <v>0</v>
      </c>
      <c r="W251" s="20">
        <f t="shared" si="225"/>
        <v>-3.4288830707321833E-3</v>
      </c>
      <c r="X251" s="20">
        <f t="shared" si="225"/>
        <v>0</v>
      </c>
      <c r="Y251" s="20">
        <f t="shared" si="225"/>
        <v>-3.9135440697134568E-4</v>
      </c>
      <c r="Z251" s="20">
        <f t="shared" si="225"/>
        <v>-5.4601401229545819E-3</v>
      </c>
      <c r="AA251" s="20">
        <f t="shared" si="225"/>
        <v>-2.5873093770906038E-3</v>
      </c>
      <c r="AB251" s="20">
        <f t="shared" si="225"/>
        <v>-3.9262556890504929E-3</v>
      </c>
      <c r="AC251" s="20">
        <f t="shared" si="225"/>
        <v>0</v>
      </c>
      <c r="AD251" s="20">
        <f t="shared" si="225"/>
        <v>0</v>
      </c>
      <c r="AE251" s="20">
        <f t="shared" si="225"/>
        <v>0</v>
      </c>
      <c r="AF251" s="20">
        <f t="shared" si="225"/>
        <v>-4.61381482631649E-3</v>
      </c>
      <c r="AG251" s="20">
        <f t="shared" si="225"/>
        <v>-2.0544369796298301E-4</v>
      </c>
      <c r="AH251" s="20">
        <f t="shared" si="225"/>
        <v>-7.928360645368529E-2</v>
      </c>
      <c r="AI251" s="20">
        <f t="shared" si="225"/>
        <v>-1.1254479334383559E-2</v>
      </c>
      <c r="AJ251" s="20">
        <f t="shared" si="225"/>
        <v>-5.648231063878557E-3</v>
      </c>
      <c r="AK251" s="20">
        <f t="shared" si="225"/>
        <v>-8.9145719067760198E-5</v>
      </c>
      <c r="AL251" s="20">
        <f t="shared" ref="AL251:BK251" si="226">AL183-AL102</f>
        <v>-5.6380945476665995E-4</v>
      </c>
      <c r="AM251" s="20">
        <f t="shared" si="226"/>
        <v>0</v>
      </c>
      <c r="AN251" s="20">
        <f t="shared" si="226"/>
        <v>-3.7022651367434876E-5</v>
      </c>
      <c r="AO251" s="20">
        <f t="shared" si="226"/>
        <v>-6.9096008028318528E-4</v>
      </c>
      <c r="AP251" s="20">
        <f t="shared" si="226"/>
        <v>-3.1262130357873232E-5</v>
      </c>
      <c r="AQ251" s="20">
        <f t="shared" si="226"/>
        <v>-1.7328462226752907E-3</v>
      </c>
      <c r="AR251" s="20">
        <f t="shared" si="226"/>
        <v>-1.562403335391468E-3</v>
      </c>
      <c r="AS251" s="20">
        <f t="shared" si="226"/>
        <v>-2.1036622306401748E-4</v>
      </c>
      <c r="AT251" s="20">
        <f t="shared" si="226"/>
        <v>-1.3520457093715317E-4</v>
      </c>
      <c r="AU251" s="20">
        <f t="shared" si="226"/>
        <v>-6.5833657346859426E-4</v>
      </c>
      <c r="AV251" s="20">
        <f t="shared" si="226"/>
        <v>-1.0672513536021509E-4</v>
      </c>
      <c r="AW251" s="20">
        <f t="shared" si="226"/>
        <v>0</v>
      </c>
      <c r="AX251" s="20">
        <f t="shared" si="226"/>
        <v>-3.67847339850654E-5</v>
      </c>
      <c r="AY251" s="20">
        <f t="shared" si="226"/>
        <v>-4.5464229819600615E-3</v>
      </c>
      <c r="AZ251" s="20">
        <f t="shared" si="226"/>
        <v>-9.5039264610722479E-4</v>
      </c>
      <c r="BA251" s="20">
        <f t="shared" si="226"/>
        <v>0</v>
      </c>
      <c r="BB251" s="20">
        <f t="shared" si="226"/>
        <v>-2.7630236663893609E-4</v>
      </c>
      <c r="BC251" s="20">
        <f t="shared" si="226"/>
        <v>-2.9068870697330066E-3</v>
      </c>
      <c r="BD251" s="20">
        <f t="shared" si="226"/>
        <v>-8.1944630860630559E-4</v>
      </c>
      <c r="BE251" s="20">
        <f t="shared" si="226"/>
        <v>0</v>
      </c>
      <c r="BF251" s="20">
        <f t="shared" si="226"/>
        <v>0</v>
      </c>
      <c r="BG251" s="20">
        <f t="shared" si="226"/>
        <v>0</v>
      </c>
      <c r="BH251" s="20">
        <f t="shared" si="226"/>
        <v>-2.7484132529576326E-3</v>
      </c>
      <c r="BI251" s="20">
        <f t="shared" si="226"/>
        <v>-1.8044479715791383E-4</v>
      </c>
      <c r="BJ251" s="20">
        <f t="shared" si="226"/>
        <v>-2.7489230246780026E-4</v>
      </c>
      <c r="BK251" s="20">
        <f t="shared" si="226"/>
        <v>-2.7544730473178062E-4</v>
      </c>
      <c r="BL251" s="20">
        <f t="shared" ref="BL251:BR251" si="227">BL183-BL102</f>
        <v>-1.6793307452392322E-3</v>
      </c>
      <c r="BM251" s="20">
        <f t="shared" si="227"/>
        <v>-6.0692511215920859E-4</v>
      </c>
      <c r="BN251" s="20">
        <f t="shared" si="227"/>
        <v>-8.6525942163183931E-4</v>
      </c>
      <c r="BO251" s="20">
        <f t="shared" si="227"/>
        <v>-1.9110479376196648E-3</v>
      </c>
      <c r="BP251" s="20">
        <f t="shared" si="227"/>
        <v>-3.9909414909414909E-4</v>
      </c>
      <c r="BQ251" s="20">
        <f t="shared" si="227"/>
        <v>-7.7625584586180017E-5</v>
      </c>
      <c r="BR251" s="20">
        <f t="shared" si="227"/>
        <v>0</v>
      </c>
    </row>
    <row r="252" spans="1:70" outlineLevel="1" x14ac:dyDescent="0.3">
      <c r="A252" s="7">
        <v>15</v>
      </c>
      <c r="B252" s="150" t="s">
        <v>10</v>
      </c>
      <c r="C252" s="150"/>
      <c r="D252" s="150"/>
      <c r="E252" s="150"/>
      <c r="F252" s="20">
        <f t="shared" ref="F252:AK252" si="228">F184-F103</f>
        <v>-4.8177880709133867E-4</v>
      </c>
      <c r="G252" s="20">
        <f t="shared" si="228"/>
        <v>-1.0143234184151976E-3</v>
      </c>
      <c r="H252" s="20">
        <f t="shared" si="228"/>
        <v>0</v>
      </c>
      <c r="I252" s="20">
        <f t="shared" si="228"/>
        <v>0</v>
      </c>
      <c r="J252" s="20">
        <f t="shared" si="228"/>
        <v>-5.7934678428571315E-5</v>
      </c>
      <c r="K252" s="20">
        <f t="shared" si="228"/>
        <v>-3.2827668141306357E-4</v>
      </c>
      <c r="L252" s="20">
        <f t="shared" si="228"/>
        <v>-9.1292704238615742E-4</v>
      </c>
      <c r="M252" s="20">
        <f t="shared" si="228"/>
        <v>-1.2086334607213265E-3</v>
      </c>
      <c r="N252" s="20">
        <f t="shared" si="228"/>
        <v>-1.0405186419344773E-2</v>
      </c>
      <c r="O252" s="20">
        <f t="shared" si="228"/>
        <v>-1.6349858997266053E-3</v>
      </c>
      <c r="P252" s="20">
        <f t="shared" si="228"/>
        <v>0</v>
      </c>
      <c r="Q252" s="20">
        <f t="shared" si="228"/>
        <v>-2.6221406445132821E-4</v>
      </c>
      <c r="R252" s="20">
        <f t="shared" si="228"/>
        <v>0</v>
      </c>
      <c r="S252" s="20">
        <f t="shared" si="228"/>
        <v>-7.0723826778418845E-3</v>
      </c>
      <c r="T252" s="20">
        <f t="shared" si="228"/>
        <v>0.95768058821837276</v>
      </c>
      <c r="U252" s="20">
        <f t="shared" si="228"/>
        <v>-0.25005470802811547</v>
      </c>
      <c r="V252" s="20">
        <f t="shared" si="228"/>
        <v>0</v>
      </c>
      <c r="W252" s="20">
        <f t="shared" si="228"/>
        <v>-3.5177415396047018E-2</v>
      </c>
      <c r="X252" s="20">
        <f t="shared" si="228"/>
        <v>-5.1313897623180324E-2</v>
      </c>
      <c r="Y252" s="20">
        <f t="shared" si="228"/>
        <v>-1.5961085582049589E-2</v>
      </c>
      <c r="Z252" s="20">
        <f t="shared" si="228"/>
        <v>-2.3099360883872193E-3</v>
      </c>
      <c r="AA252" s="20">
        <f t="shared" si="228"/>
        <v>-1.7486276848014255E-2</v>
      </c>
      <c r="AB252" s="20">
        <f t="shared" si="228"/>
        <v>-4.9040129922240092E-2</v>
      </c>
      <c r="AC252" s="20">
        <f t="shared" si="228"/>
        <v>0</v>
      </c>
      <c r="AD252" s="20">
        <f t="shared" si="228"/>
        <v>0</v>
      </c>
      <c r="AE252" s="20">
        <f t="shared" si="228"/>
        <v>0</v>
      </c>
      <c r="AF252" s="20">
        <f t="shared" si="228"/>
        <v>-8.0844930632862286E-3</v>
      </c>
      <c r="AG252" s="20">
        <f t="shared" si="228"/>
        <v>-2.0582687846133575E-2</v>
      </c>
      <c r="AH252" s="20">
        <f t="shared" si="228"/>
        <v>-1.0981583659345174E-2</v>
      </c>
      <c r="AI252" s="20">
        <f t="shared" si="228"/>
        <v>-4.0264828110572943E-4</v>
      </c>
      <c r="AJ252" s="20">
        <f t="shared" si="228"/>
        <v>0</v>
      </c>
      <c r="AK252" s="20">
        <f t="shared" si="228"/>
        <v>0</v>
      </c>
      <c r="AL252" s="20">
        <f t="shared" ref="AL252:BK252" si="229">AL184-AL103</f>
        <v>-6.1649987821277296E-4</v>
      </c>
      <c r="AM252" s="20">
        <f t="shared" si="229"/>
        <v>0</v>
      </c>
      <c r="AN252" s="20">
        <f t="shared" si="229"/>
        <v>-9.651870163510215E-4</v>
      </c>
      <c r="AO252" s="20">
        <f t="shared" si="229"/>
        <v>-8.175162298332669E-4</v>
      </c>
      <c r="AP252" s="20">
        <f t="shared" si="229"/>
        <v>0</v>
      </c>
      <c r="AQ252" s="20">
        <f t="shared" si="229"/>
        <v>0</v>
      </c>
      <c r="AR252" s="20">
        <f t="shared" si="229"/>
        <v>-4.8521842714020748E-6</v>
      </c>
      <c r="AS252" s="20">
        <f t="shared" si="229"/>
        <v>-1.520880891833851E-3</v>
      </c>
      <c r="AT252" s="20">
        <f t="shared" si="229"/>
        <v>0</v>
      </c>
      <c r="AU252" s="20">
        <f t="shared" si="229"/>
        <v>0</v>
      </c>
      <c r="AV252" s="20">
        <f t="shared" si="229"/>
        <v>-3.7207069621238522E-4</v>
      </c>
      <c r="AW252" s="20">
        <f t="shared" si="229"/>
        <v>0</v>
      </c>
      <c r="AX252" s="20">
        <f t="shared" si="229"/>
        <v>-5.4073558958046145E-3</v>
      </c>
      <c r="AY252" s="20">
        <f t="shared" si="229"/>
        <v>-2.6452144855700827E-3</v>
      </c>
      <c r="AZ252" s="20">
        <f t="shared" si="229"/>
        <v>0</v>
      </c>
      <c r="BA252" s="20">
        <f t="shared" si="229"/>
        <v>-4.4009403085562603E-3</v>
      </c>
      <c r="BB252" s="20">
        <f t="shared" si="229"/>
        <v>0</v>
      </c>
      <c r="BC252" s="20">
        <f t="shared" si="229"/>
        <v>-2.2045567535265375E-3</v>
      </c>
      <c r="BD252" s="20">
        <f t="shared" si="229"/>
        <v>-4.2809005432363891E-4</v>
      </c>
      <c r="BE252" s="20">
        <f t="shared" si="229"/>
        <v>-7.4286120111920987E-4</v>
      </c>
      <c r="BF252" s="20">
        <f t="shared" si="229"/>
        <v>0</v>
      </c>
      <c r="BG252" s="20">
        <f t="shared" si="229"/>
        <v>0</v>
      </c>
      <c r="BH252" s="20">
        <f t="shared" si="229"/>
        <v>-1.9075502325989176E-4</v>
      </c>
      <c r="BI252" s="20">
        <f t="shared" si="229"/>
        <v>-1.6168205626740777E-4</v>
      </c>
      <c r="BJ252" s="20">
        <f t="shared" si="229"/>
        <v>-7.9877381372959814E-7</v>
      </c>
      <c r="BK252" s="20">
        <f t="shared" si="229"/>
        <v>0</v>
      </c>
      <c r="BL252" s="20">
        <f t="shared" ref="BL252:BR252" si="230">BL184-BL103</f>
        <v>0</v>
      </c>
      <c r="BM252" s="20">
        <f t="shared" si="230"/>
        <v>-4.3713332566432762E-4</v>
      </c>
      <c r="BN252" s="20">
        <f t="shared" si="230"/>
        <v>-1.0179175893448135E-3</v>
      </c>
      <c r="BO252" s="20">
        <f t="shared" si="230"/>
        <v>0</v>
      </c>
      <c r="BP252" s="20">
        <f t="shared" si="230"/>
        <v>-1.2455449955449956E-2</v>
      </c>
      <c r="BQ252" s="20">
        <f t="shared" si="230"/>
        <v>0</v>
      </c>
      <c r="BR252" s="20">
        <f t="shared" si="230"/>
        <v>0</v>
      </c>
    </row>
    <row r="253" spans="1:70" outlineLevel="1" x14ac:dyDescent="0.3">
      <c r="A253" s="7">
        <v>16</v>
      </c>
      <c r="B253" s="150" t="s">
        <v>127</v>
      </c>
      <c r="C253" s="150"/>
      <c r="D253" s="150"/>
      <c r="E253" s="150"/>
      <c r="F253" s="20">
        <f t="shared" ref="F253:AK253" si="231">F185-F104</f>
        <v>-5.1887655188241283E-3</v>
      </c>
      <c r="G253" s="20">
        <f t="shared" si="231"/>
        <v>-1.4695662487276301E-2</v>
      </c>
      <c r="H253" s="20">
        <f t="shared" si="231"/>
        <v>-6.2172624237140364E-3</v>
      </c>
      <c r="I253" s="20">
        <f t="shared" si="231"/>
        <v>-1.7924600288258149E-2</v>
      </c>
      <c r="J253" s="20">
        <f t="shared" si="231"/>
        <v>-1.124616951854264E-2</v>
      </c>
      <c r="K253" s="20">
        <f t="shared" si="231"/>
        <v>-4.873956961193698E-3</v>
      </c>
      <c r="L253" s="20">
        <f t="shared" si="231"/>
        <v>-1.1884525195191903E-2</v>
      </c>
      <c r="M253" s="20">
        <f t="shared" si="231"/>
        <v>-4.4866944410772045E-3</v>
      </c>
      <c r="N253" s="20">
        <f t="shared" si="231"/>
        <v>-1.2526451008222752E-2</v>
      </c>
      <c r="O253" s="20">
        <f t="shared" si="231"/>
        <v>-1.5970981422082534E-2</v>
      </c>
      <c r="P253" s="20">
        <f t="shared" si="231"/>
        <v>-7.2069690602747762E-3</v>
      </c>
      <c r="Q253" s="20">
        <f t="shared" si="231"/>
        <v>-2.9865737510388567E-3</v>
      </c>
      <c r="R253" s="20">
        <f t="shared" si="231"/>
        <v>-9.1825112786828433E-3</v>
      </c>
      <c r="S253" s="20">
        <f t="shared" si="231"/>
        <v>-2.7261024001188773E-2</v>
      </c>
      <c r="T253" s="20">
        <f t="shared" si="231"/>
        <v>-2.8565251106652163E-4</v>
      </c>
      <c r="U253" s="20">
        <f t="shared" si="231"/>
        <v>0.87597263316341645</v>
      </c>
      <c r="V253" s="20">
        <f t="shared" si="231"/>
        <v>-5.8117584916456246E-3</v>
      </c>
      <c r="W253" s="20">
        <f t="shared" si="231"/>
        <v>-3.5063519557062578E-2</v>
      </c>
      <c r="X253" s="20">
        <f t="shared" si="231"/>
        <v>-4.4665785987912418E-2</v>
      </c>
      <c r="Y253" s="20">
        <f t="shared" si="231"/>
        <v>-1.5447928422263958E-2</v>
      </c>
      <c r="Z253" s="20">
        <f t="shared" si="231"/>
        <v>-2.4711031105929281E-2</v>
      </c>
      <c r="AA253" s="20">
        <f t="shared" si="231"/>
        <v>-2.7330359289078735E-2</v>
      </c>
      <c r="AB253" s="20">
        <f t="shared" si="231"/>
        <v>-5.2722451245172296E-2</v>
      </c>
      <c r="AC253" s="20">
        <f t="shared" si="231"/>
        <v>-1.2146961947188419E-2</v>
      </c>
      <c r="AD253" s="20">
        <f t="shared" si="231"/>
        <v>0</v>
      </c>
      <c r="AE253" s="20">
        <f t="shared" si="231"/>
        <v>0</v>
      </c>
      <c r="AF253" s="20">
        <f t="shared" si="231"/>
        <v>0</v>
      </c>
      <c r="AG253" s="20">
        <f t="shared" si="231"/>
        <v>-1.1819349848805819E-2</v>
      </c>
      <c r="AH253" s="20">
        <f t="shared" si="231"/>
        <v>-6.110384083410543E-2</v>
      </c>
      <c r="AI253" s="20">
        <f t="shared" si="231"/>
        <v>-1.3159905019971458E-2</v>
      </c>
      <c r="AJ253" s="20">
        <f t="shared" si="231"/>
        <v>-6.4162035746216286E-3</v>
      </c>
      <c r="AK253" s="20">
        <f t="shared" si="231"/>
        <v>-2.4624167155080614E-4</v>
      </c>
      <c r="AL253" s="20">
        <f t="shared" ref="AL253:BK253" si="232">AL185-AL104</f>
        <v>-1.1471311745265408E-3</v>
      </c>
      <c r="AM253" s="20">
        <f t="shared" si="232"/>
        <v>0</v>
      </c>
      <c r="AN253" s="20">
        <f t="shared" si="232"/>
        <v>-4.7479926578236653E-4</v>
      </c>
      <c r="AO253" s="20">
        <f t="shared" si="232"/>
        <v>-7.2421998099403573E-3</v>
      </c>
      <c r="AP253" s="20">
        <f t="shared" si="232"/>
        <v>-4.4418276883478219E-4</v>
      </c>
      <c r="AQ253" s="20">
        <f t="shared" si="232"/>
        <v>-3.554960281064157E-4</v>
      </c>
      <c r="AR253" s="20">
        <f t="shared" si="232"/>
        <v>-3.7665080406758608E-4</v>
      </c>
      <c r="AS253" s="20">
        <f t="shared" si="232"/>
        <v>-3.4193803042207793E-5</v>
      </c>
      <c r="AT253" s="20">
        <f t="shared" si="232"/>
        <v>0</v>
      </c>
      <c r="AU253" s="20">
        <f t="shared" si="232"/>
        <v>-5.1736964977924999E-4</v>
      </c>
      <c r="AV253" s="20">
        <f t="shared" si="232"/>
        <v>-4.3230630082958328E-4</v>
      </c>
      <c r="AW253" s="20">
        <f t="shared" si="232"/>
        <v>0</v>
      </c>
      <c r="AX253" s="20">
        <f t="shared" si="232"/>
        <v>-1.0147915502546614E-3</v>
      </c>
      <c r="AY253" s="20">
        <f t="shared" si="232"/>
        <v>-6.4368348904552458E-3</v>
      </c>
      <c r="AZ253" s="20">
        <f t="shared" si="232"/>
        <v>0</v>
      </c>
      <c r="BA253" s="20">
        <f t="shared" si="232"/>
        <v>-1.0086030359181587E-2</v>
      </c>
      <c r="BB253" s="20">
        <f t="shared" si="232"/>
        <v>-3.3201456045714114E-4</v>
      </c>
      <c r="BC253" s="20">
        <f t="shared" si="232"/>
        <v>-5.6494905414973913E-3</v>
      </c>
      <c r="BD253" s="20">
        <f t="shared" si="232"/>
        <v>-4.6991007283182281E-3</v>
      </c>
      <c r="BE253" s="20">
        <f t="shared" si="232"/>
        <v>-1.436669339229733E-2</v>
      </c>
      <c r="BF253" s="20">
        <f t="shared" si="232"/>
        <v>0</v>
      </c>
      <c r="BG253" s="20">
        <f t="shared" si="232"/>
        <v>0</v>
      </c>
      <c r="BH253" s="20">
        <f t="shared" si="232"/>
        <v>-6.2184012178565827E-3</v>
      </c>
      <c r="BI253" s="20">
        <f t="shared" si="232"/>
        <v>-2.6320240995680026E-2</v>
      </c>
      <c r="BJ253" s="20">
        <f t="shared" si="232"/>
        <v>-1.1788760385200684E-3</v>
      </c>
      <c r="BK253" s="20">
        <f t="shared" si="232"/>
        <v>-4.6026739485385994E-4</v>
      </c>
      <c r="BL253" s="20">
        <f t="shared" ref="BL253:BR253" si="233">BL185-BL104</f>
        <v>-3.496524454692036E-5</v>
      </c>
      <c r="BM253" s="20">
        <f t="shared" si="233"/>
        <v>-1.8088116875647074E-3</v>
      </c>
      <c r="BN253" s="20">
        <f t="shared" si="233"/>
        <v>-3.6443453705379165E-3</v>
      </c>
      <c r="BO253" s="20">
        <f t="shared" si="233"/>
        <v>-5.4345145480878311E-4</v>
      </c>
      <c r="BP253" s="20">
        <f t="shared" si="233"/>
        <v>-1.1459261459261459E-2</v>
      </c>
      <c r="BQ253" s="20">
        <f t="shared" si="233"/>
        <v>-9.9905135486888833E-4</v>
      </c>
      <c r="BR253" s="20">
        <f t="shared" si="233"/>
        <v>0</v>
      </c>
    </row>
    <row r="254" spans="1:70" outlineLevel="1" x14ac:dyDescent="0.3">
      <c r="A254" s="7">
        <v>17</v>
      </c>
      <c r="B254" s="150" t="s">
        <v>128</v>
      </c>
      <c r="C254" s="150"/>
      <c r="D254" s="150"/>
      <c r="E254" s="150"/>
      <c r="F254" s="20">
        <f t="shared" ref="F254:AK254" si="234">F186-F105</f>
        <v>-6.1562063582117337E-4</v>
      </c>
      <c r="G254" s="20">
        <f t="shared" si="234"/>
        <v>-6.6589534582974701E-4</v>
      </c>
      <c r="H254" s="20">
        <f t="shared" si="234"/>
        <v>-3.2725370531822146E-3</v>
      </c>
      <c r="I254" s="20">
        <f t="shared" si="234"/>
        <v>-1.4540629104903109E-4</v>
      </c>
      <c r="J254" s="20">
        <f t="shared" si="234"/>
        <v>-2.9779507603471236E-5</v>
      </c>
      <c r="K254" s="20">
        <f t="shared" si="234"/>
        <v>-6.7133485253018153E-4</v>
      </c>
      <c r="L254" s="20">
        <f t="shared" si="234"/>
        <v>-9.6348148252822677E-5</v>
      </c>
      <c r="M254" s="20">
        <f t="shared" si="234"/>
        <v>-4.8717932358889615E-4</v>
      </c>
      <c r="N254" s="20">
        <f t="shared" si="234"/>
        <v>-1.0966606152911451E-2</v>
      </c>
      <c r="O254" s="20">
        <f t="shared" si="234"/>
        <v>-1.0392224398854755E-3</v>
      </c>
      <c r="P254" s="20">
        <f t="shared" si="234"/>
        <v>-3.9403254770896446E-5</v>
      </c>
      <c r="Q254" s="20">
        <f t="shared" si="234"/>
        <v>0</v>
      </c>
      <c r="R254" s="20">
        <f t="shared" si="234"/>
        <v>-4.9274996147290575E-4</v>
      </c>
      <c r="S254" s="20">
        <f t="shared" si="234"/>
        <v>-6.6796974347104235E-4</v>
      </c>
      <c r="T254" s="20">
        <f t="shared" si="234"/>
        <v>0</v>
      </c>
      <c r="U254" s="20">
        <f t="shared" si="234"/>
        <v>0</v>
      </c>
      <c r="V254" s="20">
        <f t="shared" si="234"/>
        <v>0.72182996699104185</v>
      </c>
      <c r="W254" s="20">
        <f t="shared" si="234"/>
        <v>-1.2728554493334225E-2</v>
      </c>
      <c r="X254" s="20">
        <f t="shared" si="234"/>
        <v>-2.0036335446843171E-3</v>
      </c>
      <c r="Y254" s="20">
        <f t="shared" si="234"/>
        <v>-7.2950719735349282E-3</v>
      </c>
      <c r="Z254" s="20">
        <f t="shared" si="234"/>
        <v>-1.8657792070518446E-3</v>
      </c>
      <c r="AA254" s="20">
        <f t="shared" si="234"/>
        <v>-1.3901236955465419E-3</v>
      </c>
      <c r="AB254" s="20">
        <f t="shared" si="234"/>
        <v>-2.8530221642338615E-3</v>
      </c>
      <c r="AC254" s="20">
        <f t="shared" si="234"/>
        <v>-5.0985213869150889E-4</v>
      </c>
      <c r="AD254" s="20">
        <f t="shared" si="234"/>
        <v>-4.7572901904200542E-6</v>
      </c>
      <c r="AE254" s="20">
        <f t="shared" si="234"/>
        <v>0</v>
      </c>
      <c r="AF254" s="20">
        <f t="shared" si="234"/>
        <v>-3.0745009352466774E-4</v>
      </c>
      <c r="AG254" s="20">
        <f t="shared" si="234"/>
        <v>0</v>
      </c>
      <c r="AH254" s="20">
        <f t="shared" si="234"/>
        <v>-3.9700946985654351E-3</v>
      </c>
      <c r="AI254" s="20">
        <f t="shared" si="234"/>
        <v>-9.7961567528153451E-3</v>
      </c>
      <c r="AJ254" s="20">
        <f t="shared" si="234"/>
        <v>-2.5029617613986136E-3</v>
      </c>
      <c r="AK254" s="20">
        <f t="shared" si="234"/>
        <v>-1.6874307964795962E-3</v>
      </c>
      <c r="AL254" s="20">
        <f t="shared" ref="AL254:BK254" si="235">AL186-AL105</f>
        <v>0</v>
      </c>
      <c r="AM254" s="20">
        <f t="shared" si="235"/>
        <v>0</v>
      </c>
      <c r="AN254" s="20">
        <f t="shared" si="235"/>
        <v>-1.4029636307659533E-4</v>
      </c>
      <c r="AO254" s="20">
        <f t="shared" si="235"/>
        <v>-6.6530535615895328E-4</v>
      </c>
      <c r="AP254" s="20">
        <f t="shared" si="235"/>
        <v>-2.2534785632966955E-3</v>
      </c>
      <c r="AQ254" s="20">
        <f t="shared" si="235"/>
        <v>-8.9355353199569267E-4</v>
      </c>
      <c r="AR254" s="20">
        <f t="shared" si="235"/>
        <v>-1.5120619235756715E-3</v>
      </c>
      <c r="AS254" s="20">
        <f t="shared" si="235"/>
        <v>-5.2227317429250422E-3</v>
      </c>
      <c r="AT254" s="20">
        <f t="shared" si="235"/>
        <v>-2.0629815473705328E-2</v>
      </c>
      <c r="AU254" s="20">
        <f t="shared" si="235"/>
        <v>-6.1444746857068798E-3</v>
      </c>
      <c r="AV254" s="20">
        <f t="shared" si="235"/>
        <v>-2.8499163497347165E-3</v>
      </c>
      <c r="AW254" s="20">
        <f t="shared" si="235"/>
        <v>-2.0716801325875283E-4</v>
      </c>
      <c r="AX254" s="20">
        <f t="shared" si="235"/>
        <v>-8.6882038364725889E-4</v>
      </c>
      <c r="AY254" s="20">
        <f t="shared" si="235"/>
        <v>-7.8562834905489742E-4</v>
      </c>
      <c r="AZ254" s="20">
        <f t="shared" si="235"/>
        <v>-1.4781814453743919E-3</v>
      </c>
      <c r="BA254" s="20">
        <f t="shared" si="235"/>
        <v>-3.6165713702334826E-3</v>
      </c>
      <c r="BB254" s="20">
        <f t="shared" si="235"/>
        <v>-4.6700370034368395E-3</v>
      </c>
      <c r="BC254" s="20">
        <f t="shared" si="235"/>
        <v>-2.3684816536830014E-3</v>
      </c>
      <c r="BD254" s="20">
        <f t="shared" si="235"/>
        <v>-2.154719940095649E-2</v>
      </c>
      <c r="BE254" s="20">
        <f t="shared" si="235"/>
        <v>-7.9754811760476439E-4</v>
      </c>
      <c r="BF254" s="20">
        <f t="shared" si="235"/>
        <v>-2.1089456512300115E-4</v>
      </c>
      <c r="BG254" s="20">
        <f t="shared" si="235"/>
        <v>-5.7348867010188331E-3</v>
      </c>
      <c r="BH254" s="20">
        <f t="shared" si="235"/>
        <v>-1.2862680294049664E-2</v>
      </c>
      <c r="BI254" s="20">
        <f t="shared" si="235"/>
        <v>-2.5143538632410203E-3</v>
      </c>
      <c r="BJ254" s="20">
        <f t="shared" si="235"/>
        <v>-2.3146182910987385E-3</v>
      </c>
      <c r="BK254" s="20">
        <f t="shared" si="235"/>
        <v>-5.7612166034999935E-3</v>
      </c>
      <c r="BL254" s="20">
        <f t="shared" ref="BL254:BR254" si="236">BL186-BL105</f>
        <v>-1.6973128710062197E-3</v>
      </c>
      <c r="BM254" s="20">
        <f t="shared" si="236"/>
        <v>-3.8734614057287474E-3</v>
      </c>
      <c r="BN254" s="20">
        <f t="shared" si="236"/>
        <v>-3.8194012616991267E-4</v>
      </c>
      <c r="BO254" s="20">
        <f t="shared" si="236"/>
        <v>-2.9575955411870734E-3</v>
      </c>
      <c r="BP254" s="20">
        <f t="shared" si="236"/>
        <v>-0.12900641025641027</v>
      </c>
      <c r="BQ254" s="20">
        <f t="shared" si="236"/>
        <v>-2.758228563997254E-3</v>
      </c>
      <c r="BR254" s="20">
        <f t="shared" si="236"/>
        <v>0</v>
      </c>
    </row>
    <row r="255" spans="1:70" outlineLevel="1" x14ac:dyDescent="0.3">
      <c r="A255" s="7">
        <v>18</v>
      </c>
      <c r="B255" s="150" t="s">
        <v>129</v>
      </c>
      <c r="C255" s="150"/>
      <c r="D255" s="150"/>
      <c r="E255" s="150"/>
      <c r="F255" s="20">
        <f t="shared" ref="F255:AK255" si="237">F187-F106</f>
        <v>-1.1610843362733232E-3</v>
      </c>
      <c r="G255" s="20">
        <f t="shared" si="237"/>
        <v>-2.2551369920106846E-3</v>
      </c>
      <c r="H255" s="20">
        <f t="shared" si="237"/>
        <v>-2.1217088055797734E-3</v>
      </c>
      <c r="I255" s="20">
        <f t="shared" si="237"/>
        <v>-3.7749962092841921E-3</v>
      </c>
      <c r="J255" s="20">
        <f t="shared" si="237"/>
        <v>0</v>
      </c>
      <c r="K255" s="20">
        <f t="shared" si="237"/>
        <v>-6.0912498579009664E-4</v>
      </c>
      <c r="L255" s="20">
        <f t="shared" si="237"/>
        <v>-1.7788513018599574E-4</v>
      </c>
      <c r="M255" s="20">
        <f t="shared" si="237"/>
        <v>-2.1692112365142051E-5</v>
      </c>
      <c r="N255" s="20">
        <f t="shared" si="237"/>
        <v>-2.4105279419067951E-4</v>
      </c>
      <c r="O255" s="20">
        <f t="shared" si="237"/>
        <v>-8.384819064430714E-4</v>
      </c>
      <c r="P255" s="20">
        <f t="shared" si="237"/>
        <v>0</v>
      </c>
      <c r="Q255" s="20">
        <f t="shared" si="237"/>
        <v>0</v>
      </c>
      <c r="R255" s="20">
        <f t="shared" si="237"/>
        <v>-1.8273086658513694E-3</v>
      </c>
      <c r="S255" s="20">
        <f t="shared" si="237"/>
        <v>0</v>
      </c>
      <c r="T255" s="20">
        <f t="shared" si="237"/>
        <v>-4.1912198429359699E-4</v>
      </c>
      <c r="U255" s="20">
        <f t="shared" si="237"/>
        <v>-1.0236791291144279E-3</v>
      </c>
      <c r="V255" s="20">
        <f t="shared" si="237"/>
        <v>-5.7392061319128246E-2</v>
      </c>
      <c r="W255" s="20">
        <f t="shared" si="237"/>
        <v>0.82043868447528023</v>
      </c>
      <c r="X255" s="20">
        <f t="shared" si="237"/>
        <v>-5.4235033972868186E-4</v>
      </c>
      <c r="Y255" s="20">
        <f t="shared" si="237"/>
        <v>-2.9745097108866313E-2</v>
      </c>
      <c r="Z255" s="20">
        <f t="shared" si="237"/>
        <v>-1.6784005227384834E-3</v>
      </c>
      <c r="AA255" s="20">
        <f t="shared" si="237"/>
        <v>-3.5742790135274852E-3</v>
      </c>
      <c r="AB255" s="20">
        <f t="shared" si="237"/>
        <v>-1.2176131488391948E-2</v>
      </c>
      <c r="AC255" s="20">
        <f t="shared" si="237"/>
        <v>-2.1165006552549322E-2</v>
      </c>
      <c r="AD255" s="20">
        <f t="shared" si="237"/>
        <v>0</v>
      </c>
      <c r="AE255" s="20">
        <f t="shared" si="237"/>
        <v>0</v>
      </c>
      <c r="AF255" s="20">
        <f t="shared" si="237"/>
        <v>0</v>
      </c>
      <c r="AG255" s="20">
        <f t="shared" si="237"/>
        <v>0</v>
      </c>
      <c r="AH255" s="20">
        <f t="shared" si="237"/>
        <v>-1.5602770193509724E-2</v>
      </c>
      <c r="AI255" s="20">
        <f t="shared" si="237"/>
        <v>-2.1239441340839216E-2</v>
      </c>
      <c r="AJ255" s="20">
        <f t="shared" si="237"/>
        <v>-8.5520300180926476E-3</v>
      </c>
      <c r="AK255" s="20">
        <f t="shared" si="237"/>
        <v>0</v>
      </c>
      <c r="AL255" s="20">
        <f t="shared" ref="AL255:BK255" si="238">AL187-AL106</f>
        <v>-8.583204207692057E-4</v>
      </c>
      <c r="AM255" s="20">
        <f t="shared" si="238"/>
        <v>0</v>
      </c>
      <c r="AN255" s="20">
        <f t="shared" si="238"/>
        <v>-8.9633787521158122E-5</v>
      </c>
      <c r="AO255" s="20">
        <f t="shared" si="238"/>
        <v>-2.1005744618706932E-3</v>
      </c>
      <c r="AP255" s="20">
        <f t="shared" si="238"/>
        <v>-3.2825236875766899E-3</v>
      </c>
      <c r="AQ255" s="20">
        <f t="shared" si="238"/>
        <v>-9.4378856895607744E-4</v>
      </c>
      <c r="AR255" s="20">
        <f t="shared" si="238"/>
        <v>0</v>
      </c>
      <c r="AS255" s="20">
        <f t="shared" si="238"/>
        <v>-3.7687517700868152E-4</v>
      </c>
      <c r="AT255" s="20">
        <f t="shared" si="238"/>
        <v>-8.6010084572421194E-4</v>
      </c>
      <c r="AU255" s="20">
        <f t="shared" si="238"/>
        <v>-7.984619035836738E-4</v>
      </c>
      <c r="AV255" s="20">
        <f t="shared" si="238"/>
        <v>-6.4977227852449347E-4</v>
      </c>
      <c r="AW255" s="20">
        <f t="shared" si="238"/>
        <v>-1.8255399188147527E-4</v>
      </c>
      <c r="AX255" s="20">
        <f t="shared" si="238"/>
        <v>-4.1455811316502277E-5</v>
      </c>
      <c r="AY255" s="20">
        <f t="shared" si="238"/>
        <v>-3.9544773475225382E-3</v>
      </c>
      <c r="AZ255" s="20">
        <f t="shared" si="238"/>
        <v>-1.5251818101930876E-3</v>
      </c>
      <c r="BA255" s="20">
        <f t="shared" si="238"/>
        <v>-3.5698628839020536E-3</v>
      </c>
      <c r="BB255" s="20">
        <f t="shared" si="238"/>
        <v>-1.5591885594257128E-3</v>
      </c>
      <c r="BC255" s="20">
        <f t="shared" si="238"/>
        <v>-4.1278944223207608E-3</v>
      </c>
      <c r="BD255" s="20">
        <f t="shared" si="238"/>
        <v>-9.7839063570666646E-3</v>
      </c>
      <c r="BE255" s="20">
        <f t="shared" si="238"/>
        <v>-6.2794527124251792E-3</v>
      </c>
      <c r="BF255" s="20">
        <f t="shared" si="238"/>
        <v>-3.9175461013560579E-4</v>
      </c>
      <c r="BG255" s="20">
        <f t="shared" si="238"/>
        <v>-1.3321992906969399E-3</v>
      </c>
      <c r="BH255" s="20">
        <f t="shared" si="238"/>
        <v>-6.8379565301714398E-3</v>
      </c>
      <c r="BI255" s="20">
        <f t="shared" si="238"/>
        <v>-3.180870916593607E-4</v>
      </c>
      <c r="BJ255" s="20">
        <f t="shared" si="238"/>
        <v>-1.1085839429118638E-3</v>
      </c>
      <c r="BK255" s="20">
        <f t="shared" si="238"/>
        <v>-5.4569468731382423E-4</v>
      </c>
      <c r="BL255" s="20">
        <f t="shared" ref="BL255:BR255" si="239">BL187-BL106</f>
        <v>-1.9330785199511685E-3</v>
      </c>
      <c r="BM255" s="20">
        <f t="shared" si="239"/>
        <v>-1.1581732428390659E-3</v>
      </c>
      <c r="BN255" s="20">
        <f t="shared" si="239"/>
        <v>-4.0198019451833397E-4</v>
      </c>
      <c r="BO255" s="20">
        <f t="shared" si="239"/>
        <v>-2.2141611252852896E-3</v>
      </c>
      <c r="BP255" s="20">
        <f t="shared" si="239"/>
        <v>-3.0015592515592514E-2</v>
      </c>
      <c r="BQ255" s="20">
        <f t="shared" si="239"/>
        <v>-1.7466764656365649E-2</v>
      </c>
      <c r="BR255" s="20">
        <f t="shared" si="239"/>
        <v>0</v>
      </c>
    </row>
    <row r="256" spans="1:70" outlineLevel="1" x14ac:dyDescent="0.3">
      <c r="A256" s="7">
        <v>19</v>
      </c>
      <c r="B256" s="150" t="s">
        <v>130</v>
      </c>
      <c r="C256" s="150"/>
      <c r="D256" s="150"/>
      <c r="E256" s="150"/>
      <c r="F256" s="20">
        <f t="shared" ref="F256:AK256" si="240">F188-F107</f>
        <v>-1.6124445459260631E-2</v>
      </c>
      <c r="G256" s="20">
        <f t="shared" si="240"/>
        <v>-2.1013332672836279E-2</v>
      </c>
      <c r="H256" s="20">
        <f t="shared" si="240"/>
        <v>-9.401918047079338E-4</v>
      </c>
      <c r="I256" s="20">
        <f t="shared" si="240"/>
        <v>-3.9779100334598215E-2</v>
      </c>
      <c r="J256" s="20">
        <f t="shared" si="240"/>
        <v>-3.958902507503451E-3</v>
      </c>
      <c r="K256" s="20">
        <f t="shared" si="240"/>
        <v>-2.1142847359425106E-3</v>
      </c>
      <c r="L256" s="20">
        <f t="shared" si="240"/>
        <v>-9.0746353562640904E-3</v>
      </c>
      <c r="M256" s="20">
        <f t="shared" si="240"/>
        <v>-4.194233726130701E-3</v>
      </c>
      <c r="N256" s="20">
        <f t="shared" si="240"/>
        <v>-8.507867652166521E-3</v>
      </c>
      <c r="O256" s="20">
        <f t="shared" si="240"/>
        <v>-9.9912815103437875E-3</v>
      </c>
      <c r="P256" s="20">
        <f t="shared" si="240"/>
        <v>-2.6641150732238648E-3</v>
      </c>
      <c r="Q256" s="20">
        <f t="shared" si="240"/>
        <v>-2.0740095493325394E-4</v>
      </c>
      <c r="R256" s="20">
        <f t="shared" si="240"/>
        <v>-4.1548081482985577E-3</v>
      </c>
      <c r="S256" s="20">
        <f t="shared" si="240"/>
        <v>-1.1935821562301455E-2</v>
      </c>
      <c r="T256" s="20">
        <f t="shared" si="240"/>
        <v>-6.133718781211829E-4</v>
      </c>
      <c r="U256" s="20">
        <f t="shared" si="240"/>
        <v>-3.0027638062725247E-3</v>
      </c>
      <c r="V256" s="20">
        <f t="shared" si="240"/>
        <v>-2.0482196285441633E-3</v>
      </c>
      <c r="W256" s="20">
        <f t="shared" si="240"/>
        <v>-1.0366044738034642E-2</v>
      </c>
      <c r="X256" s="20">
        <f t="shared" si="240"/>
        <v>0.95921503994336965</v>
      </c>
      <c r="Y256" s="20">
        <f t="shared" si="240"/>
        <v>-3.9804514990207131E-3</v>
      </c>
      <c r="Z256" s="20">
        <f t="shared" si="240"/>
        <v>-1.6301411692856975E-2</v>
      </c>
      <c r="AA256" s="20">
        <f t="shared" si="240"/>
        <v>-3.4434812868313815E-3</v>
      </c>
      <c r="AB256" s="20">
        <f t="shared" si="240"/>
        <v>-6.7720918886773673E-2</v>
      </c>
      <c r="AC256" s="20">
        <f t="shared" si="240"/>
        <v>-9.9552399523039747E-3</v>
      </c>
      <c r="AD256" s="20">
        <f t="shared" si="240"/>
        <v>-2.361043121505473E-3</v>
      </c>
      <c r="AE256" s="20">
        <f t="shared" si="240"/>
        <v>-8.2173529315129959E-3</v>
      </c>
      <c r="AF256" s="20">
        <f t="shared" si="240"/>
        <v>-1.0895907509107437E-2</v>
      </c>
      <c r="AG256" s="20">
        <f t="shared" si="240"/>
        <v>-6.2977188675424605E-3</v>
      </c>
      <c r="AH256" s="20">
        <f t="shared" si="240"/>
        <v>-5.2405308362626062E-3</v>
      </c>
      <c r="AI256" s="20">
        <f t="shared" si="240"/>
        <v>-2.847995675107803E-2</v>
      </c>
      <c r="AJ256" s="20">
        <f t="shared" si="240"/>
        <v>-1.1100764184037574E-2</v>
      </c>
      <c r="AK256" s="20">
        <f t="shared" si="240"/>
        <v>-1.7675372643132128E-3</v>
      </c>
      <c r="AL256" s="20">
        <f t="shared" ref="AL256:BK256" si="241">AL188-AL107</f>
        <v>-1.6007365258857965E-3</v>
      </c>
      <c r="AM256" s="20">
        <f t="shared" si="241"/>
        <v>0</v>
      </c>
      <c r="AN256" s="20">
        <f t="shared" si="241"/>
        <v>-6.105489874629611E-5</v>
      </c>
      <c r="AO256" s="20">
        <f t="shared" si="241"/>
        <v>-3.9460507987152888E-3</v>
      </c>
      <c r="AP256" s="20">
        <f t="shared" si="241"/>
        <v>-5.3653631226699937E-3</v>
      </c>
      <c r="AQ256" s="20">
        <f t="shared" si="241"/>
        <v>-6.8071100605901068E-4</v>
      </c>
      <c r="AR256" s="20">
        <f t="shared" si="241"/>
        <v>-2.9901585572515287E-4</v>
      </c>
      <c r="AS256" s="20">
        <f t="shared" si="241"/>
        <v>-2.0962287951962168E-4</v>
      </c>
      <c r="AT256" s="20">
        <f t="shared" si="241"/>
        <v>-2.0215283253576112E-6</v>
      </c>
      <c r="AU256" s="20">
        <f t="shared" si="241"/>
        <v>-1.4168227822746928E-3</v>
      </c>
      <c r="AV256" s="20">
        <f t="shared" si="241"/>
        <v>-1.5923822656495189E-3</v>
      </c>
      <c r="AW256" s="20">
        <f t="shared" si="241"/>
        <v>-2.5502861038123701E-4</v>
      </c>
      <c r="AX256" s="20">
        <f t="shared" si="241"/>
        <v>-2.1253401858037785E-3</v>
      </c>
      <c r="AY256" s="20">
        <f t="shared" si="241"/>
        <v>-1.8200322817978054E-3</v>
      </c>
      <c r="AZ256" s="20">
        <f t="shared" si="241"/>
        <v>-3.7773381017178437E-4</v>
      </c>
      <c r="BA256" s="20">
        <f t="shared" si="241"/>
        <v>-1.3950823971062089E-2</v>
      </c>
      <c r="BB256" s="20">
        <f t="shared" si="241"/>
        <v>-1.5222980527082525E-3</v>
      </c>
      <c r="BC256" s="20">
        <f t="shared" si="241"/>
        <v>-5.7176431258075175E-4</v>
      </c>
      <c r="BD256" s="20">
        <f t="shared" si="241"/>
        <v>-1.9709096560444764E-3</v>
      </c>
      <c r="BE256" s="20">
        <f t="shared" si="241"/>
        <v>-4.6305871264429406E-3</v>
      </c>
      <c r="BF256" s="20">
        <f t="shared" si="241"/>
        <v>-3.7216687962882556E-4</v>
      </c>
      <c r="BG256" s="20">
        <f t="shared" si="241"/>
        <v>-3.0682320666347806E-4</v>
      </c>
      <c r="BH256" s="20">
        <f t="shared" si="241"/>
        <v>-5.6445420949577446E-3</v>
      </c>
      <c r="BI256" s="20">
        <f t="shared" si="241"/>
        <v>-1.0598016924871788E-4</v>
      </c>
      <c r="BJ256" s="20">
        <f t="shared" si="241"/>
        <v>-8.0870143112880886E-4</v>
      </c>
      <c r="BK256" s="20">
        <f t="shared" si="241"/>
        <v>0</v>
      </c>
      <c r="BL256" s="20">
        <f t="shared" ref="BL256:BR256" si="242">BL188-BL107</f>
        <v>-1.5684409696761417E-4</v>
      </c>
      <c r="BM256" s="20">
        <f t="shared" si="242"/>
        <v>-1.3831818704704935E-3</v>
      </c>
      <c r="BN256" s="20">
        <f t="shared" si="242"/>
        <v>-1.5867018821750076E-3</v>
      </c>
      <c r="BO256" s="20">
        <f t="shared" si="242"/>
        <v>0</v>
      </c>
      <c r="BP256" s="20">
        <f t="shared" si="242"/>
        <v>-2.3484679734679735E-2</v>
      </c>
      <c r="BQ256" s="20">
        <f t="shared" si="242"/>
        <v>-4.3843333424064537E-3</v>
      </c>
      <c r="BR256" s="20">
        <f t="shared" si="242"/>
        <v>0</v>
      </c>
    </row>
    <row r="257" spans="1:70" outlineLevel="1" x14ac:dyDescent="0.3">
      <c r="A257" s="7">
        <v>20</v>
      </c>
      <c r="B257" s="150" t="s">
        <v>131</v>
      </c>
      <c r="C257" s="150"/>
      <c r="D257" s="150"/>
      <c r="E257" s="150"/>
      <c r="F257" s="20">
        <f t="shared" ref="F257:AK257" si="243">F189-F108</f>
        <v>-1.6721167732417824E-3</v>
      </c>
      <c r="G257" s="20">
        <f t="shared" si="243"/>
        <v>-5.3123968469521946E-3</v>
      </c>
      <c r="H257" s="20">
        <f t="shared" si="243"/>
        <v>-5.2449869224062775E-4</v>
      </c>
      <c r="I257" s="20">
        <f t="shared" si="243"/>
        <v>-8.9827683720357515E-3</v>
      </c>
      <c r="J257" s="20">
        <f t="shared" si="243"/>
        <v>-2.9105161728814119E-4</v>
      </c>
      <c r="K257" s="20">
        <f t="shared" si="243"/>
        <v>-1.3228901576865925E-4</v>
      </c>
      <c r="L257" s="20">
        <f t="shared" si="243"/>
        <v>-3.1042995531183965E-4</v>
      </c>
      <c r="M257" s="20">
        <f t="shared" si="243"/>
        <v>-1.033565353868533E-4</v>
      </c>
      <c r="N257" s="20">
        <f t="shared" si="243"/>
        <v>0</v>
      </c>
      <c r="O257" s="20">
        <f t="shared" si="243"/>
        <v>-6.0060706520569172E-4</v>
      </c>
      <c r="P257" s="20">
        <f t="shared" si="243"/>
        <v>-1.7891766602008095E-5</v>
      </c>
      <c r="Q257" s="20">
        <f t="shared" si="243"/>
        <v>0</v>
      </c>
      <c r="R257" s="20">
        <f t="shared" si="243"/>
        <v>-2.6897864507650195E-3</v>
      </c>
      <c r="S257" s="20">
        <f t="shared" si="243"/>
        <v>-3.3200834807391344E-3</v>
      </c>
      <c r="T257" s="20">
        <f t="shared" si="243"/>
        <v>-1.3192289763927609E-4</v>
      </c>
      <c r="U257" s="20">
        <f t="shared" si="243"/>
        <v>-1.3765108820360745E-4</v>
      </c>
      <c r="V257" s="20">
        <f t="shared" si="243"/>
        <v>-5.7424065620506354E-4</v>
      </c>
      <c r="W257" s="20">
        <f t="shared" si="243"/>
        <v>0</v>
      </c>
      <c r="X257" s="20">
        <f t="shared" si="243"/>
        <v>-3.1612672955356499E-3</v>
      </c>
      <c r="Y257" s="20">
        <f t="shared" si="243"/>
        <v>0.92747330759939872</v>
      </c>
      <c r="Z257" s="20">
        <f t="shared" si="243"/>
        <v>-5.1393008372784283E-3</v>
      </c>
      <c r="AA257" s="20">
        <f t="shared" si="243"/>
        <v>-5.680531629860924E-4</v>
      </c>
      <c r="AB257" s="20">
        <f t="shared" si="243"/>
        <v>-1.1757791819109462E-3</v>
      </c>
      <c r="AC257" s="20">
        <f t="shared" si="243"/>
        <v>0</v>
      </c>
      <c r="AD257" s="20">
        <f t="shared" si="243"/>
        <v>0</v>
      </c>
      <c r="AE257" s="20">
        <f t="shared" si="243"/>
        <v>0</v>
      </c>
      <c r="AF257" s="20">
        <f t="shared" si="243"/>
        <v>0</v>
      </c>
      <c r="AG257" s="20">
        <f t="shared" si="243"/>
        <v>-8.1823774109790655E-4</v>
      </c>
      <c r="AH257" s="20">
        <f t="shared" si="243"/>
        <v>-1.6133872882584154E-3</v>
      </c>
      <c r="AI257" s="20">
        <f t="shared" si="243"/>
        <v>-0.10723908468030596</v>
      </c>
      <c r="AJ257" s="20">
        <f t="shared" si="243"/>
        <v>-2.6613725243911346E-3</v>
      </c>
      <c r="AK257" s="20">
        <f t="shared" si="243"/>
        <v>-1.2156234418330937E-5</v>
      </c>
      <c r="AL257" s="20">
        <f t="shared" ref="AL257:BK257" si="244">AL189-AL108</f>
        <v>-3.1689964579027265E-2</v>
      </c>
      <c r="AM257" s="20">
        <f t="shared" si="244"/>
        <v>0</v>
      </c>
      <c r="AN257" s="20">
        <f t="shared" si="244"/>
        <v>-1.1691363589716276E-5</v>
      </c>
      <c r="AO257" s="20">
        <f t="shared" si="244"/>
        <v>-4.5797439529722067E-4</v>
      </c>
      <c r="AP257" s="20">
        <f t="shared" si="244"/>
        <v>-1.7949673180478883E-3</v>
      </c>
      <c r="AQ257" s="20">
        <f t="shared" si="244"/>
        <v>0</v>
      </c>
      <c r="AR257" s="20">
        <f t="shared" si="244"/>
        <v>-9.1766935032891732E-4</v>
      </c>
      <c r="AS257" s="20">
        <f t="shared" si="244"/>
        <v>-8.4518160997804905E-4</v>
      </c>
      <c r="AT257" s="20">
        <f t="shared" si="244"/>
        <v>-3.1155318896687895E-5</v>
      </c>
      <c r="AU257" s="20">
        <f t="shared" si="244"/>
        <v>0</v>
      </c>
      <c r="AV257" s="20">
        <f t="shared" si="244"/>
        <v>-3.6450263306817313E-4</v>
      </c>
      <c r="AW257" s="20">
        <f t="shared" si="244"/>
        <v>0</v>
      </c>
      <c r="AX257" s="20">
        <f t="shared" si="244"/>
        <v>-1.2705330341508303E-3</v>
      </c>
      <c r="AY257" s="20">
        <f t="shared" si="244"/>
        <v>-1.8096897560107355E-4</v>
      </c>
      <c r="AZ257" s="20">
        <f t="shared" si="244"/>
        <v>0</v>
      </c>
      <c r="BA257" s="20">
        <f t="shared" si="244"/>
        <v>-9.1915628459347278E-4</v>
      </c>
      <c r="BB257" s="20">
        <f t="shared" si="244"/>
        <v>-1.8821687100744963E-4</v>
      </c>
      <c r="BC257" s="20">
        <f t="shared" si="244"/>
        <v>-1.3989214674184016E-5</v>
      </c>
      <c r="BD257" s="20">
        <f t="shared" si="244"/>
        <v>-2.0203590022534773E-4</v>
      </c>
      <c r="BE257" s="20">
        <f t="shared" si="244"/>
        <v>-1.1719149284454729E-2</v>
      </c>
      <c r="BF257" s="20">
        <f t="shared" si="244"/>
        <v>-4.5704704515820683E-5</v>
      </c>
      <c r="BG257" s="20">
        <f t="shared" si="244"/>
        <v>0</v>
      </c>
      <c r="BH257" s="20">
        <f t="shared" si="244"/>
        <v>-1.1344344698046488E-4</v>
      </c>
      <c r="BI257" s="20">
        <f t="shared" si="244"/>
        <v>-1.7510914271717619E-3</v>
      </c>
      <c r="BJ257" s="20">
        <f t="shared" si="244"/>
        <v>-3.0319171758279176E-4</v>
      </c>
      <c r="BK257" s="20">
        <f t="shared" si="244"/>
        <v>-2.2359665243868921E-4</v>
      </c>
      <c r="BL257" s="20">
        <f t="shared" ref="BL257:BR257" si="245">BL189-BL108</f>
        <v>-4.6453824898051336E-4</v>
      </c>
      <c r="BM257" s="20">
        <f t="shared" si="245"/>
        <v>-3.128954331070977E-4</v>
      </c>
      <c r="BN257" s="20">
        <f t="shared" si="245"/>
        <v>-1.3420951655692766E-3</v>
      </c>
      <c r="BO257" s="20">
        <f t="shared" si="245"/>
        <v>0</v>
      </c>
      <c r="BP257" s="20">
        <f t="shared" si="245"/>
        <v>-1.6396891396891397E-4</v>
      </c>
      <c r="BQ257" s="20">
        <f t="shared" si="245"/>
        <v>-4.1333103480952999E-5</v>
      </c>
      <c r="BR257" s="20">
        <f t="shared" si="245"/>
        <v>0</v>
      </c>
    </row>
    <row r="258" spans="1:70" outlineLevel="1" x14ac:dyDescent="0.3">
      <c r="A258" s="7">
        <v>21</v>
      </c>
      <c r="B258" s="150" t="s">
        <v>11</v>
      </c>
      <c r="C258" s="150"/>
      <c r="D258" s="150"/>
      <c r="E258" s="150"/>
      <c r="F258" s="20">
        <f t="shared" ref="F258:AK258" si="246">F190-F109</f>
        <v>0</v>
      </c>
      <c r="G258" s="20">
        <f t="shared" si="246"/>
        <v>0</v>
      </c>
      <c r="H258" s="20">
        <f t="shared" si="246"/>
        <v>-2.0505666957279861E-4</v>
      </c>
      <c r="I258" s="20">
        <f t="shared" si="246"/>
        <v>0</v>
      </c>
      <c r="J258" s="20">
        <f t="shared" si="246"/>
        <v>-3.2978958833596246E-6</v>
      </c>
      <c r="K258" s="20">
        <f t="shared" si="246"/>
        <v>-5.0831309917539489E-5</v>
      </c>
      <c r="L258" s="20">
        <f t="shared" si="246"/>
        <v>0</v>
      </c>
      <c r="M258" s="20">
        <f t="shared" si="246"/>
        <v>0</v>
      </c>
      <c r="N258" s="20">
        <f t="shared" si="246"/>
        <v>0</v>
      </c>
      <c r="O258" s="20">
        <f t="shared" si="246"/>
        <v>0</v>
      </c>
      <c r="P258" s="20">
        <f t="shared" si="246"/>
        <v>0</v>
      </c>
      <c r="Q258" s="20">
        <f t="shared" si="246"/>
        <v>0</v>
      </c>
      <c r="R258" s="20">
        <f t="shared" si="246"/>
        <v>0</v>
      </c>
      <c r="S258" s="20">
        <f t="shared" si="246"/>
        <v>0</v>
      </c>
      <c r="T258" s="20">
        <f t="shared" si="246"/>
        <v>0</v>
      </c>
      <c r="U258" s="20">
        <f t="shared" si="246"/>
        <v>0</v>
      </c>
      <c r="V258" s="20">
        <f t="shared" si="246"/>
        <v>-9.4343114497197125E-5</v>
      </c>
      <c r="W258" s="20">
        <f t="shared" si="246"/>
        <v>0</v>
      </c>
      <c r="X258" s="20">
        <f t="shared" si="246"/>
        <v>0</v>
      </c>
      <c r="Y258" s="20">
        <f t="shared" si="246"/>
        <v>-5.5255686681037145E-6</v>
      </c>
      <c r="Z258" s="20">
        <f t="shared" si="246"/>
        <v>0.97087302451617863</v>
      </c>
      <c r="AA258" s="20">
        <f t="shared" si="246"/>
        <v>-1.00788514777415E-4</v>
      </c>
      <c r="AB258" s="20">
        <f t="shared" si="246"/>
        <v>-1.2074751122855524E-2</v>
      </c>
      <c r="AC258" s="20">
        <f t="shared" si="246"/>
        <v>0</v>
      </c>
      <c r="AD258" s="20">
        <f t="shared" si="246"/>
        <v>0</v>
      </c>
      <c r="AE258" s="20">
        <f t="shared" si="246"/>
        <v>0</v>
      </c>
      <c r="AF258" s="20">
        <f t="shared" si="246"/>
        <v>0</v>
      </c>
      <c r="AG258" s="20">
        <f t="shared" si="246"/>
        <v>0</v>
      </c>
      <c r="AH258" s="20">
        <f t="shared" si="246"/>
        <v>-1.768721697961162E-4</v>
      </c>
      <c r="AI258" s="20">
        <f t="shared" si="246"/>
        <v>-5.1161369474252739E-3</v>
      </c>
      <c r="AJ258" s="20">
        <f t="shared" si="246"/>
        <v>0</v>
      </c>
      <c r="AK258" s="20">
        <f t="shared" si="246"/>
        <v>0</v>
      </c>
      <c r="AL258" s="20">
        <f t="shared" ref="AL258:BK258" si="247">AL190-AL109</f>
        <v>-8.9800266755317134E-4</v>
      </c>
      <c r="AM258" s="20">
        <f t="shared" si="247"/>
        <v>0</v>
      </c>
      <c r="AN258" s="20">
        <f t="shared" si="247"/>
        <v>-1.197065727547061E-3</v>
      </c>
      <c r="AO258" s="20">
        <f t="shared" si="247"/>
        <v>-1.9595271501583882E-4</v>
      </c>
      <c r="AP258" s="20">
        <f t="shared" si="247"/>
        <v>-3.5169896652607396E-5</v>
      </c>
      <c r="AQ258" s="20">
        <f t="shared" si="247"/>
        <v>0</v>
      </c>
      <c r="AR258" s="20">
        <f t="shared" si="247"/>
        <v>0</v>
      </c>
      <c r="AS258" s="20">
        <f t="shared" si="247"/>
        <v>-1.0406809621541502E-4</v>
      </c>
      <c r="AT258" s="20">
        <f t="shared" si="247"/>
        <v>-5.0062554410326726E-5</v>
      </c>
      <c r="AU258" s="20">
        <f t="shared" si="247"/>
        <v>-1.3276138634026302E-4</v>
      </c>
      <c r="AV258" s="20">
        <f t="shared" si="247"/>
        <v>0</v>
      </c>
      <c r="AW258" s="20">
        <f t="shared" si="247"/>
        <v>0</v>
      </c>
      <c r="AX258" s="20">
        <f t="shared" si="247"/>
        <v>0</v>
      </c>
      <c r="AY258" s="20">
        <f t="shared" si="247"/>
        <v>-1.932286525096492E-5</v>
      </c>
      <c r="AZ258" s="20">
        <f t="shared" si="247"/>
        <v>-2.4898210258062627E-5</v>
      </c>
      <c r="BA258" s="20">
        <f t="shared" si="247"/>
        <v>-5.6383815642938971E-5</v>
      </c>
      <c r="BB258" s="20">
        <f t="shared" si="247"/>
        <v>-1.505734968059597E-5</v>
      </c>
      <c r="BC258" s="20">
        <f t="shared" si="247"/>
        <v>-2.4391451226782387E-5</v>
      </c>
      <c r="BD258" s="20">
        <f t="shared" si="247"/>
        <v>-2.853933695490926E-4</v>
      </c>
      <c r="BE258" s="20">
        <f t="shared" si="247"/>
        <v>-8.3204858840773166E-4</v>
      </c>
      <c r="BF258" s="20">
        <f t="shared" si="247"/>
        <v>-1.0969129083796962E-4</v>
      </c>
      <c r="BG258" s="20">
        <f t="shared" si="247"/>
        <v>-8.7986066616732686E-5</v>
      </c>
      <c r="BH258" s="20">
        <f t="shared" si="247"/>
        <v>0</v>
      </c>
      <c r="BI258" s="20">
        <f t="shared" si="247"/>
        <v>-3.2257255940349732E-3</v>
      </c>
      <c r="BJ258" s="20">
        <f t="shared" si="247"/>
        <v>-2.8185304570172965E-5</v>
      </c>
      <c r="BK258" s="20">
        <f t="shared" si="247"/>
        <v>0</v>
      </c>
      <c r="BL258" s="20">
        <f t="shared" ref="BL258:BR258" si="248">BL190-BL109</f>
        <v>-3.3666535463749032E-4</v>
      </c>
      <c r="BM258" s="20">
        <f t="shared" si="248"/>
        <v>-7.086161279190153E-5</v>
      </c>
      <c r="BN258" s="20">
        <f t="shared" si="248"/>
        <v>-1.141694482085063E-3</v>
      </c>
      <c r="BO258" s="20">
        <f t="shared" si="248"/>
        <v>-1.8832476156740009E-4</v>
      </c>
      <c r="BP258" s="20">
        <f t="shared" si="248"/>
        <v>0</v>
      </c>
      <c r="BQ258" s="20">
        <f t="shared" si="248"/>
        <v>0</v>
      </c>
      <c r="BR258" s="20">
        <f t="shared" si="248"/>
        <v>0</v>
      </c>
    </row>
    <row r="259" spans="1:70" outlineLevel="1" x14ac:dyDescent="0.3">
      <c r="A259" s="7">
        <v>22</v>
      </c>
      <c r="B259" s="150" t="s">
        <v>132</v>
      </c>
      <c r="C259" s="150"/>
      <c r="D259" s="150"/>
      <c r="E259" s="150"/>
      <c r="F259" s="20">
        <f t="shared" ref="F259:AK259" si="249">F191-F110</f>
        <v>-2.2380321264398837E-4</v>
      </c>
      <c r="G259" s="20">
        <f t="shared" si="249"/>
        <v>-1.0767213370873698E-3</v>
      </c>
      <c r="H259" s="20">
        <f t="shared" si="249"/>
        <v>-2.1203138622493461E-4</v>
      </c>
      <c r="I259" s="20">
        <f t="shared" si="249"/>
        <v>-9.5332818298137271E-4</v>
      </c>
      <c r="J259" s="20">
        <f t="shared" si="249"/>
        <v>-1.8753706441194284E-5</v>
      </c>
      <c r="K259" s="20">
        <f t="shared" si="249"/>
        <v>-4.9332956033150089E-3</v>
      </c>
      <c r="L259" s="20">
        <f t="shared" si="249"/>
        <v>-1.3979927393546821E-3</v>
      </c>
      <c r="M259" s="20">
        <f t="shared" si="249"/>
        <v>-1.8961458220353582E-4</v>
      </c>
      <c r="N259" s="20">
        <f t="shared" si="249"/>
        <v>-2.4934708388326204E-3</v>
      </c>
      <c r="O259" s="20">
        <f t="shared" si="249"/>
        <v>-1.410027339461391E-4</v>
      </c>
      <c r="P259" s="20">
        <f t="shared" si="249"/>
        <v>-1.6102589941807287E-4</v>
      </c>
      <c r="Q259" s="20">
        <f t="shared" si="249"/>
        <v>-6.5257229034355966E-4</v>
      </c>
      <c r="R259" s="20">
        <f t="shared" si="249"/>
        <v>-5.8336304163637972E-4</v>
      </c>
      <c r="S259" s="20">
        <f t="shared" si="249"/>
        <v>-8.3395010396990741E-4</v>
      </c>
      <c r="T259" s="20">
        <f t="shared" si="249"/>
        <v>-9.5887686443553555E-6</v>
      </c>
      <c r="U259" s="20">
        <f t="shared" si="249"/>
        <v>-5.9493123007678828E-4</v>
      </c>
      <c r="V259" s="20">
        <f t="shared" si="249"/>
        <v>-3.5065582379489196E-4</v>
      </c>
      <c r="W259" s="20">
        <f t="shared" si="249"/>
        <v>-8.3069585160169723E-5</v>
      </c>
      <c r="X259" s="20">
        <f t="shared" si="249"/>
        <v>-3.6383115517285558E-4</v>
      </c>
      <c r="Y259" s="20">
        <f t="shared" si="249"/>
        <v>-3.3657920452231758E-4</v>
      </c>
      <c r="Z259" s="20">
        <f t="shared" si="249"/>
        <v>-1.3666365579549991E-3</v>
      </c>
      <c r="AA259" s="20">
        <f t="shared" si="249"/>
        <v>0.95396738453349472</v>
      </c>
      <c r="AB259" s="20">
        <f t="shared" si="249"/>
        <v>-1.3711597331171586E-3</v>
      </c>
      <c r="AC259" s="20">
        <f t="shared" si="249"/>
        <v>-5.6011138566000368E-4</v>
      </c>
      <c r="AD259" s="20">
        <f t="shared" si="249"/>
        <v>-1.1845652574145935E-4</v>
      </c>
      <c r="AE259" s="20">
        <f t="shared" si="249"/>
        <v>0</v>
      </c>
      <c r="AF259" s="20">
        <f t="shared" si="249"/>
        <v>-1.0832973093989969E-3</v>
      </c>
      <c r="AG259" s="20">
        <f t="shared" si="249"/>
        <v>-8.7689383276882981E-4</v>
      </c>
      <c r="AH259" s="20">
        <f t="shared" si="249"/>
        <v>-3.7338599890988792E-4</v>
      </c>
      <c r="AI259" s="20">
        <f t="shared" si="249"/>
        <v>-4.3816104193929319E-4</v>
      </c>
      <c r="AJ259" s="20">
        <f t="shared" si="249"/>
        <v>-2.3247720611935222E-3</v>
      </c>
      <c r="AK259" s="20">
        <f t="shared" si="249"/>
        <v>-1.0681901372210287E-3</v>
      </c>
      <c r="AL259" s="20">
        <f t="shared" ref="AL259:BK259" si="250">AL191-AL110</f>
        <v>-6.9498741605067223E-5</v>
      </c>
      <c r="AM259" s="20">
        <f t="shared" si="250"/>
        <v>0</v>
      </c>
      <c r="AN259" s="20">
        <f t="shared" si="250"/>
        <v>0</v>
      </c>
      <c r="AO259" s="20">
        <f t="shared" si="250"/>
        <v>-2.0233956056141123E-4</v>
      </c>
      <c r="AP259" s="20">
        <f t="shared" si="250"/>
        <v>-1.0420710119291079E-4</v>
      </c>
      <c r="AQ259" s="20">
        <f t="shared" si="250"/>
        <v>-4.0408573633011879E-3</v>
      </c>
      <c r="AR259" s="20">
        <f t="shared" si="250"/>
        <v>-9.7164990034826555E-4</v>
      </c>
      <c r="AS259" s="20">
        <f t="shared" si="250"/>
        <v>-2.0248678149342178E-3</v>
      </c>
      <c r="AT259" s="20">
        <f t="shared" si="250"/>
        <v>-2.7124153589063008E-4</v>
      </c>
      <c r="AU259" s="20">
        <f t="shared" si="250"/>
        <v>-8.6052942968569841E-5</v>
      </c>
      <c r="AV259" s="20">
        <f t="shared" si="250"/>
        <v>-4.0615787041498935E-3</v>
      </c>
      <c r="AW259" s="20">
        <f t="shared" si="250"/>
        <v>-1.6614464429662355E-4</v>
      </c>
      <c r="AX259" s="20">
        <f t="shared" si="250"/>
        <v>-1.4859864760633564E-3</v>
      </c>
      <c r="AY259" s="20">
        <f t="shared" si="250"/>
        <v>-1.7834046051079867E-3</v>
      </c>
      <c r="AZ259" s="20">
        <f t="shared" si="250"/>
        <v>-1.4203962942941823E-3</v>
      </c>
      <c r="BA259" s="20">
        <f t="shared" si="250"/>
        <v>-1.4980078830579646E-3</v>
      </c>
      <c r="BB259" s="20">
        <f t="shared" si="250"/>
        <v>-5.6465061302234882E-3</v>
      </c>
      <c r="BC259" s="20">
        <f t="shared" si="250"/>
        <v>-9.2823819830393332E-3</v>
      </c>
      <c r="BD259" s="20">
        <f t="shared" si="250"/>
        <v>-3.8867186120274942E-3</v>
      </c>
      <c r="BE259" s="20">
        <f t="shared" si="250"/>
        <v>-6.6620776146814912E-3</v>
      </c>
      <c r="BF259" s="20">
        <f t="shared" si="250"/>
        <v>-1.606193901555984E-4</v>
      </c>
      <c r="BG259" s="20">
        <f t="shared" si="250"/>
        <v>0</v>
      </c>
      <c r="BH259" s="20">
        <f t="shared" si="250"/>
        <v>-1.8076562371313421E-3</v>
      </c>
      <c r="BI259" s="20">
        <f t="shared" si="250"/>
        <v>-2.4562333416544139E-3</v>
      </c>
      <c r="BJ259" s="20">
        <f t="shared" si="250"/>
        <v>-7.3884295559091461E-3</v>
      </c>
      <c r="BK259" s="20">
        <f t="shared" si="250"/>
        <v>-5.1846789493780146E-2</v>
      </c>
      <c r="BL259" s="20">
        <f t="shared" ref="BL259:BR259" si="251">BL191-BL110</f>
        <v>-4.9111183483617283E-3</v>
      </c>
      <c r="BM259" s="20">
        <f t="shared" si="251"/>
        <v>-1.1263315311169907E-2</v>
      </c>
      <c r="BN259" s="20">
        <f t="shared" si="251"/>
        <v>-1.5463270385906881E-2</v>
      </c>
      <c r="BO259" s="20">
        <f t="shared" si="251"/>
        <v>-2.6024688479456908E-3</v>
      </c>
      <c r="BP259" s="20">
        <f t="shared" si="251"/>
        <v>-2.3116523116523117E-2</v>
      </c>
      <c r="BQ259" s="20">
        <f t="shared" si="251"/>
        <v>-4.6666081954471073E-3</v>
      </c>
      <c r="BR259" s="20">
        <f t="shared" si="251"/>
        <v>0</v>
      </c>
    </row>
    <row r="260" spans="1:70" outlineLevel="1" x14ac:dyDescent="0.3">
      <c r="A260" s="7">
        <v>23</v>
      </c>
      <c r="B260" s="150" t="s">
        <v>133</v>
      </c>
      <c r="C260" s="150"/>
      <c r="D260" s="150"/>
      <c r="E260" s="150"/>
      <c r="F260" s="20">
        <f t="shared" ref="F260:AK260" si="252">F192-F111</f>
        <v>-9.0224148819687214E-3</v>
      </c>
      <c r="G260" s="20">
        <f t="shared" si="252"/>
        <v>-9.6712010741968422E-3</v>
      </c>
      <c r="H260" s="20">
        <f t="shared" si="252"/>
        <v>-6.6870793374019175E-2</v>
      </c>
      <c r="I260" s="20">
        <f t="shared" si="252"/>
        <v>-2.1477884652857219E-2</v>
      </c>
      <c r="J260" s="20">
        <f t="shared" si="252"/>
        <v>-2.9153399608899079E-3</v>
      </c>
      <c r="K260" s="20">
        <f t="shared" si="252"/>
        <v>-1.578429148757403E-3</v>
      </c>
      <c r="L260" s="20">
        <f t="shared" si="252"/>
        <v>-9.0849880592528253E-3</v>
      </c>
      <c r="M260" s="20">
        <f t="shared" si="252"/>
        <v>-3.4498114700234144E-3</v>
      </c>
      <c r="N260" s="20">
        <f t="shared" si="252"/>
        <v>-6.0755671998166958E-3</v>
      </c>
      <c r="O260" s="20">
        <f t="shared" si="252"/>
        <v>-2.354476567713603E-2</v>
      </c>
      <c r="P260" s="20">
        <f t="shared" si="252"/>
        <v>-2.7975276681174513E-3</v>
      </c>
      <c r="Q260" s="20">
        <f t="shared" si="252"/>
        <v>-3.7035884809509632E-6</v>
      </c>
      <c r="R260" s="20">
        <f t="shared" si="252"/>
        <v>-2.8133046458053753E-3</v>
      </c>
      <c r="S260" s="20">
        <f t="shared" si="252"/>
        <v>-1.2663087015620729E-2</v>
      </c>
      <c r="T260" s="20">
        <f t="shared" si="252"/>
        <v>-1.8899153682906846E-4</v>
      </c>
      <c r="U260" s="20">
        <f t="shared" si="252"/>
        <v>-5.9589079657691212E-3</v>
      </c>
      <c r="V260" s="20">
        <f t="shared" si="252"/>
        <v>-6.4342560683634136E-4</v>
      </c>
      <c r="W260" s="20">
        <f t="shared" si="252"/>
        <v>-1.5627297687251344E-3</v>
      </c>
      <c r="X260" s="20">
        <f t="shared" si="252"/>
        <v>-8.9021248907344616E-4</v>
      </c>
      <c r="Y260" s="20">
        <f t="shared" si="252"/>
        <v>-2.4847040847766374E-3</v>
      </c>
      <c r="Z260" s="20">
        <f t="shared" si="252"/>
        <v>-2.6501004691407058E-2</v>
      </c>
      <c r="AA260" s="20">
        <f t="shared" si="252"/>
        <v>-3.0512396684194264E-3</v>
      </c>
      <c r="AB260" s="20">
        <f t="shared" si="252"/>
        <v>0.90275719635512341</v>
      </c>
      <c r="AC260" s="20">
        <f t="shared" si="252"/>
        <v>-9.3027073958296836E-3</v>
      </c>
      <c r="AD260" s="20">
        <f t="shared" si="252"/>
        <v>0</v>
      </c>
      <c r="AE260" s="20">
        <f t="shared" si="252"/>
        <v>-1.7502708716572512E-2</v>
      </c>
      <c r="AF260" s="20">
        <f t="shared" si="252"/>
        <v>-1.3680497450124477E-3</v>
      </c>
      <c r="AG260" s="20">
        <f t="shared" si="252"/>
        <v>-3.6434570308758003E-3</v>
      </c>
      <c r="AH260" s="20">
        <f t="shared" si="252"/>
        <v>-3.8492304286058018E-3</v>
      </c>
      <c r="AI260" s="20">
        <f t="shared" si="252"/>
        <v>-2.2615752438755817E-3</v>
      </c>
      <c r="AJ260" s="20">
        <f t="shared" si="252"/>
        <v>-2.7368432123049606E-3</v>
      </c>
      <c r="AK260" s="20">
        <f t="shared" si="252"/>
        <v>-4.7092420941098265E-3</v>
      </c>
      <c r="AL260" s="20">
        <f t="shared" ref="AL260:BK260" si="253">AL192-AL111</f>
        <v>-1.0343035118934562E-2</v>
      </c>
      <c r="AM260" s="20">
        <f t="shared" si="253"/>
        <v>-2.2979000415670812E-3</v>
      </c>
      <c r="AN260" s="20">
        <f t="shared" si="253"/>
        <v>-3.7629303233701263E-2</v>
      </c>
      <c r="AO260" s="20">
        <f t="shared" si="253"/>
        <v>-5.5257484873105188E-3</v>
      </c>
      <c r="AP260" s="20">
        <f t="shared" si="253"/>
        <v>-6.2367950063957111E-3</v>
      </c>
      <c r="AQ260" s="20">
        <f t="shared" si="253"/>
        <v>-4.0011244246600467E-3</v>
      </c>
      <c r="AR260" s="20">
        <f t="shared" si="253"/>
        <v>-5.6527946761834175E-4</v>
      </c>
      <c r="AS260" s="20">
        <f t="shared" si="253"/>
        <v>-1.57440162703035E-3</v>
      </c>
      <c r="AT260" s="20">
        <f t="shared" si="253"/>
        <v>0</v>
      </c>
      <c r="AU260" s="20">
        <f t="shared" si="253"/>
        <v>0</v>
      </c>
      <c r="AV260" s="20">
        <f t="shared" si="253"/>
        <v>-1.0553586829469606E-3</v>
      </c>
      <c r="AW260" s="20">
        <f t="shared" si="253"/>
        <v>-1.9834798893189507E-3</v>
      </c>
      <c r="AX260" s="20">
        <f t="shared" si="253"/>
        <v>-1.9186450138876971E-3</v>
      </c>
      <c r="AY260" s="20">
        <f t="shared" si="253"/>
        <v>-1.3323191267558267E-3</v>
      </c>
      <c r="AZ260" s="20">
        <f t="shared" si="253"/>
        <v>0</v>
      </c>
      <c r="BA260" s="20">
        <f t="shared" si="253"/>
        <v>-5.1646240600751198E-4</v>
      </c>
      <c r="BB260" s="20">
        <f t="shared" si="253"/>
        <v>-9.320499452288905E-4</v>
      </c>
      <c r="BC260" s="20">
        <f t="shared" si="253"/>
        <v>-3.5224125153971033E-4</v>
      </c>
      <c r="BD260" s="20">
        <f t="shared" si="253"/>
        <v>-2.938704003277785E-3</v>
      </c>
      <c r="BE260" s="20">
        <f t="shared" si="253"/>
        <v>-3.1516547104795727E-2</v>
      </c>
      <c r="BF260" s="20">
        <f t="shared" si="253"/>
        <v>0</v>
      </c>
      <c r="BG260" s="20">
        <f t="shared" si="253"/>
        <v>-3.474321604865855E-4</v>
      </c>
      <c r="BH260" s="20">
        <f t="shared" si="253"/>
        <v>-3.5308276589470216E-4</v>
      </c>
      <c r="BI260" s="20">
        <f t="shared" si="253"/>
        <v>-3.0913814375806855E-3</v>
      </c>
      <c r="BJ260" s="20">
        <f t="shared" si="253"/>
        <v>-9.361629096910891E-4</v>
      </c>
      <c r="BK260" s="20">
        <f t="shared" si="253"/>
        <v>-5.1040950129775204E-3</v>
      </c>
      <c r="BL260" s="20">
        <f t="shared" ref="BL260:BR260" si="254">BL192-BL111</f>
        <v>-2.5644509357698447E-3</v>
      </c>
      <c r="BM260" s="20">
        <f t="shared" si="254"/>
        <v>-4.385137466927413E-4</v>
      </c>
      <c r="BN260" s="20">
        <f t="shared" si="254"/>
        <v>-1.0114340378203242E-3</v>
      </c>
      <c r="BO260" s="20">
        <f t="shared" si="254"/>
        <v>-1.1864459978746206E-3</v>
      </c>
      <c r="BP260" s="20">
        <f t="shared" si="254"/>
        <v>-1.5159390159390158E-4</v>
      </c>
      <c r="BQ260" s="20">
        <f t="shared" si="254"/>
        <v>-1.4313351298111478E-2</v>
      </c>
      <c r="BR260" s="20">
        <f t="shared" si="254"/>
        <v>0</v>
      </c>
    </row>
    <row r="261" spans="1:70" outlineLevel="1" x14ac:dyDescent="0.3">
      <c r="A261" s="7">
        <v>24</v>
      </c>
      <c r="B261" s="152" t="s">
        <v>286</v>
      </c>
      <c r="C261" s="151"/>
      <c r="D261" s="151"/>
      <c r="E261" s="153"/>
      <c r="F261" s="20">
        <f t="shared" ref="F261:AK261" si="255">F193-F112</f>
        <v>-1.7200616604386206E-2</v>
      </c>
      <c r="G261" s="20">
        <f t="shared" si="255"/>
        <v>-2.5904662648748777E-3</v>
      </c>
      <c r="H261" s="20">
        <f t="shared" si="255"/>
        <v>-1.0808020924149958E-2</v>
      </c>
      <c r="I261" s="20">
        <f t="shared" si="255"/>
        <v>-5.8313162577005577E-2</v>
      </c>
      <c r="J261" s="20">
        <f t="shared" si="255"/>
        <v>-9.3450555976023596E-3</v>
      </c>
      <c r="K261" s="20">
        <f t="shared" si="255"/>
        <v>-5.4916956208401141E-3</v>
      </c>
      <c r="L261" s="20">
        <f t="shared" si="255"/>
        <v>-1.620787441702758E-2</v>
      </c>
      <c r="M261" s="20">
        <f t="shared" si="255"/>
        <v>-4.463930483159903E-2</v>
      </c>
      <c r="N261" s="20">
        <f t="shared" si="255"/>
        <v>-1.0748362655375373E-2</v>
      </c>
      <c r="O261" s="20">
        <f t="shared" si="255"/>
        <v>-3.6109077992809935E-2</v>
      </c>
      <c r="P261" s="20">
        <f t="shared" si="255"/>
        <v>-3.783126140470845E-3</v>
      </c>
      <c r="Q261" s="20">
        <f t="shared" si="255"/>
        <v>-6.3035075945785393E-4</v>
      </c>
      <c r="R261" s="20">
        <f t="shared" si="255"/>
        <v>-9.7041978989670773E-3</v>
      </c>
      <c r="S261" s="20">
        <f t="shared" si="255"/>
        <v>-2.5414045986799683E-2</v>
      </c>
      <c r="T261" s="20">
        <f t="shared" si="255"/>
        <v>-2.422092028052407E-3</v>
      </c>
      <c r="U261" s="20">
        <f t="shared" si="255"/>
        <v>-7.8247128454789674E-3</v>
      </c>
      <c r="V261" s="20">
        <f t="shared" si="255"/>
        <v>-3.2956081471262783E-4</v>
      </c>
      <c r="W261" s="20">
        <f t="shared" si="255"/>
        <v>-2.7190727319471733E-3</v>
      </c>
      <c r="X261" s="20">
        <f t="shared" si="255"/>
        <v>-4.2064029754786385E-3</v>
      </c>
      <c r="Y261" s="20">
        <f t="shared" si="255"/>
        <v>-2.3562946737722273E-3</v>
      </c>
      <c r="Z261" s="20">
        <f t="shared" si="255"/>
        <v>-1.3244630079243566E-3</v>
      </c>
      <c r="AA261" s="20">
        <f t="shared" si="255"/>
        <v>-9.9512365462488938E-3</v>
      </c>
      <c r="AB261" s="20">
        <f t="shared" si="255"/>
        <v>-5.5192092486860368E-3</v>
      </c>
      <c r="AC261" s="20">
        <f t="shared" si="255"/>
        <v>0.99866394168475414</v>
      </c>
      <c r="AD261" s="20">
        <f t="shared" si="255"/>
        <v>-5.1473879860344991E-4</v>
      </c>
      <c r="AE261" s="20">
        <f t="shared" si="255"/>
        <v>-3.5097187126713551E-2</v>
      </c>
      <c r="AF261" s="20">
        <f t="shared" si="255"/>
        <v>-7.4546330562499555E-2</v>
      </c>
      <c r="AG261" s="20">
        <f t="shared" si="255"/>
        <v>-3.9396850315254386E-3</v>
      </c>
      <c r="AH261" s="20">
        <f t="shared" si="255"/>
        <v>-2.1304880023737239E-3</v>
      </c>
      <c r="AI261" s="20">
        <f t="shared" si="255"/>
        <v>-1.251045582544686E-2</v>
      </c>
      <c r="AJ261" s="20">
        <f t="shared" si="255"/>
        <v>-4.7499326858828706E-3</v>
      </c>
      <c r="AK261" s="20">
        <f t="shared" si="255"/>
        <v>-3.6641695821715212E-2</v>
      </c>
      <c r="AL261" s="20">
        <f t="shared" ref="AL261:BK261" si="256">AL193-AL112</f>
        <v>-3.7561475510170823E-3</v>
      </c>
      <c r="AM261" s="20">
        <f t="shared" si="256"/>
        <v>0</v>
      </c>
      <c r="AN261" s="20">
        <f t="shared" si="256"/>
        <v>0</v>
      </c>
      <c r="AO261" s="20">
        <f t="shared" si="256"/>
        <v>-8.136841225059234E-3</v>
      </c>
      <c r="AP261" s="20">
        <f t="shared" si="256"/>
        <v>-7.7790601040507897E-3</v>
      </c>
      <c r="AQ261" s="20">
        <f t="shared" si="256"/>
        <v>-2.7258721292514245E-2</v>
      </c>
      <c r="AR261" s="20">
        <f t="shared" si="256"/>
        <v>-1.7103949556692313E-3</v>
      </c>
      <c r="AS261" s="20">
        <f t="shared" si="256"/>
        <v>-3.4275570832091331E-3</v>
      </c>
      <c r="AT261" s="20">
        <f t="shared" si="256"/>
        <v>-6.4844683005927002E-3</v>
      </c>
      <c r="AU261" s="20">
        <f t="shared" si="256"/>
        <v>-2.9051810183618886E-3</v>
      </c>
      <c r="AV261" s="20">
        <f t="shared" si="256"/>
        <v>-2.6015603183899608E-3</v>
      </c>
      <c r="AW261" s="20">
        <f t="shared" si="256"/>
        <v>-2.7219005306372774E-3</v>
      </c>
      <c r="AX261" s="20">
        <f t="shared" si="256"/>
        <v>-4.8345650380371668E-4</v>
      </c>
      <c r="AY261" s="20">
        <f t="shared" si="256"/>
        <v>-1.1791034362058125E-2</v>
      </c>
      <c r="AZ261" s="20">
        <f t="shared" si="256"/>
        <v>-1.9989135326432847E-3</v>
      </c>
      <c r="BA261" s="20">
        <f t="shared" si="256"/>
        <v>-3.6936403726803395E-3</v>
      </c>
      <c r="BB261" s="20">
        <f t="shared" si="256"/>
        <v>-1.0045510839409601E-2</v>
      </c>
      <c r="BC261" s="20">
        <f t="shared" si="256"/>
        <v>-1.9631531259438235E-3</v>
      </c>
      <c r="BD261" s="20">
        <f t="shared" si="256"/>
        <v>-1.5428196017208374E-3</v>
      </c>
      <c r="BE261" s="20">
        <f t="shared" si="256"/>
        <v>-1.5213239518968007E-3</v>
      </c>
      <c r="BF261" s="20">
        <f t="shared" si="256"/>
        <v>-4.2440082764690632E-4</v>
      </c>
      <c r="BG261" s="20">
        <f t="shared" si="256"/>
        <v>-6.2718273126799191E-4</v>
      </c>
      <c r="BH261" s="20">
        <f t="shared" si="256"/>
        <v>-3.6259394950571072E-3</v>
      </c>
      <c r="BI261" s="20">
        <f t="shared" si="256"/>
        <v>-1.0041950850120735E-2</v>
      </c>
      <c r="BJ261" s="20">
        <f t="shared" si="256"/>
        <v>-1.2589131746557743E-2</v>
      </c>
      <c r="BK261" s="20">
        <f t="shared" si="256"/>
        <v>-8.9025638587582299E-3</v>
      </c>
      <c r="BL261" s="20">
        <f t="shared" ref="BL261:BR261" si="257">BL193-BL112</f>
        <v>-1.9638479351524584E-2</v>
      </c>
      <c r="BM261" s="20">
        <f t="shared" si="257"/>
        <v>-1.6676406303922697E-2</v>
      </c>
      <c r="BN261" s="20">
        <f t="shared" si="257"/>
        <v>-2.689789762000612E-2</v>
      </c>
      <c r="BO261" s="20">
        <f t="shared" si="257"/>
        <v>-1.1635779911128649E-2</v>
      </c>
      <c r="BP261" s="20">
        <f t="shared" si="257"/>
        <v>-2.3729086229086231E-3</v>
      </c>
      <c r="BQ261" s="20">
        <f t="shared" si="257"/>
        <v>-2.052843868738161E-2</v>
      </c>
      <c r="BR261" s="20">
        <f t="shared" si="257"/>
        <v>0</v>
      </c>
    </row>
    <row r="262" spans="1:70" outlineLevel="1" x14ac:dyDescent="0.3">
      <c r="A262" s="7">
        <v>25</v>
      </c>
      <c r="B262" s="152" t="s">
        <v>287</v>
      </c>
      <c r="C262" s="151"/>
      <c r="D262" s="151"/>
      <c r="E262" s="153"/>
      <c r="F262" s="20">
        <f t="shared" ref="F262:AK262" si="258">F194-F113</f>
        <v>-3.9234813062185838E-3</v>
      </c>
      <c r="G262" s="20">
        <f t="shared" si="258"/>
        <v>0</v>
      </c>
      <c r="H262" s="20">
        <f t="shared" si="258"/>
        <v>0</v>
      </c>
      <c r="I262" s="20">
        <f t="shared" si="258"/>
        <v>-2.0183310174215732E-3</v>
      </c>
      <c r="J262" s="20">
        <f t="shared" si="258"/>
        <v>-4.3213264983866882E-3</v>
      </c>
      <c r="K262" s="20">
        <f t="shared" si="258"/>
        <v>-1.1539132717891653E-3</v>
      </c>
      <c r="L262" s="20">
        <f t="shared" si="258"/>
        <v>-2.7111235410717796E-3</v>
      </c>
      <c r="M262" s="20">
        <f t="shared" si="258"/>
        <v>-2.6058096580940288E-2</v>
      </c>
      <c r="N262" s="20">
        <f t="shared" si="258"/>
        <v>-1.9963318503834556E-3</v>
      </c>
      <c r="O262" s="20">
        <f t="shared" si="258"/>
        <v>-1.4445783910619335E-2</v>
      </c>
      <c r="P262" s="20">
        <f t="shared" si="258"/>
        <v>-8.8507363341031964E-4</v>
      </c>
      <c r="Q262" s="20">
        <f t="shared" si="258"/>
        <v>-5.7664872648406499E-4</v>
      </c>
      <c r="R262" s="20">
        <f t="shared" si="258"/>
        <v>-2.8308319934282366E-4</v>
      </c>
      <c r="S262" s="20">
        <f t="shared" si="258"/>
        <v>-1.1829851317793572E-2</v>
      </c>
      <c r="T262" s="20">
        <f t="shared" si="258"/>
        <v>-1.3569654207350626E-3</v>
      </c>
      <c r="U262" s="20">
        <f t="shared" si="258"/>
        <v>-1.3095110618061877E-3</v>
      </c>
      <c r="V262" s="20">
        <f t="shared" si="258"/>
        <v>-2.4061668670878063E-4</v>
      </c>
      <c r="W262" s="20">
        <f t="shared" si="258"/>
        <v>-1.0556199710752959E-4</v>
      </c>
      <c r="X262" s="20">
        <f t="shared" si="258"/>
        <v>-4.9194071685343854E-4</v>
      </c>
      <c r="Y262" s="20">
        <f t="shared" si="258"/>
        <v>-3.2769024623015069E-4</v>
      </c>
      <c r="Z262" s="20">
        <f t="shared" si="258"/>
        <v>0</v>
      </c>
      <c r="AA262" s="20">
        <f t="shared" si="258"/>
        <v>-1.5866991897815904E-3</v>
      </c>
      <c r="AB262" s="20">
        <f t="shared" si="258"/>
        <v>-8.7785297361041891E-5</v>
      </c>
      <c r="AC262" s="20">
        <f t="shared" si="258"/>
        <v>-2.5269092894585E-2</v>
      </c>
      <c r="AD262" s="20">
        <f t="shared" si="258"/>
        <v>0.95812157445373225</v>
      </c>
      <c r="AE262" s="20">
        <f t="shared" si="258"/>
        <v>-0.30291703000038145</v>
      </c>
      <c r="AF262" s="20">
        <f t="shared" si="258"/>
        <v>-2.9837103036018092E-3</v>
      </c>
      <c r="AG262" s="20">
        <f t="shared" si="258"/>
        <v>-2.5846998385041578E-3</v>
      </c>
      <c r="AH262" s="20">
        <f t="shared" si="258"/>
        <v>-2.3801412711761034E-3</v>
      </c>
      <c r="AI262" s="20">
        <f t="shared" si="258"/>
        <v>-1.2396252918305832E-3</v>
      </c>
      <c r="AJ262" s="20">
        <f t="shared" si="258"/>
        <v>0</v>
      </c>
      <c r="AK262" s="20">
        <f t="shared" si="258"/>
        <v>-4.3855953401516991E-4</v>
      </c>
      <c r="AL262" s="20">
        <f t="shared" ref="AL262:BK262" si="259">AL194-AL113</f>
        <v>-8.5722422610666504E-5</v>
      </c>
      <c r="AM262" s="20">
        <f t="shared" si="259"/>
        <v>0</v>
      </c>
      <c r="AN262" s="20">
        <f t="shared" si="259"/>
        <v>-1.4549252467202476E-4</v>
      </c>
      <c r="AO262" s="20">
        <f t="shared" si="259"/>
        <v>-8.3166389778127417E-3</v>
      </c>
      <c r="AP262" s="20">
        <f t="shared" si="259"/>
        <v>-5.8030329476802195E-3</v>
      </c>
      <c r="AQ262" s="20">
        <f t="shared" si="259"/>
        <v>-1.4163829933220658E-3</v>
      </c>
      <c r="AR262" s="20">
        <f t="shared" si="259"/>
        <v>-2.4867444390935635E-5</v>
      </c>
      <c r="AS262" s="20">
        <f t="shared" si="259"/>
        <v>-3.9843213979616038E-4</v>
      </c>
      <c r="AT262" s="20">
        <f t="shared" si="259"/>
        <v>-1.60533131719575E-5</v>
      </c>
      <c r="AU262" s="20">
        <f t="shared" si="259"/>
        <v>-5.3441191965811105E-5</v>
      </c>
      <c r="AV262" s="20">
        <f t="shared" si="259"/>
        <v>0</v>
      </c>
      <c r="AW262" s="20">
        <f t="shared" si="259"/>
        <v>-9.7772362693074764E-5</v>
      </c>
      <c r="AX262" s="20">
        <f t="shared" si="259"/>
        <v>0</v>
      </c>
      <c r="AY262" s="20">
        <f t="shared" si="259"/>
        <v>-1.8976264508734817E-3</v>
      </c>
      <c r="AZ262" s="20">
        <f t="shared" si="259"/>
        <v>-4.8198674403308401E-4</v>
      </c>
      <c r="BA262" s="20">
        <f t="shared" si="259"/>
        <v>-1.9450748236587824E-4</v>
      </c>
      <c r="BB262" s="20">
        <f t="shared" si="259"/>
        <v>-7.483502791256197E-4</v>
      </c>
      <c r="BC262" s="20">
        <f t="shared" si="259"/>
        <v>-4.3043737459027734E-6</v>
      </c>
      <c r="BD262" s="20">
        <f t="shared" si="259"/>
        <v>-1.8366900020486158E-5</v>
      </c>
      <c r="BE262" s="20">
        <f t="shared" si="259"/>
        <v>-2.908499796575681E-3</v>
      </c>
      <c r="BF262" s="20">
        <f t="shared" si="259"/>
        <v>-3.8522536663334568E-5</v>
      </c>
      <c r="BG262" s="20">
        <f t="shared" si="259"/>
        <v>0</v>
      </c>
      <c r="BH262" s="20">
        <f t="shared" si="259"/>
        <v>-4.9978878796171087E-3</v>
      </c>
      <c r="BI262" s="20">
        <f t="shared" si="259"/>
        <v>-4.532374596362872E-4</v>
      </c>
      <c r="BJ262" s="20">
        <f t="shared" si="259"/>
        <v>-1.9071295355518249E-3</v>
      </c>
      <c r="BK262" s="20">
        <f t="shared" si="259"/>
        <v>-5.4614039492665884E-4</v>
      </c>
      <c r="BL262" s="20">
        <f t="shared" ref="BL262:BR262" si="260">BL194-BL113</f>
        <v>-1.6963138640191649E-3</v>
      </c>
      <c r="BM262" s="20">
        <f t="shared" si="260"/>
        <v>-6.2303002415736795E-4</v>
      </c>
      <c r="BN262" s="20">
        <f t="shared" si="260"/>
        <v>-1.0450306229926778E-3</v>
      </c>
      <c r="BO262" s="20">
        <f t="shared" si="260"/>
        <v>0</v>
      </c>
      <c r="BP262" s="20">
        <f t="shared" si="260"/>
        <v>0</v>
      </c>
      <c r="BQ262" s="20">
        <f t="shared" si="260"/>
        <v>-1.8543441595820716E-2</v>
      </c>
      <c r="BR262" s="20">
        <f t="shared" si="260"/>
        <v>0</v>
      </c>
    </row>
    <row r="263" spans="1:70" outlineLevel="1" x14ac:dyDescent="0.3">
      <c r="A263" s="7">
        <v>26</v>
      </c>
      <c r="B263" s="152" t="s">
        <v>288</v>
      </c>
      <c r="C263" s="151"/>
      <c r="D263" s="151"/>
      <c r="E263" s="153"/>
      <c r="F263" s="20">
        <f t="shared" ref="F263:AK263" si="261">F195-F114</f>
        <v>-9.8763361045322803E-4</v>
      </c>
      <c r="G263" s="20">
        <f t="shared" si="261"/>
        <v>-1.3217879718723519E-4</v>
      </c>
      <c r="H263" s="20">
        <f t="shared" si="261"/>
        <v>-1.1661726242371403E-3</v>
      </c>
      <c r="I263" s="20">
        <f t="shared" si="261"/>
        <v>-7.1393178938488234E-4</v>
      </c>
      <c r="J263" s="20">
        <f t="shared" si="261"/>
        <v>-1.559707863522633E-3</v>
      </c>
      <c r="K263" s="20">
        <f t="shared" si="261"/>
        <v>-2.8253913665253275E-3</v>
      </c>
      <c r="L263" s="20">
        <f t="shared" si="261"/>
        <v>-5.4385695919652137E-4</v>
      </c>
      <c r="M263" s="20">
        <f t="shared" si="261"/>
        <v>0</v>
      </c>
      <c r="N263" s="20">
        <f t="shared" si="261"/>
        <v>-2.8205768885838436E-3</v>
      </c>
      <c r="O263" s="20">
        <f t="shared" si="261"/>
        <v>-7.948894581620132E-3</v>
      </c>
      <c r="P263" s="20">
        <f t="shared" si="261"/>
        <v>-6.2178542869706982E-3</v>
      </c>
      <c r="Q263" s="20">
        <f t="shared" si="261"/>
        <v>-3.5924808265224346E-5</v>
      </c>
      <c r="R263" s="20">
        <f t="shared" si="261"/>
        <v>-8.8033583720864095E-4</v>
      </c>
      <c r="S263" s="20">
        <f t="shared" si="261"/>
        <v>-1.5883629907136728E-3</v>
      </c>
      <c r="T263" s="20">
        <f t="shared" si="261"/>
        <v>-1.1630248420250367E-4</v>
      </c>
      <c r="U263" s="20">
        <f t="shared" si="261"/>
        <v>-2.1394087083292327E-3</v>
      </c>
      <c r="V263" s="20">
        <f t="shared" si="261"/>
        <v>-1.261804369115905E-4</v>
      </c>
      <c r="W263" s="20">
        <f t="shared" si="261"/>
        <v>-1.1463961196915332E-3</v>
      </c>
      <c r="X263" s="20">
        <f t="shared" si="261"/>
        <v>-1.621807465033538E-3</v>
      </c>
      <c r="Y263" s="20">
        <f t="shared" si="261"/>
        <v>-4.7904277931299158E-4</v>
      </c>
      <c r="Z263" s="20">
        <f t="shared" si="261"/>
        <v>-5.5199304723651144E-4</v>
      </c>
      <c r="AA263" s="20">
        <f t="shared" si="261"/>
        <v>-3.0300210337294449E-3</v>
      </c>
      <c r="AB263" s="20">
        <f t="shared" si="261"/>
        <v>-2.2295911807627454E-3</v>
      </c>
      <c r="AC263" s="20">
        <f t="shared" si="261"/>
        <v>-4.1045051690937457E-5</v>
      </c>
      <c r="AD263" s="20">
        <f t="shared" si="261"/>
        <v>0</v>
      </c>
      <c r="AE263" s="20">
        <f t="shared" si="261"/>
        <v>0.99876129796335478</v>
      </c>
      <c r="AF263" s="20">
        <f t="shared" si="261"/>
        <v>-3.7843186008338298E-3</v>
      </c>
      <c r="AG263" s="20">
        <f t="shared" si="261"/>
        <v>-5.3792646884138302E-4</v>
      </c>
      <c r="AH263" s="20">
        <f t="shared" si="261"/>
        <v>-7.128852736999592E-4</v>
      </c>
      <c r="AI263" s="20">
        <f t="shared" si="261"/>
        <v>-4.8021428246594481E-3</v>
      </c>
      <c r="AJ263" s="20">
        <f t="shared" si="261"/>
        <v>-1.7230979862890735E-3</v>
      </c>
      <c r="AK263" s="20">
        <f t="shared" si="261"/>
        <v>-8.36400877700905E-3</v>
      </c>
      <c r="AL263" s="20">
        <f t="shared" ref="AL263:BK263" si="262">AL195-AL114</f>
        <v>-6.1328437386932077E-4</v>
      </c>
      <c r="AM263" s="20">
        <f t="shared" si="262"/>
        <v>0</v>
      </c>
      <c r="AN263" s="20">
        <f t="shared" si="262"/>
        <v>0</v>
      </c>
      <c r="AO263" s="20">
        <f t="shared" si="262"/>
        <v>-4.6263303557752058E-3</v>
      </c>
      <c r="AP263" s="20">
        <f t="shared" si="262"/>
        <v>-4.2229927758427096E-3</v>
      </c>
      <c r="AQ263" s="20">
        <f t="shared" si="262"/>
        <v>-1.1165305828104455E-2</v>
      </c>
      <c r="AR263" s="20">
        <f t="shared" si="262"/>
        <v>-9.8984559136602347E-4</v>
      </c>
      <c r="AS263" s="20">
        <f t="shared" si="262"/>
        <v>-2.7518578013533313E-3</v>
      </c>
      <c r="AT263" s="20">
        <f t="shared" si="262"/>
        <v>-4.5103864341655415E-4</v>
      </c>
      <c r="AU263" s="20">
        <f t="shared" si="262"/>
        <v>-7.971995132222767E-4</v>
      </c>
      <c r="AV263" s="20">
        <f t="shared" si="262"/>
        <v>-1.564426767096409E-3</v>
      </c>
      <c r="AW263" s="20">
        <f t="shared" si="262"/>
        <v>-4.7245246588052209E-4</v>
      </c>
      <c r="AX263" s="20">
        <f t="shared" si="262"/>
        <v>-7.7656660635138069E-5</v>
      </c>
      <c r="AY263" s="20">
        <f t="shared" si="262"/>
        <v>-6.2539992150779699E-3</v>
      </c>
      <c r="AZ263" s="20">
        <f t="shared" si="262"/>
        <v>-5.1034673753558313E-4</v>
      </c>
      <c r="BA263" s="20">
        <f t="shared" si="262"/>
        <v>-2.2807086611546204E-3</v>
      </c>
      <c r="BB263" s="20">
        <f t="shared" si="262"/>
        <v>-7.923177401929599E-3</v>
      </c>
      <c r="BC263" s="20">
        <f t="shared" si="262"/>
        <v>-2.5395805100826368E-4</v>
      </c>
      <c r="BD263" s="20">
        <f t="shared" si="262"/>
        <v>-4.831907543850974E-4</v>
      </c>
      <c r="BE263" s="20">
        <f t="shared" si="262"/>
        <v>-2.6976431957639288E-4</v>
      </c>
      <c r="BF263" s="20">
        <f t="shared" si="262"/>
        <v>-1.3450241614655799E-4</v>
      </c>
      <c r="BG263" s="20">
        <f t="shared" si="262"/>
        <v>-3.4404808100132653E-4</v>
      </c>
      <c r="BH263" s="20">
        <f t="shared" si="262"/>
        <v>-1.6833200938365937E-3</v>
      </c>
      <c r="BI263" s="20">
        <f t="shared" si="262"/>
        <v>-4.4310118203801773E-3</v>
      </c>
      <c r="BJ263" s="20">
        <f t="shared" si="262"/>
        <v>-2.486115028906483E-2</v>
      </c>
      <c r="BK263" s="20">
        <f t="shared" si="262"/>
        <v>-8.3229953928689749E-3</v>
      </c>
      <c r="BL263" s="20">
        <f t="shared" ref="BL263:BR263" si="263">BL195-BL114</f>
        <v>-2.513801281526163E-2</v>
      </c>
      <c r="BM263" s="20">
        <f t="shared" si="263"/>
        <v>-1.2319797538249166E-2</v>
      </c>
      <c r="BN263" s="20">
        <f t="shared" si="263"/>
        <v>-2.4938686232060452E-2</v>
      </c>
      <c r="BO263" s="20">
        <f t="shared" si="263"/>
        <v>-1.2241109501881006E-2</v>
      </c>
      <c r="BP263" s="20">
        <f t="shared" si="263"/>
        <v>-3.6475348975348976E-3</v>
      </c>
      <c r="BQ263" s="20">
        <f t="shared" si="263"/>
        <v>-5.7916751097091459E-3</v>
      </c>
      <c r="BR263" s="20">
        <f t="shared" si="263"/>
        <v>0</v>
      </c>
    </row>
    <row r="264" spans="1:70" outlineLevel="1" x14ac:dyDescent="0.3">
      <c r="A264" s="7">
        <v>27</v>
      </c>
      <c r="B264" s="150" t="s">
        <v>134</v>
      </c>
      <c r="C264" s="150"/>
      <c r="D264" s="150"/>
      <c r="E264" s="150"/>
      <c r="F264" s="20">
        <f t="shared" ref="F264:AK264" si="264">F196-F115</f>
        <v>-1.2067769528513034E-3</v>
      </c>
      <c r="G264" s="20">
        <f t="shared" si="264"/>
        <v>-1.7933447618376236E-4</v>
      </c>
      <c r="H264" s="20">
        <f t="shared" si="264"/>
        <v>-1.2275501307759372E-3</v>
      </c>
      <c r="I264" s="20">
        <f t="shared" si="264"/>
        <v>0</v>
      </c>
      <c r="J264" s="20">
        <f t="shared" si="264"/>
        <v>-2.6202028904925303E-3</v>
      </c>
      <c r="K264" s="20">
        <f t="shared" si="264"/>
        <v>-8.6211177719977539E-4</v>
      </c>
      <c r="L264" s="20">
        <f t="shared" si="264"/>
        <v>-1.8476174312011877E-4</v>
      </c>
      <c r="M264" s="20">
        <f t="shared" si="264"/>
        <v>-1.1535099751816713E-4</v>
      </c>
      <c r="N264" s="20">
        <f t="shared" si="264"/>
        <v>-5.6815884394190272E-4</v>
      </c>
      <c r="O264" s="20">
        <f t="shared" si="264"/>
        <v>-7.4074871375368655E-3</v>
      </c>
      <c r="P264" s="20">
        <f t="shared" si="264"/>
        <v>-5.0779522552520085E-4</v>
      </c>
      <c r="Q264" s="20">
        <f t="shared" si="264"/>
        <v>-1.9777162488278144E-4</v>
      </c>
      <c r="R264" s="20">
        <f t="shared" si="264"/>
        <v>-2.025566116792985E-4</v>
      </c>
      <c r="S264" s="20">
        <f t="shared" si="264"/>
        <v>-5.7033423729523926E-4</v>
      </c>
      <c r="T264" s="20">
        <f t="shared" si="264"/>
        <v>-2.7219730345266816E-5</v>
      </c>
      <c r="U264" s="20">
        <f t="shared" si="264"/>
        <v>-6.2303888596537194E-4</v>
      </c>
      <c r="V264" s="20">
        <f t="shared" si="264"/>
        <v>-1.6920534989467803E-4</v>
      </c>
      <c r="W264" s="20">
        <f t="shared" si="264"/>
        <v>-1.1138672530106899E-4</v>
      </c>
      <c r="X264" s="20">
        <f t="shared" si="264"/>
        <v>-3.2605373093774412E-4</v>
      </c>
      <c r="Y264" s="20">
        <f t="shared" si="264"/>
        <v>-1.5183301731484992E-4</v>
      </c>
      <c r="Z264" s="20">
        <f t="shared" si="264"/>
        <v>-4.0572022814289036E-5</v>
      </c>
      <c r="AA264" s="20">
        <f t="shared" si="264"/>
        <v>-5.1364252117392392E-4</v>
      </c>
      <c r="AB264" s="20">
        <f t="shared" si="264"/>
        <v>-1.0371094865220436E-3</v>
      </c>
      <c r="AC264" s="20">
        <f t="shared" si="264"/>
        <v>0</v>
      </c>
      <c r="AD264" s="20">
        <f t="shared" si="264"/>
        <v>-8.5631223427560982E-6</v>
      </c>
      <c r="AE264" s="20">
        <f t="shared" si="264"/>
        <v>-2.9732625410084017E-3</v>
      </c>
      <c r="AF264" s="20">
        <f t="shared" si="264"/>
        <v>0.99997627063036554</v>
      </c>
      <c r="AG264" s="20">
        <f t="shared" si="264"/>
        <v>-7.2804294687025541E-4</v>
      </c>
      <c r="AH264" s="20">
        <f t="shared" si="264"/>
        <v>-1.7152419324922976E-4</v>
      </c>
      <c r="AI264" s="20">
        <f t="shared" si="264"/>
        <v>-1.3147386133058904E-3</v>
      </c>
      <c r="AJ264" s="20">
        <f t="shared" si="264"/>
        <v>-1.9020047476619924E-4</v>
      </c>
      <c r="AK264" s="20">
        <f t="shared" si="264"/>
        <v>-2.5014829047498772E-3</v>
      </c>
      <c r="AL264" s="20">
        <f t="shared" ref="AL264:BK264" si="265">AL196-AL115</f>
        <v>-4.8488343906374448E-4</v>
      </c>
      <c r="AM264" s="20">
        <f t="shared" si="265"/>
        <v>0</v>
      </c>
      <c r="AN264" s="20">
        <f t="shared" si="265"/>
        <v>-6.2353939145153467E-5</v>
      </c>
      <c r="AO264" s="20">
        <f t="shared" si="265"/>
        <v>-2.7323891321436196E-4</v>
      </c>
      <c r="AP264" s="20">
        <f t="shared" si="265"/>
        <v>-7.5680407241351456E-4</v>
      </c>
      <c r="AQ264" s="20">
        <f t="shared" si="265"/>
        <v>-6.6893115244425838E-3</v>
      </c>
      <c r="AR264" s="20">
        <f t="shared" si="265"/>
        <v>-8.3093655647760542E-5</v>
      </c>
      <c r="AS264" s="20">
        <f t="shared" si="265"/>
        <v>-1.0852815748178994E-4</v>
      </c>
      <c r="AT264" s="20">
        <f t="shared" si="265"/>
        <v>-4.5068190312384398E-5</v>
      </c>
      <c r="AU264" s="20">
        <f t="shared" si="265"/>
        <v>-5.6386769475737704E-5</v>
      </c>
      <c r="AV264" s="20">
        <f t="shared" si="265"/>
        <v>-6.3973301108829377E-4</v>
      </c>
      <c r="AW264" s="20">
        <f t="shared" si="265"/>
        <v>-1.6956325837680098E-4</v>
      </c>
      <c r="AX264" s="20">
        <f t="shared" si="265"/>
        <v>-1.4480339727454317E-4</v>
      </c>
      <c r="AY264" s="20">
        <f t="shared" si="265"/>
        <v>-1.9956029634514813E-3</v>
      </c>
      <c r="AZ264" s="20">
        <f t="shared" si="265"/>
        <v>-1.653667226765443E-4</v>
      </c>
      <c r="BA264" s="20">
        <f t="shared" si="265"/>
        <v>-5.3581306463053248E-4</v>
      </c>
      <c r="BB264" s="20">
        <f t="shared" si="265"/>
        <v>-1.2896620001430449E-3</v>
      </c>
      <c r="BC264" s="20">
        <f t="shared" si="265"/>
        <v>-5.1293787138674728E-5</v>
      </c>
      <c r="BD264" s="20">
        <f t="shared" si="265"/>
        <v>-1.0455004627045968E-4</v>
      </c>
      <c r="BE264" s="20">
        <f t="shared" si="265"/>
        <v>-9.7537235275410084E-4</v>
      </c>
      <c r="BF264" s="20">
        <f t="shared" si="265"/>
        <v>-2.6116974009040389E-5</v>
      </c>
      <c r="BG264" s="20">
        <f t="shared" si="265"/>
        <v>-4.7377112793625294E-5</v>
      </c>
      <c r="BH264" s="20">
        <f t="shared" si="265"/>
        <v>-6.4638853982077523E-4</v>
      </c>
      <c r="BI264" s="20">
        <f t="shared" si="265"/>
        <v>-6.1110833416031093E-3</v>
      </c>
      <c r="BJ264" s="20">
        <f t="shared" si="265"/>
        <v>-4.0516090043261595E-3</v>
      </c>
      <c r="BK264" s="20">
        <f t="shared" si="265"/>
        <v>-2.4998254311849734E-3</v>
      </c>
      <c r="BL264" s="20">
        <f t="shared" ref="BL264:BR264" si="266">BL196-BL115</f>
        <v>-7.0709714543743512E-3</v>
      </c>
      <c r="BM264" s="20">
        <f t="shared" si="266"/>
        <v>-1.5925457264465664E-3</v>
      </c>
      <c r="BN264" s="20">
        <f t="shared" si="266"/>
        <v>-9.0463226179873756E-3</v>
      </c>
      <c r="BO264" s="20">
        <f t="shared" si="266"/>
        <v>-2.5728749568422419E-3</v>
      </c>
      <c r="BP264" s="20">
        <f t="shared" si="266"/>
        <v>-1.2375012375012376E-5</v>
      </c>
      <c r="BQ264" s="20">
        <f t="shared" si="266"/>
        <v>-1.0699225054715954E-2</v>
      </c>
      <c r="BR264" s="20">
        <f t="shared" si="266"/>
        <v>0</v>
      </c>
    </row>
    <row r="265" spans="1:70" outlineLevel="1" x14ac:dyDescent="0.3">
      <c r="A265" s="7">
        <v>28</v>
      </c>
      <c r="B265" s="150" t="s">
        <v>114</v>
      </c>
      <c r="C265" s="150"/>
      <c r="D265" s="150"/>
      <c r="E265" s="150"/>
      <c r="F265" s="20">
        <f t="shared" ref="F265:AK265" si="267">F197-F116</f>
        <v>-1.5589854789382275E-3</v>
      </c>
      <c r="G265" s="20">
        <f t="shared" si="267"/>
        <v>-2.3384929902368692E-3</v>
      </c>
      <c r="H265" s="20">
        <f t="shared" si="267"/>
        <v>-1.2945074106364429E-3</v>
      </c>
      <c r="I265" s="20">
        <f t="shared" si="267"/>
        <v>0</v>
      </c>
      <c r="J265" s="20">
        <f t="shared" si="267"/>
        <v>-5.0467159257459541E-3</v>
      </c>
      <c r="K265" s="20">
        <f t="shared" si="267"/>
        <v>-7.3641594388903966E-4</v>
      </c>
      <c r="L265" s="20">
        <f t="shared" si="267"/>
        <v>-1.2281177297293129E-3</v>
      </c>
      <c r="M265" s="20">
        <f t="shared" si="267"/>
        <v>0</v>
      </c>
      <c r="N265" s="20">
        <f t="shared" si="267"/>
        <v>-2.0429872299042324E-3</v>
      </c>
      <c r="O265" s="20">
        <f t="shared" si="267"/>
        <v>-4.9722299959098441E-3</v>
      </c>
      <c r="P265" s="20">
        <f t="shared" si="267"/>
        <v>0</v>
      </c>
      <c r="Q265" s="20">
        <f t="shared" si="267"/>
        <v>-7.9627152340445694E-5</v>
      </c>
      <c r="R265" s="20">
        <f t="shared" si="267"/>
        <v>-3.3120072913766114E-4</v>
      </c>
      <c r="S265" s="20">
        <f t="shared" si="267"/>
        <v>-2.6825950660254159E-3</v>
      </c>
      <c r="T265" s="20">
        <f t="shared" si="267"/>
        <v>-2.1916677312261962E-2</v>
      </c>
      <c r="U265" s="20">
        <f t="shared" si="267"/>
        <v>-2.8022738499192139E-6</v>
      </c>
      <c r="V265" s="20">
        <f t="shared" si="267"/>
        <v>0</v>
      </c>
      <c r="W265" s="20">
        <f t="shared" si="267"/>
        <v>-1.8101463001460931E-4</v>
      </c>
      <c r="X265" s="20">
        <f t="shared" si="267"/>
        <v>0</v>
      </c>
      <c r="Y265" s="20">
        <f t="shared" si="267"/>
        <v>-9.2132851487729329E-5</v>
      </c>
      <c r="Z265" s="20">
        <f t="shared" si="267"/>
        <v>-2.8864858862744842E-3</v>
      </c>
      <c r="AA265" s="20">
        <f t="shared" si="267"/>
        <v>-6.5156364665880763E-4</v>
      </c>
      <c r="AB265" s="20">
        <f t="shared" si="267"/>
        <v>-1.2379280649984093E-3</v>
      </c>
      <c r="AC265" s="20">
        <f t="shared" si="267"/>
        <v>0</v>
      </c>
      <c r="AD265" s="20">
        <f t="shared" si="267"/>
        <v>0</v>
      </c>
      <c r="AE265" s="20">
        <f t="shared" si="267"/>
        <v>0</v>
      </c>
      <c r="AF265" s="20">
        <f t="shared" si="267"/>
        <v>-4.0587539192149091E-3</v>
      </c>
      <c r="AG265" s="20">
        <f t="shared" si="267"/>
        <v>0.68605019605577566</v>
      </c>
      <c r="AH265" s="20">
        <f t="shared" si="267"/>
        <v>-2.4780092419841248E-3</v>
      </c>
      <c r="AI265" s="20">
        <f t="shared" si="267"/>
        <v>-3.5308370843154695E-4</v>
      </c>
      <c r="AJ265" s="20">
        <f t="shared" si="267"/>
        <v>-3.6749384851150653E-5</v>
      </c>
      <c r="AK265" s="20">
        <f t="shared" si="267"/>
        <v>-1.3785377629266227E-3</v>
      </c>
      <c r="AL265" s="20">
        <f t="shared" ref="AL265:BK265" si="268">AL197-AL116</f>
        <v>-3.1614254067667801E-4</v>
      </c>
      <c r="AM265" s="20">
        <f t="shared" si="268"/>
        <v>-9.4691518192219399E-4</v>
      </c>
      <c r="AN265" s="20">
        <f t="shared" si="268"/>
        <v>-2.8124224635261931E-4</v>
      </c>
      <c r="AO265" s="20">
        <f t="shared" si="268"/>
        <v>-2.4417071533636191E-3</v>
      </c>
      <c r="AP265" s="20">
        <f t="shared" si="268"/>
        <v>0</v>
      </c>
      <c r="AQ265" s="20">
        <f t="shared" si="268"/>
        <v>-3.2318457227754108E-3</v>
      </c>
      <c r="AR265" s="20">
        <f t="shared" si="268"/>
        <v>-1.4617205117598752E-4</v>
      </c>
      <c r="AS265" s="20">
        <f t="shared" si="268"/>
        <v>-1.0035137849343591E-4</v>
      </c>
      <c r="AT265" s="20">
        <f t="shared" si="268"/>
        <v>-1.7242447480991391E-5</v>
      </c>
      <c r="AU265" s="20">
        <f t="shared" si="268"/>
        <v>-1.7000190200147785E-4</v>
      </c>
      <c r="AV265" s="20">
        <f t="shared" si="268"/>
        <v>-3.8921467598804927E-5</v>
      </c>
      <c r="AW265" s="20">
        <f t="shared" si="268"/>
        <v>-5.948388499508744E-5</v>
      </c>
      <c r="AX265" s="20">
        <f t="shared" si="268"/>
        <v>0</v>
      </c>
      <c r="AY265" s="20">
        <f t="shared" si="268"/>
        <v>-3.7127145008316147E-3</v>
      </c>
      <c r="AZ265" s="20">
        <f t="shared" si="268"/>
        <v>-2.5986009069872101E-3</v>
      </c>
      <c r="BA265" s="20">
        <f t="shared" si="268"/>
        <v>-2.8125181412424588E-4</v>
      </c>
      <c r="BB265" s="20">
        <f t="shared" si="268"/>
        <v>-1.995098832678966E-4</v>
      </c>
      <c r="BC265" s="20">
        <f t="shared" si="268"/>
        <v>-3.6443697715310153E-4</v>
      </c>
      <c r="BD265" s="20">
        <f t="shared" si="268"/>
        <v>0</v>
      </c>
      <c r="BE265" s="20">
        <f t="shared" si="268"/>
        <v>-1.7745720886419859E-4</v>
      </c>
      <c r="BF265" s="20">
        <f t="shared" si="268"/>
        <v>-1.1948515609135978E-4</v>
      </c>
      <c r="BG265" s="20">
        <f t="shared" si="268"/>
        <v>-1.7371608024329275E-4</v>
      </c>
      <c r="BH265" s="20">
        <f t="shared" si="268"/>
        <v>-1.7436284368449438E-3</v>
      </c>
      <c r="BI265" s="20">
        <f t="shared" si="268"/>
        <v>-7.3365981479708905E-3</v>
      </c>
      <c r="BJ265" s="20">
        <f t="shared" si="268"/>
        <v>0</v>
      </c>
      <c r="BK265" s="20">
        <f t="shared" si="268"/>
        <v>-1.7263741537126701E-4</v>
      </c>
      <c r="BL265" s="20">
        <f t="shared" ref="BL265:BR265" si="269">BL197-BL116</f>
        <v>-1.2227845521551577E-3</v>
      </c>
      <c r="BM265" s="20">
        <f t="shared" si="269"/>
        <v>0</v>
      </c>
      <c r="BN265" s="20">
        <f t="shared" si="269"/>
        <v>-9.7194331489843509E-4</v>
      </c>
      <c r="BO265" s="20">
        <f t="shared" si="269"/>
        <v>-3.4972805007645089E-2</v>
      </c>
      <c r="BP265" s="20">
        <f t="shared" si="269"/>
        <v>-2.134689634689635E-3</v>
      </c>
      <c r="BQ265" s="20">
        <f t="shared" si="269"/>
        <v>-9.9199448354287192E-4</v>
      </c>
      <c r="BR265" s="20">
        <f t="shared" si="269"/>
        <v>0</v>
      </c>
    </row>
    <row r="266" spans="1:70" outlineLevel="1" x14ac:dyDescent="0.3">
      <c r="A266" s="7">
        <v>29</v>
      </c>
      <c r="B266" s="150" t="s">
        <v>135</v>
      </c>
      <c r="C266" s="150"/>
      <c r="D266" s="150"/>
      <c r="E266" s="150"/>
      <c r="F266" s="20">
        <f t="shared" ref="F266:AK266" si="270">F198-F117</f>
        <v>-8.1261665046714546E-3</v>
      </c>
      <c r="G266" s="20">
        <f t="shared" si="270"/>
        <v>-7.2943643247759277E-3</v>
      </c>
      <c r="H266" s="20">
        <f t="shared" si="270"/>
        <v>-4.5614646904969486E-4</v>
      </c>
      <c r="I266" s="20">
        <f t="shared" si="270"/>
        <v>-2.8249429427678876E-3</v>
      </c>
      <c r="J266" s="20">
        <f t="shared" si="270"/>
        <v>-4.8370780366828404E-4</v>
      </c>
      <c r="K266" s="20">
        <f t="shared" si="270"/>
        <v>-2.5096630001128283E-4</v>
      </c>
      <c r="L266" s="20">
        <f t="shared" si="270"/>
        <v>-1.2404351792706543E-3</v>
      </c>
      <c r="M266" s="20">
        <f t="shared" si="270"/>
        <v>0</v>
      </c>
      <c r="N266" s="20">
        <f t="shared" si="270"/>
        <v>-1.8501449945516886E-3</v>
      </c>
      <c r="O266" s="20">
        <f t="shared" si="270"/>
        <v>-3.9728327556885447E-3</v>
      </c>
      <c r="P266" s="20">
        <f t="shared" si="270"/>
        <v>-1.3206812688303088E-4</v>
      </c>
      <c r="Q266" s="20">
        <f t="shared" si="270"/>
        <v>-6.5553516112832052E-5</v>
      </c>
      <c r="R266" s="20">
        <f t="shared" si="270"/>
        <v>-5.7848514772247004E-3</v>
      </c>
      <c r="S266" s="20">
        <f t="shared" si="270"/>
        <v>-3.8304076020433922E-3</v>
      </c>
      <c r="T266" s="20">
        <f t="shared" si="270"/>
        <v>0</v>
      </c>
      <c r="U266" s="20">
        <f t="shared" si="270"/>
        <v>-4.0679675387993918E-3</v>
      </c>
      <c r="V266" s="20">
        <f t="shared" si="270"/>
        <v>0</v>
      </c>
      <c r="W266" s="20">
        <f t="shared" si="270"/>
        <v>-4.1400375775618565E-5</v>
      </c>
      <c r="X266" s="20">
        <f t="shared" si="270"/>
        <v>-3.1580496600329752E-4</v>
      </c>
      <c r="Y266" s="20">
        <f t="shared" si="270"/>
        <v>-9.6697451691815013E-5</v>
      </c>
      <c r="Z266" s="20">
        <f t="shared" si="270"/>
        <v>-3.0535785591807011E-4</v>
      </c>
      <c r="AA266" s="20">
        <f t="shared" si="270"/>
        <v>-1.6292880208379116E-4</v>
      </c>
      <c r="AB266" s="20">
        <f t="shared" si="270"/>
        <v>-7.6093538730212854E-4</v>
      </c>
      <c r="AC266" s="20">
        <f t="shared" si="270"/>
        <v>-1.3327076987812551E-3</v>
      </c>
      <c r="AD266" s="20">
        <f t="shared" si="270"/>
        <v>-3.1873844275814365E-5</v>
      </c>
      <c r="AE266" s="20">
        <f t="shared" si="270"/>
        <v>-8.1229396665247963E-3</v>
      </c>
      <c r="AF266" s="20">
        <f t="shared" si="270"/>
        <v>-2.8572224463329354E-2</v>
      </c>
      <c r="AG266" s="20">
        <f t="shared" si="270"/>
        <v>-3.5960015999259579E-4</v>
      </c>
      <c r="AH266" s="20">
        <f t="shared" si="270"/>
        <v>0.96088966409699639</v>
      </c>
      <c r="AI266" s="20">
        <f t="shared" si="270"/>
        <v>-1.1553144207868708E-3</v>
      </c>
      <c r="AJ266" s="20">
        <f t="shared" si="270"/>
        <v>-2.4733232331284171E-3</v>
      </c>
      <c r="AK266" s="20">
        <f t="shared" si="270"/>
        <v>-6.4201541639103011E-3</v>
      </c>
      <c r="AL266" s="20">
        <f t="shared" ref="AL266:BK266" si="271">AL198-AL117</f>
        <v>-1.2373114554315385E-3</v>
      </c>
      <c r="AM266" s="20">
        <f t="shared" si="271"/>
        <v>0</v>
      </c>
      <c r="AN266" s="20">
        <f t="shared" si="271"/>
        <v>0</v>
      </c>
      <c r="AO266" s="20">
        <f t="shared" si="271"/>
        <v>-5.9254362081330196E-3</v>
      </c>
      <c r="AP266" s="20">
        <f t="shared" si="271"/>
        <v>-7.7113254882753982E-3</v>
      </c>
      <c r="AQ266" s="20">
        <f t="shared" si="271"/>
        <v>-4.6732587170916755E-3</v>
      </c>
      <c r="AR266" s="20">
        <f t="shared" si="271"/>
        <v>-1.0887088458958404E-3</v>
      </c>
      <c r="AS266" s="20">
        <f t="shared" si="271"/>
        <v>-3.724151157423066E-4</v>
      </c>
      <c r="AT266" s="20">
        <f t="shared" si="271"/>
        <v>-9.5067720604332332E-3</v>
      </c>
      <c r="AU266" s="20">
        <f t="shared" si="271"/>
        <v>-2.1079815051396121E-3</v>
      </c>
      <c r="AV266" s="20">
        <f t="shared" si="271"/>
        <v>-2.7638875503198978E-3</v>
      </c>
      <c r="AW266" s="20">
        <f t="shared" si="271"/>
        <v>-3.6510798376295054E-4</v>
      </c>
      <c r="AX266" s="20">
        <f t="shared" si="271"/>
        <v>-5.7220697310101734E-5</v>
      </c>
      <c r="AY266" s="20">
        <f t="shared" si="271"/>
        <v>-5.3122037717728457E-2</v>
      </c>
      <c r="AZ266" s="20">
        <f t="shared" si="271"/>
        <v>-4.6401210026389438E-4</v>
      </c>
      <c r="BA266" s="20">
        <f t="shared" si="271"/>
        <v>-9.1892274216181565E-3</v>
      </c>
      <c r="BB266" s="20">
        <f t="shared" si="271"/>
        <v>-4.674554208341019E-3</v>
      </c>
      <c r="BC266" s="20">
        <f t="shared" si="271"/>
        <v>-9.9108205499411376E-4</v>
      </c>
      <c r="BD266" s="20">
        <f t="shared" si="271"/>
        <v>-3.4713441038718841E-3</v>
      </c>
      <c r="BE266" s="20">
        <f t="shared" si="271"/>
        <v>-4.4006451588040154E-4</v>
      </c>
      <c r="BF266" s="20">
        <f t="shared" si="271"/>
        <v>-3.1862708291029276E-4</v>
      </c>
      <c r="BG266" s="20">
        <f t="shared" si="271"/>
        <v>0</v>
      </c>
      <c r="BH266" s="20">
        <f t="shared" si="271"/>
        <v>-7.5651104280298302E-3</v>
      </c>
      <c r="BI266" s="20">
        <f t="shared" si="271"/>
        <v>-6.7012301761748078E-2</v>
      </c>
      <c r="BJ266" s="20">
        <f t="shared" si="271"/>
        <v>-6.1692724950681418E-3</v>
      </c>
      <c r="BK266" s="20">
        <f t="shared" si="271"/>
        <v>-5.1186547949967839E-3</v>
      </c>
      <c r="BL266" s="20">
        <f t="shared" ref="BL266:BR266" si="272">BL198-BL117</f>
        <v>-1.6416681818272636E-2</v>
      </c>
      <c r="BM266" s="20">
        <f t="shared" si="272"/>
        <v>-4.9004946508685145E-3</v>
      </c>
      <c r="BN266" s="20">
        <f t="shared" si="272"/>
        <v>-1.5104317396960158E-2</v>
      </c>
      <c r="BO266" s="20">
        <f t="shared" si="272"/>
        <v>0</v>
      </c>
      <c r="BP266" s="20">
        <f t="shared" si="272"/>
        <v>0</v>
      </c>
      <c r="BQ266" s="20">
        <f t="shared" si="272"/>
        <v>-5.2674503826336443E-3</v>
      </c>
      <c r="BR266" s="20">
        <f t="shared" si="272"/>
        <v>0</v>
      </c>
    </row>
    <row r="267" spans="1:70" outlineLevel="1" x14ac:dyDescent="0.3">
      <c r="A267" s="7">
        <v>30</v>
      </c>
      <c r="B267" s="150" t="s">
        <v>136</v>
      </c>
      <c r="C267" s="150"/>
      <c r="D267" s="150"/>
      <c r="E267" s="150"/>
      <c r="F267" s="20">
        <f t="shared" ref="F267:AK267" si="273">F199-F118</f>
        <v>-1.2325356800439891E-3</v>
      </c>
      <c r="G267" s="20">
        <f t="shared" si="273"/>
        <v>-2.4937733069325036E-3</v>
      </c>
      <c r="H267" s="20">
        <f t="shared" si="273"/>
        <v>-2.6476024411508283E-3</v>
      </c>
      <c r="I267" s="20">
        <f t="shared" si="273"/>
        <v>-3.4926984099953075E-3</v>
      </c>
      <c r="J267" s="20">
        <f t="shared" si="273"/>
        <v>-1.4773096887652599E-3</v>
      </c>
      <c r="K267" s="20">
        <f t="shared" si="273"/>
        <v>-8.98480622370902E-4</v>
      </c>
      <c r="L267" s="20">
        <f t="shared" si="273"/>
        <v>-3.7128420142007344E-3</v>
      </c>
      <c r="M267" s="20">
        <f t="shared" si="273"/>
        <v>-8.0975379452465567E-4</v>
      </c>
      <c r="N267" s="20">
        <f t="shared" si="273"/>
        <v>-2.9258106890584844E-3</v>
      </c>
      <c r="O267" s="20">
        <f t="shared" si="273"/>
        <v>-1.190450562934579E-3</v>
      </c>
      <c r="P267" s="20">
        <f t="shared" si="273"/>
        <v>-7.6717413094622004E-4</v>
      </c>
      <c r="Q267" s="20">
        <f t="shared" si="273"/>
        <v>0</v>
      </c>
      <c r="R267" s="20">
        <f t="shared" si="273"/>
        <v>-1.7317350156059535E-3</v>
      </c>
      <c r="S267" s="20">
        <f t="shared" si="273"/>
        <v>-1.5871723138090898E-3</v>
      </c>
      <c r="T267" s="20">
        <f t="shared" si="273"/>
        <v>-9.6660974237453175E-5</v>
      </c>
      <c r="U267" s="20">
        <f t="shared" si="273"/>
        <v>-2.9738069764900267E-4</v>
      </c>
      <c r="V267" s="20">
        <f t="shared" si="273"/>
        <v>-1.741033994968924E-4</v>
      </c>
      <c r="W267" s="20">
        <f t="shared" si="273"/>
        <v>-2.120828340869187E-3</v>
      </c>
      <c r="X267" s="20">
        <f t="shared" si="273"/>
        <v>-9.5647194609149646E-4</v>
      </c>
      <c r="Y267" s="20">
        <f t="shared" si="273"/>
        <v>-1.5280599788466817E-3</v>
      </c>
      <c r="Z267" s="20">
        <f t="shared" si="273"/>
        <v>-3.4059145467784744E-3</v>
      </c>
      <c r="AA267" s="20">
        <f t="shared" si="273"/>
        <v>-2.45090386836929E-3</v>
      </c>
      <c r="AB267" s="20">
        <f t="shared" si="273"/>
        <v>-2.0031361880128011E-3</v>
      </c>
      <c r="AC267" s="20">
        <f t="shared" si="273"/>
        <v>-6.9650939757172445E-4</v>
      </c>
      <c r="AD267" s="20">
        <f t="shared" si="273"/>
        <v>0</v>
      </c>
      <c r="AE267" s="20">
        <f t="shared" si="273"/>
        <v>-1.2492763223238654E-3</v>
      </c>
      <c r="AF267" s="20">
        <f t="shared" si="273"/>
        <v>-5.7063975412246217E-3</v>
      </c>
      <c r="AG267" s="20">
        <f t="shared" si="273"/>
        <v>-3.0613174276090983E-3</v>
      </c>
      <c r="AH267" s="20">
        <f t="shared" si="273"/>
        <v>-4.5712072624354682E-3</v>
      </c>
      <c r="AI267" s="20">
        <f t="shared" si="273"/>
        <v>0.97895983889980953</v>
      </c>
      <c r="AJ267" s="20">
        <f t="shared" si="273"/>
        <v>-8.6856424156978064E-3</v>
      </c>
      <c r="AK267" s="20">
        <f t="shared" si="273"/>
        <v>-1.9624526127643995E-3</v>
      </c>
      <c r="AL267" s="20">
        <f t="shared" ref="AL267:BK267" si="274">AL199-AL118</f>
        <v>-6.986845152492005E-2</v>
      </c>
      <c r="AM267" s="20">
        <f t="shared" si="274"/>
        <v>0</v>
      </c>
      <c r="AN267" s="20">
        <f t="shared" si="274"/>
        <v>-3.3710098350348596E-4</v>
      </c>
      <c r="AO267" s="20">
        <f t="shared" si="274"/>
        <v>-2.1695416595686806E-3</v>
      </c>
      <c r="AP267" s="20">
        <f t="shared" si="274"/>
        <v>-1.8108589009798073E-2</v>
      </c>
      <c r="AQ267" s="20">
        <f t="shared" si="274"/>
        <v>-1.8807507740046462E-3</v>
      </c>
      <c r="AR267" s="20">
        <f t="shared" si="274"/>
        <v>-1.6800688039729684E-4</v>
      </c>
      <c r="AS267" s="20">
        <f t="shared" si="274"/>
        <v>-2.0144610053126762E-4</v>
      </c>
      <c r="AT267" s="20">
        <f t="shared" si="274"/>
        <v>-2.0262848625937467E-4</v>
      </c>
      <c r="AU267" s="20">
        <f t="shared" si="274"/>
        <v>-1.126683397546923E-3</v>
      </c>
      <c r="AV267" s="20">
        <f t="shared" si="274"/>
        <v>-2.1769765309728392E-3</v>
      </c>
      <c r="AW267" s="20">
        <f t="shared" si="274"/>
        <v>-3.2107623441026511E-3</v>
      </c>
      <c r="AX267" s="20">
        <f t="shared" si="274"/>
        <v>-2.8003108601964075E-3</v>
      </c>
      <c r="AY267" s="20">
        <f t="shared" si="274"/>
        <v>-6.2267050372691649E-4</v>
      </c>
      <c r="AZ267" s="20">
        <f t="shared" si="274"/>
        <v>-2.0091657368671929E-4</v>
      </c>
      <c r="BA267" s="20">
        <f t="shared" si="274"/>
        <v>-1.6104418822986181E-3</v>
      </c>
      <c r="BB267" s="20">
        <f t="shared" si="274"/>
        <v>-4.5172049041787907E-4</v>
      </c>
      <c r="BC267" s="20">
        <f t="shared" si="274"/>
        <v>-8.1818970953368559E-4</v>
      </c>
      <c r="BD267" s="20">
        <f t="shared" si="274"/>
        <v>-2.8963188493843555E-3</v>
      </c>
      <c r="BE267" s="20">
        <f t="shared" si="274"/>
        <v>-1.4963111105646498E-2</v>
      </c>
      <c r="BF267" s="20">
        <f t="shared" si="274"/>
        <v>0</v>
      </c>
      <c r="BG267" s="20">
        <f t="shared" si="274"/>
        <v>-3.0231110068313282E-4</v>
      </c>
      <c r="BH267" s="20">
        <f t="shared" si="274"/>
        <v>-1.4612153592331544E-3</v>
      </c>
      <c r="BI267" s="20">
        <f t="shared" si="274"/>
        <v>-2.1179909619290799E-3</v>
      </c>
      <c r="BJ267" s="20">
        <f t="shared" si="274"/>
        <v>-9.3205493007762253E-4</v>
      </c>
      <c r="BK267" s="20">
        <f t="shared" si="274"/>
        <v>-8.8012396614404976E-4</v>
      </c>
      <c r="BL267" s="20">
        <f t="shared" ref="BL267:BR267" si="275">BL199-BL118</f>
        <v>-2.5434717890416925E-3</v>
      </c>
      <c r="BM267" s="20">
        <f t="shared" si="275"/>
        <v>-1.3551133095594157E-3</v>
      </c>
      <c r="BN267" s="20">
        <f t="shared" si="275"/>
        <v>-2.2869254468198476E-3</v>
      </c>
      <c r="BO267" s="20">
        <f t="shared" si="275"/>
        <v>-4.3117402553145695E-3</v>
      </c>
      <c r="BP267" s="20">
        <f t="shared" si="275"/>
        <v>-8.3840708840708846E-3</v>
      </c>
      <c r="BQ267" s="20">
        <f t="shared" si="275"/>
        <v>-5.7563907530790636E-3</v>
      </c>
      <c r="BR267" s="20">
        <f t="shared" si="275"/>
        <v>0</v>
      </c>
    </row>
    <row r="268" spans="1:70" outlineLevel="1" x14ac:dyDescent="0.3">
      <c r="A268" s="7">
        <v>31</v>
      </c>
      <c r="B268" s="150" t="s">
        <v>137</v>
      </c>
      <c r="C268" s="150"/>
      <c r="D268" s="150"/>
      <c r="E268" s="150"/>
      <c r="F268" s="20">
        <f t="shared" ref="F268:AK268" si="276">F200-F119</f>
        <v>-3.5324793603344333E-2</v>
      </c>
      <c r="G268" s="20">
        <f t="shared" si="276"/>
        <v>-4.1182150003643843E-2</v>
      </c>
      <c r="H268" s="20">
        <f t="shared" si="276"/>
        <v>-2.1219877942458588E-2</v>
      </c>
      <c r="I268" s="20">
        <f t="shared" si="276"/>
        <v>-2.2902800806808423E-2</v>
      </c>
      <c r="J268" s="20">
        <f t="shared" si="276"/>
        <v>-2.645527777537135E-2</v>
      </c>
      <c r="K268" s="20">
        <f t="shared" si="276"/>
        <v>-7.0925628582849658E-3</v>
      </c>
      <c r="L268" s="20">
        <f t="shared" si="276"/>
        <v>-5.9229551843578358E-2</v>
      </c>
      <c r="M268" s="20">
        <f t="shared" si="276"/>
        <v>-1.5742348745366497E-2</v>
      </c>
      <c r="N268" s="20">
        <f t="shared" si="276"/>
        <v>-3.7183819084953232E-2</v>
      </c>
      <c r="O268" s="20">
        <f t="shared" si="276"/>
        <v>-1.32693259854046E-2</v>
      </c>
      <c r="P268" s="20">
        <f t="shared" si="276"/>
        <v>-2.9862702926762071E-3</v>
      </c>
      <c r="Q268" s="20">
        <f t="shared" si="276"/>
        <v>0</v>
      </c>
      <c r="R268" s="20">
        <f t="shared" si="276"/>
        <v>-1.2137853581167824E-2</v>
      </c>
      <c r="S268" s="20">
        <f t="shared" si="276"/>
        <v>-1.2232061976161696E-2</v>
      </c>
      <c r="T268" s="20">
        <f t="shared" si="276"/>
        <v>-8.2741793947259919E-5</v>
      </c>
      <c r="U268" s="20">
        <f t="shared" si="276"/>
        <v>-2.51448881727145E-2</v>
      </c>
      <c r="V268" s="20">
        <f t="shared" si="276"/>
        <v>-1.2812852482156211E-4</v>
      </c>
      <c r="W268" s="20">
        <f t="shared" si="276"/>
        <v>-2.2506749739836275E-3</v>
      </c>
      <c r="X268" s="20">
        <f t="shared" si="276"/>
        <v>-1.2015604340471121E-2</v>
      </c>
      <c r="Y268" s="20">
        <f t="shared" si="276"/>
        <v>-3.6179261459699081E-3</v>
      </c>
      <c r="Z268" s="20">
        <f t="shared" si="276"/>
        <v>-1.1709299321165998E-2</v>
      </c>
      <c r="AA268" s="20">
        <f t="shared" si="276"/>
        <v>-2.9337945254103756E-2</v>
      </c>
      <c r="AB268" s="20">
        <f t="shared" si="276"/>
        <v>-2.8884858706456452E-2</v>
      </c>
      <c r="AC268" s="20">
        <f t="shared" si="276"/>
        <v>-1.9126296042880072E-2</v>
      </c>
      <c r="AD268" s="20">
        <f t="shared" si="276"/>
        <v>0</v>
      </c>
      <c r="AE268" s="20">
        <f t="shared" si="276"/>
        <v>-3.1801031219445511E-2</v>
      </c>
      <c r="AF268" s="20">
        <f t="shared" si="276"/>
        <v>-8.5951903662886131E-3</v>
      </c>
      <c r="AG268" s="20">
        <f t="shared" si="276"/>
        <v>-5.6045748214452566E-2</v>
      </c>
      <c r="AH268" s="20">
        <f t="shared" si="276"/>
        <v>-4.5579928985677975E-2</v>
      </c>
      <c r="AI268" s="20">
        <f t="shared" si="276"/>
        <v>-3.7347160997484473E-3</v>
      </c>
      <c r="AJ268" s="20">
        <f t="shared" si="276"/>
        <v>0.96676230270808905</v>
      </c>
      <c r="AK268" s="20">
        <f t="shared" si="276"/>
        <v>0</v>
      </c>
      <c r="AL268" s="20">
        <f t="shared" ref="AL268:BK268" si="277">AL200-AL119</f>
        <v>-1.6274471358296998E-2</v>
      </c>
      <c r="AM268" s="20">
        <f t="shared" si="277"/>
        <v>-9.754583487559098E-3</v>
      </c>
      <c r="AN268" s="20">
        <f t="shared" si="277"/>
        <v>-1.1059380435672169E-2</v>
      </c>
      <c r="AO268" s="20">
        <f t="shared" si="277"/>
        <v>-2.485073297908346E-3</v>
      </c>
      <c r="AP268" s="20">
        <f t="shared" si="277"/>
        <v>-7.1577252631880592E-3</v>
      </c>
      <c r="AQ268" s="20">
        <f t="shared" si="277"/>
        <v>-3.8096711723002261E-2</v>
      </c>
      <c r="AR268" s="20">
        <f t="shared" si="277"/>
        <v>-8.8382536503588804E-3</v>
      </c>
      <c r="AS268" s="20">
        <f t="shared" si="277"/>
        <v>-4.182050780770892E-3</v>
      </c>
      <c r="AT268" s="20">
        <f t="shared" si="277"/>
        <v>-4.8909094130563855E-4</v>
      </c>
      <c r="AU268" s="20">
        <f t="shared" si="277"/>
        <v>-3.020268939642592E-3</v>
      </c>
      <c r="AV268" s="20">
        <f t="shared" si="277"/>
        <v>-2.4491179036279752E-3</v>
      </c>
      <c r="AW268" s="20">
        <f t="shared" si="277"/>
        <v>-1.9404053519087147E-3</v>
      </c>
      <c r="AX268" s="20">
        <f t="shared" si="277"/>
        <v>-4.9495903173238003E-3</v>
      </c>
      <c r="AY268" s="20">
        <f t="shared" si="277"/>
        <v>-6.9564837470738857E-3</v>
      </c>
      <c r="AZ268" s="20">
        <f t="shared" si="277"/>
        <v>-2.8903227180856871E-3</v>
      </c>
      <c r="BA268" s="20">
        <f t="shared" si="277"/>
        <v>-1.0332250808557262E-2</v>
      </c>
      <c r="BB268" s="20">
        <f t="shared" si="277"/>
        <v>-7.6732253972317064E-3</v>
      </c>
      <c r="BC268" s="20">
        <f t="shared" si="277"/>
        <v>-1.9483389063016748E-2</v>
      </c>
      <c r="BD268" s="20">
        <f t="shared" si="277"/>
        <v>-1.4237173192803002E-2</v>
      </c>
      <c r="BE268" s="20">
        <f t="shared" si="277"/>
        <v>-1.1798977501472234E-2</v>
      </c>
      <c r="BF268" s="20">
        <f t="shared" si="277"/>
        <v>-1.819700164079889E-3</v>
      </c>
      <c r="BG268" s="20">
        <f t="shared" si="277"/>
        <v>-4.9272197305370311E-3</v>
      </c>
      <c r="BH268" s="20">
        <f t="shared" si="277"/>
        <v>-1.6132880268013464E-2</v>
      </c>
      <c r="BI268" s="20">
        <f t="shared" si="277"/>
        <v>-4.301065181322102E-3</v>
      </c>
      <c r="BJ268" s="20">
        <f t="shared" si="277"/>
        <v>-9.9532922717948859E-3</v>
      </c>
      <c r="BK268" s="20">
        <f t="shared" si="277"/>
        <v>-2.5788493909405474E-2</v>
      </c>
      <c r="BL268" s="20">
        <f t="shared" ref="BL268:BR268" si="278">BL200-BL119</f>
        <v>-1.7672433601000605E-2</v>
      </c>
      <c r="BM268" s="20">
        <f t="shared" si="278"/>
        <v>-1.1114229840101231E-2</v>
      </c>
      <c r="BN268" s="20">
        <f t="shared" si="278"/>
        <v>-1.1749374189924444E-2</v>
      </c>
      <c r="BO268" s="20">
        <f t="shared" si="278"/>
        <v>-1.1001753213851733E-2</v>
      </c>
      <c r="BP268" s="20">
        <f t="shared" si="278"/>
        <v>-4.2344198594198593E-2</v>
      </c>
      <c r="BQ268" s="20">
        <f t="shared" si="278"/>
        <v>-3.0782072724083384E-2</v>
      </c>
      <c r="BR268" s="20">
        <f t="shared" si="278"/>
        <v>0</v>
      </c>
    </row>
    <row r="269" spans="1:70" outlineLevel="1" x14ac:dyDescent="0.3">
      <c r="A269" s="7">
        <v>32</v>
      </c>
      <c r="B269" s="150" t="s">
        <v>138</v>
      </c>
      <c r="C269" s="150"/>
      <c r="D269" s="150"/>
      <c r="E269" s="150"/>
      <c r="F269" s="20">
        <f t="shared" ref="F269:AK269" si="279">F201-F120</f>
        <v>-7.2053243677429792E-3</v>
      </c>
      <c r="G269" s="20">
        <f t="shared" si="279"/>
        <v>-6.6179899391691733E-3</v>
      </c>
      <c r="H269" s="20">
        <f t="shared" si="279"/>
        <v>-9.0866608544027897E-3</v>
      </c>
      <c r="I269" s="20">
        <f t="shared" si="279"/>
        <v>-5.8322987326400776E-3</v>
      </c>
      <c r="J269" s="20">
        <f t="shared" si="279"/>
        <v>-2.6335421410058207E-3</v>
      </c>
      <c r="K269" s="20">
        <f t="shared" si="279"/>
        <v>-4.9863600879360387E-4</v>
      </c>
      <c r="L269" s="20">
        <f t="shared" si="279"/>
        <v>-3.9414327188789997E-3</v>
      </c>
      <c r="M269" s="20">
        <f t="shared" si="279"/>
        <v>-9.2689120129642267E-4</v>
      </c>
      <c r="N269" s="20">
        <f t="shared" si="279"/>
        <v>-4.1787668257442312E-3</v>
      </c>
      <c r="O269" s="20">
        <f t="shared" si="279"/>
        <v>-2.2221385055862914E-3</v>
      </c>
      <c r="P269" s="20">
        <f t="shared" si="279"/>
        <v>-1.3774591871222304E-3</v>
      </c>
      <c r="Q269" s="20">
        <f t="shared" si="279"/>
        <v>-3.3332296328558668E-5</v>
      </c>
      <c r="R269" s="20">
        <f t="shared" si="279"/>
        <v>-2.3769398309305438E-3</v>
      </c>
      <c r="S269" s="20">
        <f t="shared" si="279"/>
        <v>-2.8645304970456929E-3</v>
      </c>
      <c r="T269" s="20">
        <f t="shared" si="279"/>
        <v>-3.4952608284263068E-5</v>
      </c>
      <c r="U269" s="20">
        <f t="shared" si="279"/>
        <v>-6.0952003757424652E-3</v>
      </c>
      <c r="V269" s="20">
        <f t="shared" si="279"/>
        <v>-2.4267609392789348E-4</v>
      </c>
      <c r="W269" s="20">
        <f t="shared" si="279"/>
        <v>-8.4324142001855119E-4</v>
      </c>
      <c r="X269" s="20">
        <f t="shared" si="279"/>
        <v>-2.5657663841701867E-3</v>
      </c>
      <c r="Y269" s="20">
        <f t="shared" si="279"/>
        <v>-2.3904090542448681E-4</v>
      </c>
      <c r="Z269" s="20">
        <f t="shared" si="279"/>
        <v>-1.2972370452463469E-3</v>
      </c>
      <c r="AA269" s="20">
        <f t="shared" si="279"/>
        <v>-1.8295009953055287E-3</v>
      </c>
      <c r="AB269" s="20">
        <f t="shared" si="279"/>
        <v>-4.5174469394199876E-3</v>
      </c>
      <c r="AC269" s="20">
        <f t="shared" si="279"/>
        <v>-7.8488190682466123E-4</v>
      </c>
      <c r="AD269" s="20">
        <f t="shared" si="279"/>
        <v>0</v>
      </c>
      <c r="AE269" s="20">
        <f t="shared" si="279"/>
        <v>-9.3657958868294635E-4</v>
      </c>
      <c r="AF269" s="20">
        <f t="shared" si="279"/>
        <v>-1.5217747917747814E-3</v>
      </c>
      <c r="AG269" s="20">
        <f t="shared" si="279"/>
        <v>-2.8906547287273665E-3</v>
      </c>
      <c r="AH269" s="20">
        <f t="shared" si="279"/>
        <v>-8.7436985643162494E-3</v>
      </c>
      <c r="AI269" s="20">
        <f t="shared" si="279"/>
        <v>-2.6565589003409739E-3</v>
      </c>
      <c r="AJ269" s="20">
        <f t="shared" si="279"/>
        <v>-8.9184482748524139E-4</v>
      </c>
      <c r="AK269" s="20">
        <f t="shared" si="279"/>
        <v>0.9988540930820532</v>
      </c>
      <c r="AL269" s="20">
        <f t="shared" ref="AL269:BK269" si="280">AL201-AL120</f>
        <v>-8.5634727037663273E-3</v>
      </c>
      <c r="AM269" s="20">
        <f t="shared" si="280"/>
        <v>-4.450895355803489E-3</v>
      </c>
      <c r="AN269" s="20">
        <f t="shared" si="280"/>
        <v>-6.6380964381611302E-3</v>
      </c>
      <c r="AO269" s="20">
        <f t="shared" si="280"/>
        <v>-6.1362021111369092E-4</v>
      </c>
      <c r="AP269" s="20">
        <f t="shared" si="280"/>
        <v>-3.0246111121242356E-3</v>
      </c>
      <c r="AQ269" s="20">
        <f t="shared" si="280"/>
        <v>-9.4643159703308721E-3</v>
      </c>
      <c r="AR269" s="20">
        <f t="shared" si="280"/>
        <v>-2.4054703525475786E-3</v>
      </c>
      <c r="AS269" s="20">
        <f t="shared" si="280"/>
        <v>-1.5833217495630999E-3</v>
      </c>
      <c r="AT269" s="20">
        <f t="shared" si="280"/>
        <v>-1.7444600313527151E-4</v>
      </c>
      <c r="AU269" s="20">
        <f t="shared" si="280"/>
        <v>-1.020011412008867E-3</v>
      </c>
      <c r="AV269" s="20">
        <f t="shared" si="280"/>
        <v>-4.3616755753581396E-4</v>
      </c>
      <c r="AW269" s="20">
        <f t="shared" si="280"/>
        <v>-7.2406246218158167E-4</v>
      </c>
      <c r="AX269" s="20">
        <f t="shared" si="280"/>
        <v>-1.4964964000590891E-3</v>
      </c>
      <c r="AY269" s="20">
        <f t="shared" si="280"/>
        <v>-1.8730061943657249E-3</v>
      </c>
      <c r="AZ269" s="20">
        <f t="shared" si="280"/>
        <v>-1.0238889672968001E-3</v>
      </c>
      <c r="BA269" s="20">
        <f t="shared" si="280"/>
        <v>-2.9159440752620511E-3</v>
      </c>
      <c r="BB269" s="20">
        <f t="shared" si="280"/>
        <v>-2.9098328257751711E-3</v>
      </c>
      <c r="BC269" s="20">
        <f t="shared" si="280"/>
        <v>-8.7984986344374298E-3</v>
      </c>
      <c r="BD269" s="20">
        <f t="shared" si="280"/>
        <v>-3.2749595574989936E-3</v>
      </c>
      <c r="BE269" s="20">
        <f t="shared" si="280"/>
        <v>-4.324487204637891E-3</v>
      </c>
      <c r="BF269" s="20">
        <f t="shared" si="280"/>
        <v>-8.305197734874844E-4</v>
      </c>
      <c r="BG269" s="20">
        <f t="shared" si="280"/>
        <v>-1.7010639545901652E-3</v>
      </c>
      <c r="BH269" s="20">
        <f t="shared" si="280"/>
        <v>-6.1828006981952659E-3</v>
      </c>
      <c r="BI269" s="20">
        <f t="shared" si="280"/>
        <v>-1.5500515902082534E-3</v>
      </c>
      <c r="BJ269" s="20">
        <f t="shared" si="280"/>
        <v>-3.4711286628343781E-3</v>
      </c>
      <c r="BK269" s="20">
        <f t="shared" si="280"/>
        <v>-1.8128414306025817E-3</v>
      </c>
      <c r="BL269" s="20">
        <f t="shared" ref="BL269:BR269" si="281">BL201-BL120</f>
        <v>-5.1388919414102376E-3</v>
      </c>
      <c r="BM269" s="20">
        <f t="shared" si="281"/>
        <v>-4.4187277119521456E-3</v>
      </c>
      <c r="BN269" s="20">
        <f t="shared" si="281"/>
        <v>-5.1732847027674746E-3</v>
      </c>
      <c r="BO269" s="20">
        <f t="shared" si="281"/>
        <v>-2.008797456718934E-3</v>
      </c>
      <c r="BP269" s="20">
        <f t="shared" si="281"/>
        <v>-7.9200079200079203E-3</v>
      </c>
      <c r="BQ269" s="20">
        <f t="shared" si="281"/>
        <v>-6.5941421919247208E-3</v>
      </c>
      <c r="BR269" s="20">
        <f t="shared" si="281"/>
        <v>0</v>
      </c>
    </row>
    <row r="270" spans="1:70" outlineLevel="1" x14ac:dyDescent="0.3">
      <c r="A270" s="7">
        <v>33</v>
      </c>
      <c r="B270" s="150" t="s">
        <v>139</v>
      </c>
      <c r="C270" s="150"/>
      <c r="D270" s="150"/>
      <c r="E270" s="150"/>
      <c r="F270" s="20">
        <f t="shared" ref="F270:AK270" si="282">F202-F121</f>
        <v>-5.1250806254633172E-3</v>
      </c>
      <c r="G270" s="20">
        <f t="shared" si="282"/>
        <v>-5.186791265625082E-2</v>
      </c>
      <c r="H270" s="20">
        <f t="shared" si="282"/>
        <v>-2.0617262423714036E-3</v>
      </c>
      <c r="I270" s="20">
        <f t="shared" si="282"/>
        <v>-4.2464859327600704E-2</v>
      </c>
      <c r="J270" s="20">
        <f t="shared" si="282"/>
        <v>-2.6329367063884276E-2</v>
      </c>
      <c r="K270" s="20">
        <f t="shared" si="282"/>
        <v>-6.9395372202696115E-3</v>
      </c>
      <c r="L270" s="20">
        <f t="shared" si="282"/>
        <v>-4.3921758049169896E-2</v>
      </c>
      <c r="M270" s="20">
        <f t="shared" si="282"/>
        <v>-1.555069255258742E-2</v>
      </c>
      <c r="N270" s="20">
        <f t="shared" si="282"/>
        <v>-3.8971238513704758E-2</v>
      </c>
      <c r="O270" s="20">
        <f t="shared" si="282"/>
        <v>-2.2676145781757903E-2</v>
      </c>
      <c r="P270" s="20">
        <f t="shared" si="282"/>
        <v>-7.2361336740422114E-3</v>
      </c>
      <c r="Q270" s="20">
        <f t="shared" si="282"/>
        <v>0</v>
      </c>
      <c r="R270" s="20">
        <f t="shared" si="282"/>
        <v>-1.1538120658261037E-2</v>
      </c>
      <c r="S270" s="20">
        <f t="shared" si="282"/>
        <v>-6.211880478899777E-2</v>
      </c>
      <c r="T270" s="20">
        <f t="shared" si="282"/>
        <v>-1.7142243815166896E-3</v>
      </c>
      <c r="U270" s="20">
        <f t="shared" si="282"/>
        <v>-1.4802289814388419E-2</v>
      </c>
      <c r="V270" s="20">
        <f t="shared" si="282"/>
        <v>-2.667878562878851E-3</v>
      </c>
      <c r="W270" s="20">
        <f t="shared" si="282"/>
        <v>-3.1311050432378533E-3</v>
      </c>
      <c r="X270" s="20">
        <f t="shared" si="282"/>
        <v>-6.8299676270116927E-3</v>
      </c>
      <c r="Y270" s="20">
        <f t="shared" si="282"/>
        <v>-8.4478737671825656E-3</v>
      </c>
      <c r="Z270" s="20">
        <f t="shared" si="282"/>
        <v>-8.8003920538625643E-3</v>
      </c>
      <c r="AA270" s="20">
        <f t="shared" si="282"/>
        <v>-2.5639082542610804E-2</v>
      </c>
      <c r="AB270" s="20">
        <f t="shared" si="282"/>
        <v>-9.6206471019393159E-3</v>
      </c>
      <c r="AC270" s="20">
        <f t="shared" si="282"/>
        <v>-4.8634197983180184E-3</v>
      </c>
      <c r="AD270" s="20">
        <f t="shared" si="282"/>
        <v>0</v>
      </c>
      <c r="AE270" s="20">
        <f t="shared" si="282"/>
        <v>-7.568544974514084E-3</v>
      </c>
      <c r="AF270" s="20">
        <f t="shared" si="282"/>
        <v>-1.2050392927409794E-3</v>
      </c>
      <c r="AG270" s="20">
        <f t="shared" si="282"/>
        <v>-3.5673220133954013E-2</v>
      </c>
      <c r="AH270" s="20">
        <f t="shared" si="282"/>
        <v>-4.0330112117411235E-2</v>
      </c>
      <c r="AI270" s="20">
        <f t="shared" si="282"/>
        <v>-1.2253690899995555E-2</v>
      </c>
      <c r="AJ270" s="20">
        <f t="shared" si="282"/>
        <v>-6.0119663167687028E-2</v>
      </c>
      <c r="AK270" s="20">
        <f t="shared" si="282"/>
        <v>-2.6973125682684253E-2</v>
      </c>
      <c r="AL270" s="20">
        <f t="shared" ref="AL270:BK270" si="283">AL202-AL121</f>
        <v>0.95041180744887654</v>
      </c>
      <c r="AM270" s="20">
        <f t="shared" si="283"/>
        <v>0</v>
      </c>
      <c r="AN270" s="20">
        <f t="shared" si="283"/>
        <v>0</v>
      </c>
      <c r="AO270" s="20">
        <f t="shared" si="283"/>
        <v>-9.7240582166875283E-2</v>
      </c>
      <c r="AP270" s="20">
        <f t="shared" si="283"/>
        <v>-1.469320126820042E-2</v>
      </c>
      <c r="AQ270" s="20">
        <f t="shared" si="283"/>
        <v>-6.3705728404535233E-3</v>
      </c>
      <c r="AR270" s="20">
        <f t="shared" si="283"/>
        <v>-4.4045702723652337E-3</v>
      </c>
      <c r="AS270" s="20">
        <f t="shared" si="283"/>
        <v>-9.395862401163185E-4</v>
      </c>
      <c r="AT270" s="20">
        <f t="shared" si="283"/>
        <v>0</v>
      </c>
      <c r="AU270" s="20">
        <f t="shared" si="283"/>
        <v>-2.2438988673833681E-3</v>
      </c>
      <c r="AV270" s="20">
        <f t="shared" si="283"/>
        <v>-3.4457854846402301E-4</v>
      </c>
      <c r="AW270" s="20">
        <f t="shared" si="283"/>
        <v>-8.7516520452542452E-5</v>
      </c>
      <c r="AX270" s="20">
        <f t="shared" si="283"/>
        <v>0</v>
      </c>
      <c r="AY270" s="20">
        <f t="shared" si="283"/>
        <v>-1.7287657981450756E-3</v>
      </c>
      <c r="AZ270" s="20">
        <f t="shared" si="283"/>
        <v>-4.5019159638802868E-3</v>
      </c>
      <c r="BA270" s="20">
        <f t="shared" si="283"/>
        <v>-2.6400303738613974E-3</v>
      </c>
      <c r="BB270" s="20">
        <f t="shared" si="283"/>
        <v>-4.9373049602674185E-3</v>
      </c>
      <c r="BC270" s="20">
        <f t="shared" si="283"/>
        <v>-2.1514694773270698E-3</v>
      </c>
      <c r="BD270" s="20">
        <f t="shared" si="283"/>
        <v>-1.2334079782988013E-3</v>
      </c>
      <c r="BE270" s="20">
        <f t="shared" si="283"/>
        <v>-1.3212028699253338E-2</v>
      </c>
      <c r="BF270" s="20">
        <f t="shared" si="283"/>
        <v>-1.5898707928003336E-3</v>
      </c>
      <c r="BG270" s="20">
        <f t="shared" si="283"/>
        <v>-2.232251631126312E-2</v>
      </c>
      <c r="BH270" s="20">
        <f t="shared" si="283"/>
        <v>-4.5438484161753881E-3</v>
      </c>
      <c r="BI270" s="20">
        <f t="shared" si="283"/>
        <v>-3.2624448642933463E-3</v>
      </c>
      <c r="BJ270" s="20">
        <f t="shared" si="283"/>
        <v>-6.570941612829311E-3</v>
      </c>
      <c r="BK270" s="20">
        <f t="shared" si="283"/>
        <v>-1.7431624737961067E-3</v>
      </c>
      <c r="BL270" s="20">
        <f t="shared" ref="BL270:BR270" si="284">BL202-BL121</f>
        <v>-3.399620776947714E-3</v>
      </c>
      <c r="BM270" s="20">
        <f t="shared" si="284"/>
        <v>-8.7684343724836085E-3</v>
      </c>
      <c r="BN270" s="20">
        <f t="shared" si="284"/>
        <v>-9.9457680385665222E-3</v>
      </c>
      <c r="BO270" s="20">
        <f t="shared" si="284"/>
        <v>-1.8265708302880022E-2</v>
      </c>
      <c r="BP270" s="20">
        <f t="shared" si="284"/>
        <v>-7.4806949806949805E-3</v>
      </c>
      <c r="BQ270" s="20">
        <f t="shared" si="284"/>
        <v>-1.6634053839895718E-2</v>
      </c>
      <c r="BR270" s="20">
        <f t="shared" si="284"/>
        <v>0</v>
      </c>
    </row>
    <row r="271" spans="1:70" outlineLevel="1" x14ac:dyDescent="0.3">
      <c r="A271" s="7">
        <v>34</v>
      </c>
      <c r="B271" s="150" t="s">
        <v>140</v>
      </c>
      <c r="C271" s="150"/>
      <c r="D271" s="150"/>
      <c r="E271" s="150"/>
      <c r="F271" s="20">
        <f t="shared" ref="F271:AK271" si="285">F203-F122</f>
        <v>-1.0070497364778654E-4</v>
      </c>
      <c r="G271" s="20">
        <f t="shared" si="285"/>
        <v>-3.0391358793271882E-2</v>
      </c>
      <c r="H271" s="20">
        <f t="shared" si="285"/>
        <v>-3.5124673060156933E-3</v>
      </c>
      <c r="I271" s="20">
        <f t="shared" si="285"/>
        <v>-1.0339893755160041E-2</v>
      </c>
      <c r="J271" s="20">
        <f t="shared" si="285"/>
        <v>-7.2701376413763664E-5</v>
      </c>
      <c r="K271" s="20">
        <f t="shared" si="285"/>
        <v>-1.3122559924318771E-4</v>
      </c>
      <c r="L271" s="20">
        <f t="shared" si="285"/>
        <v>-4.2186886843218283E-3</v>
      </c>
      <c r="M271" s="20">
        <f t="shared" si="285"/>
        <v>-5.3681598070677997E-3</v>
      </c>
      <c r="N271" s="20">
        <f t="shared" si="285"/>
        <v>-2.8045067023044651E-4</v>
      </c>
      <c r="O271" s="20">
        <f t="shared" si="285"/>
        <v>-6.3424321357070587E-3</v>
      </c>
      <c r="P271" s="20">
        <f t="shared" si="285"/>
        <v>-1.4491296741464593E-3</v>
      </c>
      <c r="Q271" s="20">
        <f t="shared" si="285"/>
        <v>-1.4814353923803853E-5</v>
      </c>
      <c r="R271" s="20">
        <f t="shared" si="285"/>
        <v>-3.1213560478939736E-3</v>
      </c>
      <c r="S271" s="20">
        <f t="shared" si="285"/>
        <v>-1.8284034546775982E-3</v>
      </c>
      <c r="T271" s="20">
        <f t="shared" si="285"/>
        <v>-8.93920689747967E-5</v>
      </c>
      <c r="U271" s="20">
        <f t="shared" si="285"/>
        <v>-1.5360706567026866E-3</v>
      </c>
      <c r="V271" s="20">
        <f t="shared" si="285"/>
        <v>-3.3785410324364983E-5</v>
      </c>
      <c r="W271" s="20">
        <f t="shared" si="285"/>
        <v>-3.9563346114579212E-4</v>
      </c>
      <c r="X271" s="20">
        <f t="shared" si="285"/>
        <v>-1.661253292862629E-4</v>
      </c>
      <c r="Y271" s="20">
        <f t="shared" si="285"/>
        <v>-9.1412125139715808E-5</v>
      </c>
      <c r="Z271" s="20">
        <f t="shared" si="285"/>
        <v>-1.7280478664454422E-3</v>
      </c>
      <c r="AA271" s="20">
        <f t="shared" si="285"/>
        <v>-3.3661848318893039E-4</v>
      </c>
      <c r="AB271" s="20">
        <f t="shared" si="285"/>
        <v>-3.2519403075515168E-3</v>
      </c>
      <c r="AC271" s="20">
        <f t="shared" si="285"/>
        <v>0</v>
      </c>
      <c r="AD271" s="20">
        <f t="shared" si="285"/>
        <v>0</v>
      </c>
      <c r="AE271" s="20">
        <f t="shared" si="285"/>
        <v>0</v>
      </c>
      <c r="AF271" s="20">
        <f t="shared" si="285"/>
        <v>-8.5632073028682625E-5</v>
      </c>
      <c r="AG271" s="20">
        <f t="shared" si="285"/>
        <v>-2.8128396121388046E-3</v>
      </c>
      <c r="AH271" s="20">
        <f t="shared" si="285"/>
        <v>-9.6735172139453642E-4</v>
      </c>
      <c r="AI271" s="20">
        <f t="shared" si="285"/>
        <v>-5.09697538582443E-4</v>
      </c>
      <c r="AJ271" s="20">
        <f t="shared" si="285"/>
        <v>-4.4901772778374203E-3</v>
      </c>
      <c r="AK271" s="20">
        <f t="shared" si="285"/>
        <v>0</v>
      </c>
      <c r="AL271" s="20">
        <f t="shared" ref="AL271:BK271" si="286">AL203-AL122</f>
        <v>-2.0392874705461631E-3</v>
      </c>
      <c r="AM271" s="20">
        <f t="shared" si="286"/>
        <v>0.99794134598104989</v>
      </c>
      <c r="AN271" s="20">
        <f t="shared" si="286"/>
        <v>0</v>
      </c>
      <c r="AO271" s="20">
        <f t="shared" si="286"/>
        <v>-5.047931934045246E-2</v>
      </c>
      <c r="AP271" s="20">
        <f t="shared" si="286"/>
        <v>-9.8996746133265252E-5</v>
      </c>
      <c r="AQ271" s="20">
        <f t="shared" si="286"/>
        <v>0</v>
      </c>
      <c r="AR271" s="20">
        <f t="shared" si="286"/>
        <v>-2.3411789109515014E-4</v>
      </c>
      <c r="AS271" s="20">
        <f t="shared" si="286"/>
        <v>-5.738612162735743E-4</v>
      </c>
      <c r="AT271" s="20">
        <f t="shared" si="286"/>
        <v>-1.2830759194475662E-4</v>
      </c>
      <c r="AU271" s="20">
        <f t="shared" si="286"/>
        <v>-2.3722418874587408E-3</v>
      </c>
      <c r="AV271" s="20">
        <f t="shared" si="286"/>
        <v>-5.5910997106219779E-4</v>
      </c>
      <c r="AW271" s="20">
        <f t="shared" si="286"/>
        <v>-1.4973529671177184E-4</v>
      </c>
      <c r="AX271" s="20">
        <f t="shared" si="286"/>
        <v>-8.1101580167072763E-4</v>
      </c>
      <c r="AY271" s="20">
        <f t="shared" si="286"/>
        <v>-1.5311983299393873E-4</v>
      </c>
      <c r="AZ271" s="20">
        <f t="shared" si="286"/>
        <v>-1.6502054435210065E-3</v>
      </c>
      <c r="BA271" s="20">
        <f t="shared" si="286"/>
        <v>-1.2351058314210655E-3</v>
      </c>
      <c r="BB271" s="20">
        <f t="shared" si="286"/>
        <v>-3.0009297913427767E-3</v>
      </c>
      <c r="BC271" s="20">
        <f t="shared" si="286"/>
        <v>-6.8080844747695542E-4</v>
      </c>
      <c r="BD271" s="20">
        <f t="shared" si="286"/>
        <v>-1.5753148863724667E-3</v>
      </c>
      <c r="BE271" s="20">
        <f t="shared" si="286"/>
        <v>0</v>
      </c>
      <c r="BF271" s="20">
        <f t="shared" si="286"/>
        <v>-2.9061662828559691E-3</v>
      </c>
      <c r="BG271" s="20">
        <f t="shared" si="286"/>
        <v>-4.4628112225099943E-2</v>
      </c>
      <c r="BH271" s="20">
        <f t="shared" si="286"/>
        <v>-3.7327410540410579E-4</v>
      </c>
      <c r="BI271" s="20">
        <f t="shared" si="286"/>
        <v>-4.7383249944188177E-4</v>
      </c>
      <c r="BJ271" s="20">
        <f t="shared" si="286"/>
        <v>-3.6492552232960784E-4</v>
      </c>
      <c r="BK271" s="20">
        <f t="shared" si="286"/>
        <v>-2.0859116280659112E-4</v>
      </c>
      <c r="BL271" s="20">
        <f t="shared" ref="BL271:BR271" si="287">BL203-BL122</f>
        <v>-4.0959286469249566E-5</v>
      </c>
      <c r="BM271" s="20">
        <f t="shared" si="287"/>
        <v>-7.0401472449096981E-4</v>
      </c>
      <c r="BN271" s="20">
        <f t="shared" si="287"/>
        <v>-2.0022385935172735E-3</v>
      </c>
      <c r="BO271" s="20">
        <f t="shared" si="287"/>
        <v>-3.0490675682340964E-5</v>
      </c>
      <c r="BP271" s="20">
        <f t="shared" si="287"/>
        <v>-3.7898475398475398E-3</v>
      </c>
      <c r="BQ271" s="20">
        <f t="shared" si="287"/>
        <v>-3.0263896743858757E-3</v>
      </c>
      <c r="BR271" s="20">
        <f t="shared" si="287"/>
        <v>0</v>
      </c>
    </row>
    <row r="272" spans="1:70" outlineLevel="1" x14ac:dyDescent="0.3">
      <c r="A272" s="7">
        <v>35</v>
      </c>
      <c r="B272" s="150" t="s">
        <v>141</v>
      </c>
      <c r="C272" s="150"/>
      <c r="D272" s="150"/>
      <c r="E272" s="150"/>
      <c r="F272" s="20">
        <f t="shared" ref="F272:AK272" si="288">F204-F123</f>
        <v>-2.5616342268505087E-4</v>
      </c>
      <c r="G272" s="20">
        <f t="shared" si="288"/>
        <v>-1.4820696484615578E-3</v>
      </c>
      <c r="H272" s="20">
        <f t="shared" si="288"/>
        <v>-5.133391455972101E-4</v>
      </c>
      <c r="I272" s="20">
        <f t="shared" si="288"/>
        <v>-9.399010254745928E-5</v>
      </c>
      <c r="J272" s="20">
        <f t="shared" si="288"/>
        <v>-1.4796231381162731E-4</v>
      </c>
      <c r="K272" s="20">
        <f t="shared" si="288"/>
        <v>-2.8637807030948502E-4</v>
      </c>
      <c r="L272" s="20">
        <f t="shared" si="288"/>
        <v>-3.8040515945467397E-4</v>
      </c>
      <c r="M272" s="20">
        <f t="shared" si="288"/>
        <v>-1.5694881299485131E-4</v>
      </c>
      <c r="N272" s="20">
        <f t="shared" si="288"/>
        <v>-6.8635247206120359E-4</v>
      </c>
      <c r="O272" s="20">
        <f t="shared" si="288"/>
        <v>-6.9963188599229327E-5</v>
      </c>
      <c r="P272" s="20">
        <f t="shared" si="288"/>
        <v>-9.8042744154356511E-5</v>
      </c>
      <c r="Q272" s="20">
        <f t="shared" si="288"/>
        <v>-1.1518160175757494E-4</v>
      </c>
      <c r="R272" s="20">
        <f t="shared" si="288"/>
        <v>-3.6509795803093149E-4</v>
      </c>
      <c r="S272" s="20">
        <f t="shared" si="288"/>
        <v>-6.1391301200297566E-4</v>
      </c>
      <c r="T272" s="20">
        <f t="shared" si="288"/>
        <v>-3.8509732136201342E-5</v>
      </c>
      <c r="U272" s="20">
        <f t="shared" si="288"/>
        <v>-7.424327354498087E-4</v>
      </c>
      <c r="V272" s="20">
        <f t="shared" si="288"/>
        <v>-2.6404940128301071E-4</v>
      </c>
      <c r="W272" s="20">
        <f t="shared" si="288"/>
        <v>-3.3837190244315088E-4</v>
      </c>
      <c r="X272" s="20">
        <f t="shared" si="288"/>
        <v>-3.8516288683873866E-4</v>
      </c>
      <c r="Y272" s="20">
        <f t="shared" si="288"/>
        <v>-1.9723877723970218E-4</v>
      </c>
      <c r="Z272" s="20">
        <f t="shared" si="288"/>
        <v>-3.4496896240254708E-3</v>
      </c>
      <c r="AA272" s="20">
        <f t="shared" si="288"/>
        <v>-1.0965487284430038E-3</v>
      </c>
      <c r="AB272" s="20">
        <f t="shared" si="288"/>
        <v>-5.4057875370514159E-3</v>
      </c>
      <c r="AC272" s="20">
        <f t="shared" si="288"/>
        <v>-1.3849214720207468E-4</v>
      </c>
      <c r="AD272" s="20">
        <f t="shared" si="288"/>
        <v>0</v>
      </c>
      <c r="AE272" s="20">
        <f t="shared" si="288"/>
        <v>0</v>
      </c>
      <c r="AF272" s="20">
        <f t="shared" si="288"/>
        <v>-2.2697657911217078E-4</v>
      </c>
      <c r="AG272" s="20">
        <f t="shared" si="288"/>
        <v>-2.9151193297760429E-4</v>
      </c>
      <c r="AH272" s="20">
        <f t="shared" si="288"/>
        <v>-9.3132580665596521E-4</v>
      </c>
      <c r="AI272" s="20">
        <f t="shared" si="288"/>
        <v>-1.4023708216937495E-3</v>
      </c>
      <c r="AJ272" s="20">
        <f t="shared" si="288"/>
        <v>-2.8076530026279098E-3</v>
      </c>
      <c r="AK272" s="20">
        <f t="shared" si="288"/>
        <v>-1.1619074316255972E-3</v>
      </c>
      <c r="AL272" s="20">
        <f t="shared" ref="AL272:BK272" si="289">AL204-AL123</f>
        <v>-1.0889597777677252E-3</v>
      </c>
      <c r="AM272" s="20">
        <f t="shared" si="289"/>
        <v>-2.4428047688977543E-4</v>
      </c>
      <c r="AN272" s="20">
        <f t="shared" si="289"/>
        <v>0.99592231218798677</v>
      </c>
      <c r="AO272" s="20">
        <f t="shared" si="289"/>
        <v>-6.8300067528815674E-3</v>
      </c>
      <c r="AP272" s="20">
        <f t="shared" si="289"/>
        <v>-7.4044355752622762E-2</v>
      </c>
      <c r="AQ272" s="20">
        <f t="shared" si="289"/>
        <v>-2.8635721417139145E-4</v>
      </c>
      <c r="AR272" s="20">
        <f t="shared" si="289"/>
        <v>-1.2524700650556606E-3</v>
      </c>
      <c r="AS272" s="20">
        <f t="shared" si="289"/>
        <v>-1.9735771103709062E-3</v>
      </c>
      <c r="AT272" s="20">
        <f t="shared" si="289"/>
        <v>-1.5280375871085474E-4</v>
      </c>
      <c r="AU272" s="20">
        <f t="shared" si="289"/>
        <v>-3.0316304528951663E-3</v>
      </c>
      <c r="AV272" s="20">
        <f t="shared" si="289"/>
        <v>-2.6324503720398062E-3</v>
      </c>
      <c r="AW272" s="20">
        <f t="shared" si="289"/>
        <v>-2.2679085807897131E-3</v>
      </c>
      <c r="AX272" s="20">
        <f t="shared" si="289"/>
        <v>-6.182754732823135E-3</v>
      </c>
      <c r="AY272" s="20">
        <f t="shared" si="289"/>
        <v>-3.8817265075959291E-4</v>
      </c>
      <c r="AZ272" s="20">
        <f t="shared" si="289"/>
        <v>-2.904436142082236E-3</v>
      </c>
      <c r="BA272" s="20">
        <f t="shared" si="289"/>
        <v>-2.0034604315730684E-3</v>
      </c>
      <c r="BB272" s="20">
        <f t="shared" si="289"/>
        <v>-7.2365622564944231E-3</v>
      </c>
      <c r="BC272" s="20">
        <f t="shared" si="289"/>
        <v>-1.6259771825147728E-3</v>
      </c>
      <c r="BD272" s="20">
        <f t="shared" si="289"/>
        <v>-3.6465360732980596E-3</v>
      </c>
      <c r="BE272" s="20">
        <f t="shared" si="289"/>
        <v>-1.8894513158901644E-3</v>
      </c>
      <c r="BF272" s="20">
        <f t="shared" si="289"/>
        <v>-9.2068862625369619E-3</v>
      </c>
      <c r="BG272" s="20">
        <f t="shared" si="289"/>
        <v>-0.22361546027993104</v>
      </c>
      <c r="BH272" s="20">
        <f t="shared" si="289"/>
        <v>-1.1174312365335719E-3</v>
      </c>
      <c r="BI272" s="20">
        <f t="shared" si="289"/>
        <v>-9.8423768522892963E-3</v>
      </c>
      <c r="BJ272" s="20">
        <f t="shared" si="289"/>
        <v>-3.4542403022012379E-3</v>
      </c>
      <c r="BK272" s="20">
        <f t="shared" si="289"/>
        <v>-4.9265548138650731E-4</v>
      </c>
      <c r="BL272" s="20">
        <f t="shared" ref="BL272:BR272" si="290">BL204-BL123</f>
        <v>-3.5664549437858771E-4</v>
      </c>
      <c r="BM272" s="20">
        <f t="shared" si="290"/>
        <v>-3.0502703324513979E-3</v>
      </c>
      <c r="BN272" s="20">
        <f t="shared" si="290"/>
        <v>-9.3551754360630453E-3</v>
      </c>
      <c r="BO272" s="20">
        <f t="shared" si="290"/>
        <v>-1.0745272824288513E-2</v>
      </c>
      <c r="BP272" s="20">
        <f t="shared" si="290"/>
        <v>-7.1094446094446097E-3</v>
      </c>
      <c r="BQ272" s="20">
        <f t="shared" si="290"/>
        <v>-1.3418136764182546E-3</v>
      </c>
      <c r="BR272" s="20">
        <f t="shared" si="290"/>
        <v>0</v>
      </c>
    </row>
    <row r="273" spans="1:70" outlineLevel="1" x14ac:dyDescent="0.3">
      <c r="A273" s="7">
        <v>36</v>
      </c>
      <c r="B273" s="150" t="s">
        <v>142</v>
      </c>
      <c r="C273" s="150"/>
      <c r="D273" s="150"/>
      <c r="E273" s="150"/>
      <c r="F273" s="20">
        <f t="shared" ref="F273:AK273" si="291">F205-F124</f>
        <v>-4.3017074411785226E-3</v>
      </c>
      <c r="G273" s="20">
        <f t="shared" si="291"/>
        <v>-7.8730216644620973E-2</v>
      </c>
      <c r="H273" s="20">
        <f t="shared" si="291"/>
        <v>-6.8646556233653011E-2</v>
      </c>
      <c r="I273" s="20">
        <f t="shared" si="291"/>
        <v>-2.1612811211218032E-2</v>
      </c>
      <c r="J273" s="20">
        <f t="shared" si="291"/>
        <v>-5.9498471745203186E-3</v>
      </c>
      <c r="K273" s="20">
        <f t="shared" si="291"/>
        <v>-2.3724822683269999E-3</v>
      </c>
      <c r="L273" s="20">
        <f t="shared" si="291"/>
        <v>-6.3468114694951554E-3</v>
      </c>
      <c r="M273" s="20">
        <f t="shared" si="291"/>
        <v>-1.4532439278035459E-2</v>
      </c>
      <c r="N273" s="20">
        <f t="shared" si="291"/>
        <v>-6.6572042645090456E-3</v>
      </c>
      <c r="O273" s="20">
        <f t="shared" si="291"/>
        <v>-7.8816222848901024E-3</v>
      </c>
      <c r="P273" s="20">
        <f t="shared" si="291"/>
        <v>-7.8127036093381362E-3</v>
      </c>
      <c r="Q273" s="20">
        <f t="shared" si="291"/>
        <v>0</v>
      </c>
      <c r="R273" s="20">
        <f t="shared" si="291"/>
        <v>-2.9894048837143163E-3</v>
      </c>
      <c r="S273" s="20">
        <f t="shared" si="291"/>
        <v>-3.9780515382116799E-3</v>
      </c>
      <c r="T273" s="20">
        <f t="shared" si="291"/>
        <v>-5.8414159951177696E-4</v>
      </c>
      <c r="U273" s="20">
        <f t="shared" si="291"/>
        <v>-3.2789151565736545E-3</v>
      </c>
      <c r="V273" s="20">
        <f t="shared" si="291"/>
        <v>-1.3042170258987156E-3</v>
      </c>
      <c r="W273" s="20">
        <f t="shared" si="291"/>
        <v>0</v>
      </c>
      <c r="X273" s="20">
        <f t="shared" si="291"/>
        <v>-1.8126013331736432E-3</v>
      </c>
      <c r="Y273" s="20">
        <f t="shared" si="291"/>
        <v>-2.0384543542982616E-3</v>
      </c>
      <c r="Z273" s="20">
        <f t="shared" si="291"/>
        <v>-1.5353841423181146E-2</v>
      </c>
      <c r="AA273" s="20">
        <f t="shared" si="291"/>
        <v>-8.4672961730373596E-3</v>
      </c>
      <c r="AB273" s="20">
        <f t="shared" si="291"/>
        <v>-2.9650843690509437E-2</v>
      </c>
      <c r="AC273" s="20">
        <f t="shared" si="291"/>
        <v>-3.1437158978793525E-3</v>
      </c>
      <c r="AD273" s="20">
        <f t="shared" si="291"/>
        <v>-1.100218502338446E-2</v>
      </c>
      <c r="AE273" s="20">
        <f t="shared" si="291"/>
        <v>0</v>
      </c>
      <c r="AF273" s="20">
        <f t="shared" si="291"/>
        <v>-4.023675720624846E-5</v>
      </c>
      <c r="AG273" s="20">
        <f t="shared" si="291"/>
        <v>-2.5463523132459309E-2</v>
      </c>
      <c r="AH273" s="20">
        <f t="shared" si="291"/>
        <v>-1.6151861530969136E-3</v>
      </c>
      <c r="AI273" s="20">
        <f t="shared" si="291"/>
        <v>-7.8268591952246318E-3</v>
      </c>
      <c r="AJ273" s="20">
        <f t="shared" si="291"/>
        <v>-7.5963189425929195E-2</v>
      </c>
      <c r="AK273" s="20">
        <f t="shared" si="291"/>
        <v>0</v>
      </c>
      <c r="AL273" s="20">
        <f t="shared" ref="AL273:BK273" si="292">AL205-AL124</f>
        <v>-0.13666083466746312</v>
      </c>
      <c r="AM273" s="20">
        <f t="shared" si="292"/>
        <v>-0.18951108663442137</v>
      </c>
      <c r="AN273" s="20">
        <f t="shared" si="292"/>
        <v>-0.23298224601486883</v>
      </c>
      <c r="AO273" s="20">
        <f t="shared" si="292"/>
        <v>0.74916479918523171</v>
      </c>
      <c r="AP273" s="20">
        <f t="shared" si="292"/>
        <v>-1.2056761608019778E-2</v>
      </c>
      <c r="AQ273" s="20">
        <f t="shared" si="292"/>
        <v>0</v>
      </c>
      <c r="AR273" s="20">
        <f t="shared" si="292"/>
        <v>-5.3616636198992927E-4</v>
      </c>
      <c r="AS273" s="20">
        <f t="shared" si="292"/>
        <v>-4.578996233478261E-4</v>
      </c>
      <c r="AT273" s="20">
        <f t="shared" si="292"/>
        <v>-7.0277837663902846E-5</v>
      </c>
      <c r="AU273" s="20">
        <f t="shared" si="292"/>
        <v>0</v>
      </c>
      <c r="AV273" s="20">
        <f t="shared" si="292"/>
        <v>0</v>
      </c>
      <c r="AW273" s="20">
        <f t="shared" si="292"/>
        <v>-4.5809428674377687E-5</v>
      </c>
      <c r="AX273" s="20">
        <f t="shared" si="292"/>
        <v>-2.5492404536316751E-3</v>
      </c>
      <c r="AY273" s="20">
        <f t="shared" si="292"/>
        <v>-1.1638620847898428E-3</v>
      </c>
      <c r="AZ273" s="20">
        <f t="shared" si="292"/>
        <v>0</v>
      </c>
      <c r="BA273" s="20">
        <f t="shared" si="292"/>
        <v>0</v>
      </c>
      <c r="BB273" s="20">
        <f t="shared" si="292"/>
        <v>-5.3227731120906747E-4</v>
      </c>
      <c r="BC273" s="20">
        <f t="shared" si="292"/>
        <v>-1.3379428393514456E-4</v>
      </c>
      <c r="BD273" s="20">
        <f t="shared" si="292"/>
        <v>0</v>
      </c>
      <c r="BE273" s="20">
        <f t="shared" si="292"/>
        <v>-5.2091123083916335E-2</v>
      </c>
      <c r="BF273" s="20">
        <f t="shared" si="292"/>
        <v>-6.1962520836448317E-4</v>
      </c>
      <c r="BG273" s="20">
        <f t="shared" si="292"/>
        <v>-1.2364298412641117E-2</v>
      </c>
      <c r="BH273" s="20">
        <f t="shared" si="292"/>
        <v>-4.1541024285399273E-3</v>
      </c>
      <c r="BI273" s="20">
        <f t="shared" si="292"/>
        <v>0</v>
      </c>
      <c r="BJ273" s="20">
        <f t="shared" si="292"/>
        <v>-9.0717883130718652E-5</v>
      </c>
      <c r="BK273" s="20">
        <f t="shared" si="292"/>
        <v>-3.2625797259492456E-4</v>
      </c>
      <c r="BL273" s="20">
        <f t="shared" ref="BL273:BR273" si="293">BL205-BL124</f>
        <v>-1.4725362989188747E-3</v>
      </c>
      <c r="BM273" s="20">
        <f t="shared" si="293"/>
        <v>-2.5491774991372369E-4</v>
      </c>
      <c r="BN273" s="20">
        <f t="shared" si="293"/>
        <v>-1.4157718874384724E-3</v>
      </c>
      <c r="BO273" s="20">
        <f t="shared" si="293"/>
        <v>-6.1429743654128129E-4</v>
      </c>
      <c r="BP273" s="20">
        <f t="shared" si="293"/>
        <v>0</v>
      </c>
      <c r="BQ273" s="20">
        <f t="shared" si="293"/>
        <v>-1.1521854626434435E-2</v>
      </c>
      <c r="BR273" s="20">
        <f t="shared" si="293"/>
        <v>0</v>
      </c>
    </row>
    <row r="274" spans="1:70" outlineLevel="1" x14ac:dyDescent="0.3">
      <c r="A274" s="7">
        <v>37</v>
      </c>
      <c r="B274" s="150" t="s">
        <v>143</v>
      </c>
      <c r="C274" s="150"/>
      <c r="D274" s="150"/>
      <c r="E274" s="150"/>
      <c r="F274" s="20">
        <f t="shared" ref="F274:AK274" si="294">F206-F125</f>
        <v>-5.7601173873091278E-5</v>
      </c>
      <c r="G274" s="20">
        <f t="shared" si="294"/>
        <v>-3.2223047314293554E-4</v>
      </c>
      <c r="H274" s="20">
        <f t="shared" si="294"/>
        <v>-3.905841325196164E-5</v>
      </c>
      <c r="I274" s="20">
        <f t="shared" si="294"/>
        <v>-1.8994515497395951E-5</v>
      </c>
      <c r="J274" s="20">
        <f t="shared" si="294"/>
        <v>-1.0558189059412529E-4</v>
      </c>
      <c r="K274" s="20">
        <f t="shared" si="294"/>
        <v>-3.2848936471815792E-4</v>
      </c>
      <c r="L274" s="20">
        <f t="shared" si="294"/>
        <v>-2.5262106636014602E-4</v>
      </c>
      <c r="M274" s="20">
        <f t="shared" si="294"/>
        <v>-1.1433019223039574E-4</v>
      </c>
      <c r="N274" s="20">
        <f t="shared" si="294"/>
        <v>-6.7131907199339776E-4</v>
      </c>
      <c r="O274" s="20">
        <f t="shared" si="294"/>
        <v>0</v>
      </c>
      <c r="P274" s="20">
        <f t="shared" si="294"/>
        <v>-1.0311035434798885E-4</v>
      </c>
      <c r="Q274" s="20">
        <f t="shared" si="294"/>
        <v>-2.3332607429991068E-5</v>
      </c>
      <c r="R274" s="20">
        <f t="shared" si="294"/>
        <v>-3.0226407032633276E-4</v>
      </c>
      <c r="S274" s="20">
        <f t="shared" si="294"/>
        <v>-3.8339796327571409E-5</v>
      </c>
      <c r="T274" s="20">
        <f t="shared" si="294"/>
        <v>-4.4850692046178268E-6</v>
      </c>
      <c r="U274" s="20">
        <f t="shared" si="294"/>
        <v>0</v>
      </c>
      <c r="V274" s="20">
        <f t="shared" si="294"/>
        <v>-5.4824759752058509E-5</v>
      </c>
      <c r="W274" s="20">
        <f t="shared" si="294"/>
        <v>0</v>
      </c>
      <c r="X274" s="20">
        <f t="shared" si="294"/>
        <v>-4.7191987372568231E-5</v>
      </c>
      <c r="Y274" s="20">
        <f t="shared" si="294"/>
        <v>-7.3514087497379853E-5</v>
      </c>
      <c r="Z274" s="20">
        <f t="shared" si="294"/>
        <v>-4.0892328257559742E-4</v>
      </c>
      <c r="AA274" s="20">
        <f t="shared" si="294"/>
        <v>-8.1570494215345497E-4</v>
      </c>
      <c r="AB274" s="20">
        <f t="shared" si="294"/>
        <v>-2.9520719466545062E-5</v>
      </c>
      <c r="AC274" s="20">
        <f t="shared" si="294"/>
        <v>-3.1072779438271938E-3</v>
      </c>
      <c r="AD274" s="20">
        <f t="shared" si="294"/>
        <v>-1.0466038418924119E-4</v>
      </c>
      <c r="AE274" s="20">
        <f t="shared" si="294"/>
        <v>0</v>
      </c>
      <c r="AF274" s="20">
        <f t="shared" si="294"/>
        <v>-2.5689621908604786E-3</v>
      </c>
      <c r="AG274" s="20">
        <f t="shared" si="294"/>
        <v>-1.1262559109276298E-3</v>
      </c>
      <c r="AH274" s="20">
        <f t="shared" si="294"/>
        <v>-6.0383517011208437E-5</v>
      </c>
      <c r="AI274" s="20">
        <f t="shared" si="294"/>
        <v>-5.9196450972206539E-4</v>
      </c>
      <c r="AJ274" s="20">
        <f t="shared" si="294"/>
        <v>-2.037051267602806E-3</v>
      </c>
      <c r="AK274" s="20">
        <f t="shared" si="294"/>
        <v>-4.8990663700268404E-3</v>
      </c>
      <c r="AL274" s="20">
        <f t="shared" ref="AL274:BK274" si="295">AL206-AL125</f>
        <v>-4.1786940536043572E-4</v>
      </c>
      <c r="AM274" s="20">
        <f t="shared" si="295"/>
        <v>0</v>
      </c>
      <c r="AN274" s="20">
        <f t="shared" si="295"/>
        <v>-1.0132515111087439E-4</v>
      </c>
      <c r="AO274" s="20">
        <f t="shared" si="295"/>
        <v>-4.6849390560757526E-4</v>
      </c>
      <c r="AP274" s="20">
        <f t="shared" si="295"/>
        <v>0.88694962368210584</v>
      </c>
      <c r="AQ274" s="20">
        <f t="shared" si="295"/>
        <v>-2.9930980209845931E-4</v>
      </c>
      <c r="AR274" s="20">
        <f t="shared" si="295"/>
        <v>-4.1093148594504171E-2</v>
      </c>
      <c r="AS274" s="20">
        <f t="shared" si="295"/>
        <v>-1.687389845778515E-4</v>
      </c>
      <c r="AT274" s="20">
        <f t="shared" si="295"/>
        <v>-8.313237954455919E-4</v>
      </c>
      <c r="AU274" s="20">
        <f t="shared" si="295"/>
        <v>-4.5467092849652674E-4</v>
      </c>
      <c r="AV274" s="20">
        <f t="shared" si="295"/>
        <v>-2.5496650282582213E-3</v>
      </c>
      <c r="AW274" s="20">
        <f t="shared" si="295"/>
        <v>-7.4457414666264624E-4</v>
      </c>
      <c r="AX274" s="20">
        <f t="shared" si="295"/>
        <v>-3.9704157317213455E-3</v>
      </c>
      <c r="AY274" s="20">
        <f t="shared" si="295"/>
        <v>-5.220705211931723E-4</v>
      </c>
      <c r="AZ274" s="20">
        <f t="shared" si="295"/>
        <v>-5.598768670329056E-4</v>
      </c>
      <c r="BA274" s="20">
        <f t="shared" si="295"/>
        <v>-1.6414696625044957E-3</v>
      </c>
      <c r="BB274" s="20">
        <f t="shared" si="295"/>
        <v>-1.946162446217029E-3</v>
      </c>
      <c r="BC274" s="20">
        <f t="shared" si="295"/>
        <v>-1.5811399559949525E-3</v>
      </c>
      <c r="BD274" s="20">
        <f t="shared" si="295"/>
        <v>-7.3382829774157766E-3</v>
      </c>
      <c r="BE274" s="20">
        <f t="shared" si="295"/>
        <v>-6.0852958075872032E-4</v>
      </c>
      <c r="BF274" s="20">
        <f t="shared" si="295"/>
        <v>-1.2549206011343906E-3</v>
      </c>
      <c r="BG274" s="20">
        <f t="shared" si="295"/>
        <v>-2.7320801710990585E-3</v>
      </c>
      <c r="BH274" s="20">
        <f t="shared" si="295"/>
        <v>-2.0846495341379757E-2</v>
      </c>
      <c r="BI274" s="20">
        <f t="shared" si="295"/>
        <v>-2.6209936600991701E-3</v>
      </c>
      <c r="BJ274" s="20">
        <f t="shared" si="295"/>
        <v>-3.0958190809262851E-4</v>
      </c>
      <c r="BK274" s="20">
        <f t="shared" si="295"/>
        <v>-1.7917446035950777E-4</v>
      </c>
      <c r="BL274" s="20">
        <f t="shared" ref="BL274:BR274" si="296">BL206-BL125</f>
        <v>-2.0469653164754235E-3</v>
      </c>
      <c r="BM274" s="20">
        <f t="shared" si="296"/>
        <v>-6.3177269067065463E-4</v>
      </c>
      <c r="BN274" s="20">
        <f t="shared" si="296"/>
        <v>-3.7663540219533055E-3</v>
      </c>
      <c r="BO274" s="20">
        <f t="shared" si="296"/>
        <v>-1.2966608226204941E-2</v>
      </c>
      <c r="BP274" s="20">
        <f t="shared" si="296"/>
        <v>0</v>
      </c>
      <c r="BQ274" s="20">
        <f t="shared" si="296"/>
        <v>0</v>
      </c>
      <c r="BR274" s="20">
        <f t="shared" si="296"/>
        <v>0</v>
      </c>
    </row>
    <row r="275" spans="1:70" outlineLevel="1" x14ac:dyDescent="0.3">
      <c r="A275" s="7">
        <v>38</v>
      </c>
      <c r="B275" s="150" t="s">
        <v>144</v>
      </c>
      <c r="C275" s="150"/>
      <c r="D275" s="150"/>
      <c r="E275" s="150"/>
      <c r="F275" s="20">
        <f t="shared" ref="F275:AK275" si="297">F207-F126</f>
        <v>-4.8151992541101019E-5</v>
      </c>
      <c r="G275" s="20">
        <f t="shared" si="297"/>
        <v>-4.130646952099833E-3</v>
      </c>
      <c r="H275" s="20">
        <f t="shared" si="297"/>
        <v>-3.6226678291194419E-3</v>
      </c>
      <c r="I275" s="20">
        <f t="shared" si="297"/>
        <v>-9.1697661021911497E-5</v>
      </c>
      <c r="J275" s="20">
        <f t="shared" si="297"/>
        <v>-3.3097092417477781E-4</v>
      </c>
      <c r="K275" s="20">
        <f t="shared" si="297"/>
        <v>-1.9056424136449951E-4</v>
      </c>
      <c r="L275" s="20">
        <f t="shared" si="297"/>
        <v>-5.4431036224712292E-4</v>
      </c>
      <c r="M275" s="20">
        <f t="shared" si="297"/>
        <v>-2.6285736160113306E-4</v>
      </c>
      <c r="N275" s="20">
        <f t="shared" si="297"/>
        <v>-1.4432064065093586E-3</v>
      </c>
      <c r="O275" s="20">
        <f t="shared" si="297"/>
        <v>-3.7026672120207517E-4</v>
      </c>
      <c r="P275" s="20">
        <f t="shared" si="297"/>
        <v>-2.662046660899933E-4</v>
      </c>
      <c r="Q275" s="20">
        <f t="shared" si="297"/>
        <v>-9.518222396043975E-5</v>
      </c>
      <c r="R275" s="20">
        <f t="shared" si="297"/>
        <v>-2.9168152081818986E-4</v>
      </c>
      <c r="S275" s="20">
        <f t="shared" si="297"/>
        <v>-3.9173270160779486E-4</v>
      </c>
      <c r="T275" s="20">
        <f t="shared" si="297"/>
        <v>-6.8358640980726895E-5</v>
      </c>
      <c r="U275" s="20">
        <f t="shared" si="297"/>
        <v>-1.2344440895841094E-3</v>
      </c>
      <c r="V275" s="20">
        <f t="shared" si="297"/>
        <v>-3.3173154124088191E-4</v>
      </c>
      <c r="W275" s="20">
        <f t="shared" si="297"/>
        <v>-5.0997735614511958E-4</v>
      </c>
      <c r="X275" s="20">
        <f t="shared" si="297"/>
        <v>-3.6275861000529717E-4</v>
      </c>
      <c r="Y275" s="20">
        <f t="shared" si="297"/>
        <v>-5.1988393903375826E-4</v>
      </c>
      <c r="Z275" s="20">
        <f t="shared" si="297"/>
        <v>-1.6025949011644171E-3</v>
      </c>
      <c r="AA275" s="20">
        <f t="shared" si="297"/>
        <v>-8.0767217330653324E-4</v>
      </c>
      <c r="AB275" s="20">
        <f t="shared" si="297"/>
        <v>-9.0951006093309555E-3</v>
      </c>
      <c r="AC275" s="20">
        <f t="shared" si="297"/>
        <v>-2.9876330142383046E-5</v>
      </c>
      <c r="AD275" s="20">
        <f t="shared" si="297"/>
        <v>-1.236895449509214E-4</v>
      </c>
      <c r="AE275" s="20">
        <f t="shared" si="297"/>
        <v>-1.0725346902659547E-4</v>
      </c>
      <c r="AF275" s="20">
        <f t="shared" si="297"/>
        <v>-3.6109910313299901E-5</v>
      </c>
      <c r="AG275" s="20">
        <f t="shared" si="297"/>
        <v>-2.6439454386340856E-4</v>
      </c>
      <c r="AH275" s="20">
        <f t="shared" si="297"/>
        <v>-3.3249342551365003E-3</v>
      </c>
      <c r="AI275" s="20">
        <f t="shared" si="297"/>
        <v>-9.5552320516207364E-4</v>
      </c>
      <c r="AJ275" s="20">
        <f t="shared" si="297"/>
        <v>-3.4025747515353177E-3</v>
      </c>
      <c r="AK275" s="20">
        <f t="shared" si="297"/>
        <v>-1.2689238542826985E-3</v>
      </c>
      <c r="AL275" s="20">
        <f t="shared" ref="AL275:BK275" si="298">AL207-AL126</f>
        <v>-3.7307158348461431E-3</v>
      </c>
      <c r="AM275" s="20">
        <f t="shared" si="298"/>
        <v>-2.0072150296408968E-4</v>
      </c>
      <c r="AN275" s="20">
        <f t="shared" si="298"/>
        <v>-1.8586670026851167E-2</v>
      </c>
      <c r="AO275" s="20">
        <f t="shared" si="298"/>
        <v>-1.0661738383428206E-3</v>
      </c>
      <c r="AP275" s="20">
        <f t="shared" si="298"/>
        <v>-6.1612448580308505E-4</v>
      </c>
      <c r="AQ275" s="20">
        <f t="shared" si="298"/>
        <v>0.99797834607354552</v>
      </c>
      <c r="AR275" s="20">
        <f t="shared" si="298"/>
        <v>-3.1242001477490111E-3</v>
      </c>
      <c r="AS275" s="20">
        <f t="shared" si="298"/>
        <v>-5.1848212221608549E-3</v>
      </c>
      <c r="AT275" s="20">
        <f t="shared" si="298"/>
        <v>-7.8637451856411076E-4</v>
      </c>
      <c r="AU275" s="20">
        <f t="shared" si="298"/>
        <v>-1.0280275908037387E-2</v>
      </c>
      <c r="AV275" s="20">
        <f t="shared" si="298"/>
        <v>-2.2554372672434456E-3</v>
      </c>
      <c r="AW275" s="20">
        <f t="shared" si="298"/>
        <v>-1.4515435384433407E-3</v>
      </c>
      <c r="AX275" s="20">
        <f t="shared" si="298"/>
        <v>-5.7360829630044843E-3</v>
      </c>
      <c r="AY275" s="20">
        <f t="shared" si="298"/>
        <v>-3.0063956665926883E-4</v>
      </c>
      <c r="AZ275" s="20">
        <f t="shared" si="298"/>
        <v>-3.9845125143464282E-3</v>
      </c>
      <c r="BA275" s="20">
        <f t="shared" si="298"/>
        <v>-1.6935162615595164E-3</v>
      </c>
      <c r="BB275" s="20">
        <f t="shared" si="298"/>
        <v>-1.1427022672604282E-2</v>
      </c>
      <c r="BC275" s="20">
        <f t="shared" si="298"/>
        <v>-2.6579507880949631E-3</v>
      </c>
      <c r="BD275" s="20">
        <f t="shared" si="298"/>
        <v>-1.2548831229381389E-2</v>
      </c>
      <c r="BE275" s="20">
        <f t="shared" si="298"/>
        <v>-4.0721566336055501E-4</v>
      </c>
      <c r="BF275" s="20">
        <f t="shared" si="298"/>
        <v>-1.6581013873989515E-2</v>
      </c>
      <c r="BG275" s="20">
        <f t="shared" si="298"/>
        <v>-0.14581660094032289</v>
      </c>
      <c r="BH275" s="20">
        <f t="shared" si="298"/>
        <v>-3.0661611747108786E-3</v>
      </c>
      <c r="BI275" s="20">
        <f t="shared" si="298"/>
        <v>-1.1680392539992855E-2</v>
      </c>
      <c r="BJ275" s="20">
        <f t="shared" si="298"/>
        <v>-1.6472884139455867E-2</v>
      </c>
      <c r="BK275" s="20">
        <f t="shared" si="298"/>
        <v>-6.2611519758961317E-3</v>
      </c>
      <c r="BL275" s="20">
        <f t="shared" ref="BL275:BR275" si="299">BL207-BL126</f>
        <v>-2.2709426829731247E-2</v>
      </c>
      <c r="BM275" s="20">
        <f t="shared" si="299"/>
        <v>-1.3044518578166343E-2</v>
      </c>
      <c r="BN275" s="20">
        <f t="shared" si="299"/>
        <v>-2.7639380148897708E-2</v>
      </c>
      <c r="BO275" s="20">
        <f t="shared" si="299"/>
        <v>-1.7581461669185134E-2</v>
      </c>
      <c r="BP275" s="20">
        <f t="shared" si="299"/>
        <v>-6.4071626571626577E-3</v>
      </c>
      <c r="BQ275" s="20">
        <f t="shared" si="299"/>
        <v>-8.2767019409420519E-4</v>
      </c>
      <c r="BR275" s="20">
        <f t="shared" si="299"/>
        <v>0</v>
      </c>
    </row>
    <row r="276" spans="1:70" outlineLevel="1" x14ac:dyDescent="0.3">
      <c r="A276" s="7">
        <v>39</v>
      </c>
      <c r="B276" s="150" t="s">
        <v>145</v>
      </c>
      <c r="C276" s="150"/>
      <c r="D276" s="150"/>
      <c r="E276" s="150"/>
      <c r="F276" s="20">
        <f t="shared" ref="F276:AK276" si="300">F208-F127</f>
        <v>-3.7706116739846042E-4</v>
      </c>
      <c r="G276" s="20">
        <f t="shared" si="300"/>
        <v>-3.0551164149871224E-3</v>
      </c>
      <c r="H276" s="20">
        <f t="shared" si="300"/>
        <v>-8.1464690496948567E-4</v>
      </c>
      <c r="I276" s="20">
        <f t="shared" si="300"/>
        <v>0</v>
      </c>
      <c r="J276" s="20">
        <f t="shared" si="300"/>
        <v>-2.8844283397742387E-5</v>
      </c>
      <c r="K276" s="20">
        <f t="shared" si="300"/>
        <v>-2.0385694793289373E-4</v>
      </c>
      <c r="L276" s="20">
        <f t="shared" si="300"/>
        <v>-5.032773861676855E-4</v>
      </c>
      <c r="M276" s="20">
        <f t="shared" si="300"/>
        <v>-1.7080624477634793E-3</v>
      </c>
      <c r="N276" s="20">
        <f t="shared" si="300"/>
        <v>-5.8236281504045022E-3</v>
      </c>
      <c r="O276" s="20">
        <f t="shared" si="300"/>
        <v>-2.5375110326566635E-3</v>
      </c>
      <c r="P276" s="20">
        <f t="shared" si="300"/>
        <v>-1.4602991006956896E-4</v>
      </c>
      <c r="Q276" s="20">
        <f t="shared" si="300"/>
        <v>0</v>
      </c>
      <c r="R276" s="20">
        <f t="shared" si="300"/>
        <v>-3.9684560655536025E-6</v>
      </c>
      <c r="S276" s="20">
        <f t="shared" si="300"/>
        <v>0</v>
      </c>
      <c r="T276" s="20">
        <f t="shared" si="300"/>
        <v>0</v>
      </c>
      <c r="U276" s="20">
        <f t="shared" si="300"/>
        <v>0</v>
      </c>
      <c r="V276" s="20">
        <f t="shared" si="300"/>
        <v>-9.5901584825174426E-4</v>
      </c>
      <c r="W276" s="20">
        <f t="shared" si="300"/>
        <v>-6.2727842084270557E-5</v>
      </c>
      <c r="X276" s="20">
        <f t="shared" si="300"/>
        <v>-3.4917303788289119E-5</v>
      </c>
      <c r="Y276" s="20">
        <f t="shared" si="300"/>
        <v>0</v>
      </c>
      <c r="Z276" s="20">
        <f t="shared" si="300"/>
        <v>-1.9485247798967759E-4</v>
      </c>
      <c r="AA276" s="20">
        <f t="shared" si="300"/>
        <v>-2.0991292175446584E-4</v>
      </c>
      <c r="AB276" s="20">
        <f t="shared" si="300"/>
        <v>0</v>
      </c>
      <c r="AC276" s="20">
        <f t="shared" si="300"/>
        <v>-3.6549641267644308E-4</v>
      </c>
      <c r="AD276" s="20">
        <f t="shared" si="300"/>
        <v>-1.5984495039811383E-4</v>
      </c>
      <c r="AE276" s="20">
        <f t="shared" si="300"/>
        <v>-1.1291826492588748E-4</v>
      </c>
      <c r="AF276" s="20">
        <f t="shared" si="300"/>
        <v>-5.2926811402065278E-4</v>
      </c>
      <c r="AG276" s="20">
        <f t="shared" si="300"/>
        <v>0</v>
      </c>
      <c r="AH276" s="20">
        <f t="shared" si="300"/>
        <v>-5.5181394370146198E-5</v>
      </c>
      <c r="AI276" s="20">
        <f t="shared" si="300"/>
        <v>-1.0930521199585293E-2</v>
      </c>
      <c r="AJ276" s="20">
        <f t="shared" si="300"/>
        <v>-8.5177305922315757E-3</v>
      </c>
      <c r="AK276" s="20">
        <f t="shared" si="300"/>
        <v>-5.8680325425512362E-3</v>
      </c>
      <c r="AL276" s="20">
        <f t="shared" ref="AL276:BK276" si="301">AL208-AL127</f>
        <v>-2.661560640648316E-4</v>
      </c>
      <c r="AM276" s="20">
        <f t="shared" si="301"/>
        <v>0</v>
      </c>
      <c r="AN276" s="20">
        <f t="shared" si="301"/>
        <v>-2.3577583239261157E-4</v>
      </c>
      <c r="AO276" s="20">
        <f t="shared" si="301"/>
        <v>-9.2206728128515787E-4</v>
      </c>
      <c r="AP276" s="20">
        <f t="shared" si="301"/>
        <v>-1.6218532711911655E-2</v>
      </c>
      <c r="AQ276" s="20">
        <f t="shared" si="301"/>
        <v>-3.4123067788944233E-3</v>
      </c>
      <c r="AR276" s="20">
        <f t="shared" si="301"/>
        <v>0.97053511101191092</v>
      </c>
      <c r="AS276" s="20">
        <f t="shared" si="301"/>
        <v>-7.1360980261998873E-4</v>
      </c>
      <c r="AT276" s="20">
        <f t="shared" si="301"/>
        <v>-3.9871673381906299E-4</v>
      </c>
      <c r="AU276" s="20">
        <f t="shared" si="301"/>
        <v>-1.8765643120561646E-2</v>
      </c>
      <c r="AV276" s="20">
        <f t="shared" si="301"/>
        <v>-3.277589142516823E-3</v>
      </c>
      <c r="AW276" s="20">
        <f t="shared" si="301"/>
        <v>-3.4459629928188591E-3</v>
      </c>
      <c r="AX276" s="20">
        <f t="shared" si="301"/>
        <v>-8.8727113910643477E-3</v>
      </c>
      <c r="AY276" s="20">
        <f t="shared" si="301"/>
        <v>-2.4176284669092402E-4</v>
      </c>
      <c r="AZ276" s="20">
        <f t="shared" si="301"/>
        <v>-2.3558766433484498E-3</v>
      </c>
      <c r="BA276" s="20">
        <f t="shared" si="301"/>
        <v>-4.1627270282659744E-3</v>
      </c>
      <c r="BB276" s="20">
        <f t="shared" si="301"/>
        <v>-9.1262596414092168E-3</v>
      </c>
      <c r="BC276" s="20">
        <f t="shared" si="301"/>
        <v>-4.4084319812099738E-2</v>
      </c>
      <c r="BD276" s="20">
        <f t="shared" si="301"/>
        <v>-8.8288275560013847E-3</v>
      </c>
      <c r="BE276" s="20">
        <f t="shared" si="301"/>
        <v>-1.8002639286016425E-4</v>
      </c>
      <c r="BF276" s="20">
        <f t="shared" si="301"/>
        <v>-1.8719341120979698E-3</v>
      </c>
      <c r="BG276" s="20">
        <f t="shared" si="301"/>
        <v>-9.2317688357864153E-3</v>
      </c>
      <c r="BH276" s="20">
        <f t="shared" si="301"/>
        <v>-1.0775799085544862E-3</v>
      </c>
      <c r="BI276" s="20">
        <f t="shared" si="301"/>
        <v>-3.6936214449919684E-3</v>
      </c>
      <c r="BJ276" s="20">
        <f t="shared" si="301"/>
        <v>-1.1409913376403218E-2</v>
      </c>
      <c r="BK276" s="20">
        <f t="shared" si="301"/>
        <v>-1.7899617731437394E-3</v>
      </c>
      <c r="BL276" s="20">
        <f t="shared" ref="BL276:BR276" si="302">BL208-BL127</f>
        <v>-2.1758372178055014E-3</v>
      </c>
      <c r="BM276" s="20">
        <f t="shared" si="302"/>
        <v>-1.8373403888185896E-2</v>
      </c>
      <c r="BN276" s="20">
        <f t="shared" si="302"/>
        <v>-3.7386515745304874E-3</v>
      </c>
      <c r="BO276" s="20">
        <f t="shared" si="302"/>
        <v>-5.28385473883391E-3</v>
      </c>
      <c r="BP276" s="20">
        <f t="shared" si="302"/>
        <v>-9.2812592812592816E-5</v>
      </c>
      <c r="BQ276" s="20">
        <f t="shared" si="302"/>
        <v>-3.6403374797492993E-3</v>
      </c>
      <c r="BR276" s="20">
        <f t="shared" si="302"/>
        <v>0</v>
      </c>
    </row>
    <row r="277" spans="1:70" outlineLevel="1" x14ac:dyDescent="0.3">
      <c r="A277" s="7">
        <v>40</v>
      </c>
      <c r="B277" s="150" t="s">
        <v>146</v>
      </c>
      <c r="C277" s="150"/>
      <c r="D277" s="150"/>
      <c r="E277" s="150"/>
      <c r="F277" s="20">
        <f t="shared" ref="F277:AK277" si="303">F209-F128</f>
        <v>-2.353234474186066E-4</v>
      </c>
      <c r="G277" s="20">
        <f t="shared" si="303"/>
        <v>-9.8336261907404333E-4</v>
      </c>
      <c r="H277" s="20">
        <f t="shared" si="303"/>
        <v>-3.905841325196164E-5</v>
      </c>
      <c r="I277" s="20">
        <f t="shared" si="303"/>
        <v>0</v>
      </c>
      <c r="J277" s="20">
        <f t="shared" si="303"/>
        <v>-1.579052237883235E-4</v>
      </c>
      <c r="K277" s="20">
        <f t="shared" si="303"/>
        <v>-6.6038166231782483E-5</v>
      </c>
      <c r="L277" s="20">
        <f t="shared" si="303"/>
        <v>0</v>
      </c>
      <c r="M277" s="20">
        <f t="shared" si="303"/>
        <v>0</v>
      </c>
      <c r="N277" s="20">
        <f t="shared" si="303"/>
        <v>-5.4239470658431826E-3</v>
      </c>
      <c r="O277" s="20">
        <f t="shared" si="303"/>
        <v>-5.7315996813984017E-4</v>
      </c>
      <c r="P277" s="20">
        <f t="shared" si="303"/>
        <v>0</v>
      </c>
      <c r="Q277" s="20">
        <f t="shared" si="303"/>
        <v>-1.3703277379518564E-5</v>
      </c>
      <c r="R277" s="20">
        <f t="shared" si="303"/>
        <v>0</v>
      </c>
      <c r="S277" s="20">
        <f t="shared" si="303"/>
        <v>0</v>
      </c>
      <c r="T277" s="20">
        <f t="shared" si="303"/>
        <v>0</v>
      </c>
      <c r="U277" s="20">
        <f t="shared" si="303"/>
        <v>0</v>
      </c>
      <c r="V277" s="20">
        <f t="shared" si="303"/>
        <v>0</v>
      </c>
      <c r="W277" s="20">
        <f t="shared" si="303"/>
        <v>0</v>
      </c>
      <c r="X277" s="20">
        <f t="shared" si="303"/>
        <v>-2.2285105148157219E-4</v>
      </c>
      <c r="Y277" s="20">
        <f t="shared" si="303"/>
        <v>0</v>
      </c>
      <c r="Z277" s="20">
        <f t="shared" si="303"/>
        <v>-3.4165913948874985E-5</v>
      </c>
      <c r="AA277" s="20">
        <f t="shared" si="303"/>
        <v>0</v>
      </c>
      <c r="AB277" s="20">
        <f t="shared" si="303"/>
        <v>0</v>
      </c>
      <c r="AC277" s="20">
        <f t="shared" si="303"/>
        <v>-6.0171487342836885E-4</v>
      </c>
      <c r="AD277" s="20">
        <f t="shared" si="303"/>
        <v>0</v>
      </c>
      <c r="AE277" s="20">
        <f t="shared" si="303"/>
        <v>0</v>
      </c>
      <c r="AF277" s="20">
        <f t="shared" si="303"/>
        <v>-1.7745441639678807E-4</v>
      </c>
      <c r="AG277" s="20">
        <f t="shared" si="303"/>
        <v>-2.0691746911049365E-4</v>
      </c>
      <c r="AH277" s="20">
        <f t="shared" si="303"/>
        <v>-6.6217673244175435E-5</v>
      </c>
      <c r="AI277" s="20">
        <f t="shared" si="303"/>
        <v>-3.9626109390544816E-4</v>
      </c>
      <c r="AJ277" s="20">
        <f t="shared" si="303"/>
        <v>-1.6196619128299812E-3</v>
      </c>
      <c r="AK277" s="20">
        <f t="shared" si="303"/>
        <v>-1.6395331548825826E-4</v>
      </c>
      <c r="AL277" s="20">
        <f t="shared" ref="AL277:BK277" si="304">AL209-AL128</f>
        <v>0</v>
      </c>
      <c r="AM277" s="20">
        <f t="shared" si="304"/>
        <v>0</v>
      </c>
      <c r="AN277" s="20">
        <f t="shared" si="304"/>
        <v>0</v>
      </c>
      <c r="AO277" s="20">
        <f t="shared" si="304"/>
        <v>-8.7913050450820059E-5</v>
      </c>
      <c r="AP277" s="20">
        <f t="shared" si="304"/>
        <v>-1.120226337823791E-4</v>
      </c>
      <c r="AQ277" s="20">
        <f t="shared" si="304"/>
        <v>-4.6904121443464408E-3</v>
      </c>
      <c r="AR277" s="20">
        <f t="shared" si="304"/>
        <v>-8.5531878244140078E-3</v>
      </c>
      <c r="AS277" s="20">
        <f t="shared" si="304"/>
        <v>0.82269844113425306</v>
      </c>
      <c r="AT277" s="20">
        <f t="shared" si="304"/>
        <v>-1.2182324255759483E-2</v>
      </c>
      <c r="AU277" s="20">
        <f t="shared" si="304"/>
        <v>-1.5744111790557656E-3</v>
      </c>
      <c r="AV277" s="20">
        <f t="shared" si="304"/>
        <v>-1.3883534612922916E-3</v>
      </c>
      <c r="AW277" s="20">
        <f t="shared" si="304"/>
        <v>-1.8713493474891304E-3</v>
      </c>
      <c r="AX277" s="20">
        <f t="shared" si="304"/>
        <v>-1.8771892025711947E-3</v>
      </c>
      <c r="AY277" s="20">
        <f t="shared" si="304"/>
        <v>-2.3510326911095701E-5</v>
      </c>
      <c r="AZ277" s="20">
        <f t="shared" si="304"/>
        <v>-7.6661189948046618E-3</v>
      </c>
      <c r="BA277" s="20">
        <f t="shared" si="304"/>
        <v>-3.2415689514011543E-3</v>
      </c>
      <c r="BB277" s="20">
        <f t="shared" si="304"/>
        <v>-4.840937922311604E-4</v>
      </c>
      <c r="BC277" s="20">
        <f t="shared" si="304"/>
        <v>-1.1783581827221003E-2</v>
      </c>
      <c r="BD277" s="20">
        <f t="shared" si="304"/>
        <v>-3.1576939650605051E-3</v>
      </c>
      <c r="BE277" s="20">
        <f t="shared" si="304"/>
        <v>-3.4830794459591412E-3</v>
      </c>
      <c r="BF277" s="20">
        <f t="shared" si="304"/>
        <v>0</v>
      </c>
      <c r="BG277" s="20">
        <f t="shared" si="304"/>
        <v>-4.6384449477949339E-3</v>
      </c>
      <c r="BH277" s="20">
        <f t="shared" si="304"/>
        <v>-2.2632897536922253E-3</v>
      </c>
      <c r="BI277" s="20">
        <f t="shared" si="304"/>
        <v>-9.3329977538946993E-4</v>
      </c>
      <c r="BJ277" s="20">
        <f t="shared" si="304"/>
        <v>-7.7869035784153967E-4</v>
      </c>
      <c r="BK277" s="20">
        <f t="shared" si="304"/>
        <v>-3.0946965251148813E-4</v>
      </c>
      <c r="BL277" s="20">
        <f t="shared" ref="BL277:BR277" si="305">BL209-BL128</f>
        <v>-1.3786296421357171E-4</v>
      </c>
      <c r="BM277" s="20">
        <f t="shared" si="305"/>
        <v>-8.0400322098239975E-3</v>
      </c>
      <c r="BN277" s="20">
        <f t="shared" si="305"/>
        <v>-6.0768560197712951E-3</v>
      </c>
      <c r="BO277" s="20">
        <f t="shared" si="305"/>
        <v>-3.5427474789143522E-2</v>
      </c>
      <c r="BP277" s="20">
        <f t="shared" si="305"/>
        <v>-8.5789773289773295E-3</v>
      </c>
      <c r="BQ277" s="20">
        <f t="shared" si="305"/>
        <v>-4.0274572782050544E-3</v>
      </c>
      <c r="BR277" s="20">
        <f t="shared" si="305"/>
        <v>0</v>
      </c>
    </row>
    <row r="278" spans="1:70" outlineLevel="1" x14ac:dyDescent="0.3">
      <c r="A278" s="7">
        <v>41</v>
      </c>
      <c r="B278" s="150" t="s">
        <v>147</v>
      </c>
      <c r="C278" s="150"/>
      <c r="D278" s="150"/>
      <c r="E278" s="150"/>
      <c r="F278" s="20">
        <f t="shared" ref="F278:AK278" si="306">F210-F129</f>
        <v>-2.5454541218299775E-3</v>
      </c>
      <c r="G278" s="20">
        <f t="shared" si="306"/>
        <v>-8.7626206935314307E-3</v>
      </c>
      <c r="H278" s="20">
        <f t="shared" si="306"/>
        <v>-4.7023539668700964E-3</v>
      </c>
      <c r="I278" s="20">
        <f t="shared" si="306"/>
        <v>-1.7150737527562518E-3</v>
      </c>
      <c r="J278" s="20">
        <f t="shared" si="306"/>
        <v>-1.9252820833093784E-3</v>
      </c>
      <c r="K278" s="20">
        <f t="shared" si="306"/>
        <v>-1.5028202337963768E-3</v>
      </c>
      <c r="L278" s="20">
        <f t="shared" si="306"/>
        <v>-4.702243037788348E-3</v>
      </c>
      <c r="M278" s="20">
        <f t="shared" si="306"/>
        <v>-1.2178207083112691E-3</v>
      </c>
      <c r="N278" s="20">
        <f t="shared" si="306"/>
        <v>-1.1853576756911994E-2</v>
      </c>
      <c r="O278" s="20">
        <f t="shared" si="306"/>
        <v>-8.573181495274793E-4</v>
      </c>
      <c r="P278" s="20">
        <f t="shared" si="306"/>
        <v>-1.3138555081613345E-3</v>
      </c>
      <c r="Q278" s="20">
        <f t="shared" si="306"/>
        <v>-6.4368367798927739E-4</v>
      </c>
      <c r="R278" s="20">
        <f t="shared" si="306"/>
        <v>-3.3326763333847028E-3</v>
      </c>
      <c r="S278" s="20">
        <f t="shared" si="306"/>
        <v>-5.2223089035008758E-3</v>
      </c>
      <c r="T278" s="20">
        <f t="shared" si="306"/>
        <v>0</v>
      </c>
      <c r="U278" s="20">
        <f t="shared" si="306"/>
        <v>-2.2438570972807669E-3</v>
      </c>
      <c r="V278" s="20">
        <f t="shared" si="306"/>
        <v>-8.1117267378126925E-3</v>
      </c>
      <c r="W278" s="20">
        <f t="shared" si="306"/>
        <v>-7.5515360749163994E-4</v>
      </c>
      <c r="X278" s="20">
        <f t="shared" si="306"/>
        <v>-1.9870686804298048E-3</v>
      </c>
      <c r="Y278" s="20">
        <f t="shared" si="306"/>
        <v>-8.6643319137026296E-4</v>
      </c>
      <c r="Z278" s="20">
        <f t="shared" si="306"/>
        <v>-1.2828233002991653E-3</v>
      </c>
      <c r="AA278" s="20">
        <f t="shared" si="306"/>
        <v>-1.8967943796080434E-3</v>
      </c>
      <c r="AB278" s="20">
        <f t="shared" si="306"/>
        <v>-6.8674515811646935E-4</v>
      </c>
      <c r="AC278" s="20">
        <f t="shared" si="306"/>
        <v>-5.5952502777870455E-3</v>
      </c>
      <c r="AD278" s="20">
        <f t="shared" si="306"/>
        <v>-2.0247027050427752E-3</v>
      </c>
      <c r="AE278" s="20">
        <f t="shared" si="306"/>
        <v>-4.7168867188104836E-4</v>
      </c>
      <c r="AF278" s="20">
        <f t="shared" si="306"/>
        <v>-3.2849701267870538E-3</v>
      </c>
      <c r="AG278" s="20">
        <f t="shared" si="306"/>
        <v>-3.9464643788039875E-3</v>
      </c>
      <c r="AH278" s="20">
        <f t="shared" si="306"/>
        <v>-4.8975796857013637E-3</v>
      </c>
      <c r="AI278" s="20">
        <f t="shared" si="306"/>
        <v>-4.5655614107610312E-3</v>
      </c>
      <c r="AJ278" s="20">
        <f t="shared" si="306"/>
        <v>-1.2842625270884795E-2</v>
      </c>
      <c r="AK278" s="20">
        <f t="shared" si="306"/>
        <v>-6.8631813738228064E-3</v>
      </c>
      <c r="AL278" s="20">
        <f t="shared" ref="AL278:BK278" si="307">AL210-AL129</f>
        <v>-5.3982471555027401E-3</v>
      </c>
      <c r="AM278" s="20">
        <f t="shared" si="307"/>
        <v>0</v>
      </c>
      <c r="AN278" s="20">
        <f t="shared" si="307"/>
        <v>-9.1907108219158496E-4</v>
      </c>
      <c r="AO278" s="20">
        <f t="shared" si="307"/>
        <v>-6.2474083629892284E-3</v>
      </c>
      <c r="AP278" s="20">
        <f t="shared" si="307"/>
        <v>-5.2533404888876149E-3</v>
      </c>
      <c r="AQ278" s="20">
        <f t="shared" si="307"/>
        <v>-4.7458982304664473E-3</v>
      </c>
      <c r="AR278" s="20">
        <f t="shared" si="307"/>
        <v>-8.1935196652963282E-3</v>
      </c>
      <c r="AS278" s="20">
        <f t="shared" si="307"/>
        <v>-5.8949373101221836E-2</v>
      </c>
      <c r="AT278" s="20">
        <f t="shared" si="307"/>
        <v>0.68407638570712881</v>
      </c>
      <c r="AU278" s="20">
        <f t="shared" si="307"/>
        <v>-3.3201918496711898E-2</v>
      </c>
      <c r="AV278" s="20">
        <f t="shared" si="307"/>
        <v>-8.5705998354177956E-3</v>
      </c>
      <c r="AW278" s="20">
        <f t="shared" si="307"/>
        <v>-1.4773882608894822E-2</v>
      </c>
      <c r="AX278" s="20">
        <f t="shared" si="307"/>
        <v>-1.8380105414537679E-2</v>
      </c>
      <c r="AY278" s="20">
        <f t="shared" si="307"/>
        <v>-4.2675783964715944E-3</v>
      </c>
      <c r="AZ278" s="20">
        <f t="shared" si="307"/>
        <v>-5.1261021119540706E-3</v>
      </c>
      <c r="BA278" s="20">
        <f t="shared" si="307"/>
        <v>-6.7837403755495757E-3</v>
      </c>
      <c r="BB278" s="20">
        <f t="shared" si="307"/>
        <v>-7.1289022062781615E-3</v>
      </c>
      <c r="BC278" s="20">
        <f t="shared" si="307"/>
        <v>-2.837335563955461E-2</v>
      </c>
      <c r="BD278" s="20">
        <f t="shared" si="307"/>
        <v>-2.5832338459582223E-2</v>
      </c>
      <c r="BE278" s="20">
        <f t="shared" si="307"/>
        <v>-9.5885616992289315E-4</v>
      </c>
      <c r="BF278" s="20">
        <f t="shared" si="307"/>
        <v>-5.1496143502325386E-3</v>
      </c>
      <c r="BG278" s="20">
        <f t="shared" si="307"/>
        <v>-8.544800700278847E-3</v>
      </c>
      <c r="BH278" s="20">
        <f t="shared" si="307"/>
        <v>-1.2860554889890781E-2</v>
      </c>
      <c r="BI278" s="20">
        <f t="shared" si="307"/>
        <v>-2.5735737641766803E-3</v>
      </c>
      <c r="BJ278" s="20">
        <f t="shared" si="307"/>
        <v>-4.0629059482631923E-3</v>
      </c>
      <c r="BK278" s="20">
        <f t="shared" si="307"/>
        <v>-2.6182350869946975E-3</v>
      </c>
      <c r="BL278" s="20">
        <f t="shared" ref="BL278:BR278" si="308">BL210-BL129</f>
        <v>-3.3306892948409277E-3</v>
      </c>
      <c r="BM278" s="20">
        <f t="shared" si="308"/>
        <v>-4.2696422408834691E-3</v>
      </c>
      <c r="BN278" s="20">
        <f t="shared" si="308"/>
        <v>-1.2115400144170608E-2</v>
      </c>
      <c r="BO278" s="20">
        <f t="shared" si="308"/>
        <v>-1.7279245266098406E-2</v>
      </c>
      <c r="BP278" s="20">
        <f t="shared" si="308"/>
        <v>-2.543065043065043E-3</v>
      </c>
      <c r="BQ278" s="20">
        <f t="shared" si="308"/>
        <v>-3.3752007427861131E-3</v>
      </c>
      <c r="BR278" s="20">
        <f t="shared" si="308"/>
        <v>0</v>
      </c>
    </row>
    <row r="279" spans="1:70" outlineLevel="1" x14ac:dyDescent="0.3">
      <c r="A279" s="7">
        <v>42</v>
      </c>
      <c r="B279" s="150" t="s">
        <v>148</v>
      </c>
      <c r="C279" s="150"/>
      <c r="D279" s="150"/>
      <c r="E279" s="150"/>
      <c r="F279" s="20">
        <f t="shared" ref="F279:AK279" si="309">F211-F130</f>
        <v>-3.6890639446811271E-5</v>
      </c>
      <c r="G279" s="20">
        <f t="shared" si="309"/>
        <v>-3.810559918911285E-3</v>
      </c>
      <c r="H279" s="20">
        <f t="shared" si="309"/>
        <v>-1.9668700959023539E-4</v>
      </c>
      <c r="I279" s="20">
        <f t="shared" si="309"/>
        <v>-2.3549924300305912E-3</v>
      </c>
      <c r="J279" s="20">
        <f t="shared" si="309"/>
        <v>-8.4199711911566767E-4</v>
      </c>
      <c r="K279" s="20">
        <f t="shared" si="309"/>
        <v>-7.0015344037046027E-4</v>
      </c>
      <c r="L279" s="20">
        <f t="shared" si="309"/>
        <v>-4.8415889086732153E-4</v>
      </c>
      <c r="M279" s="20">
        <f t="shared" si="309"/>
        <v>-8.8248617127836717E-4</v>
      </c>
      <c r="N279" s="20">
        <f t="shared" si="309"/>
        <v>-3.7785673480771245E-3</v>
      </c>
      <c r="O279" s="20">
        <f t="shared" si="309"/>
        <v>-5.9361074634576877E-4</v>
      </c>
      <c r="P279" s="20">
        <f t="shared" si="309"/>
        <v>-1.865707916186278E-4</v>
      </c>
      <c r="Q279" s="20">
        <f t="shared" si="309"/>
        <v>-1.0629298940329264E-4</v>
      </c>
      <c r="R279" s="20">
        <f t="shared" si="309"/>
        <v>-8.0278559159428092E-4</v>
      </c>
      <c r="S279" s="20">
        <f t="shared" si="309"/>
        <v>-1.8455492021035927E-4</v>
      </c>
      <c r="T279" s="20">
        <f t="shared" si="309"/>
        <v>-1.7476304142131534E-5</v>
      </c>
      <c r="U279" s="20">
        <f t="shared" si="309"/>
        <v>-1.5328437959058099E-3</v>
      </c>
      <c r="V279" s="20">
        <f t="shared" si="309"/>
        <v>-2.0615779456411116E-3</v>
      </c>
      <c r="W279" s="20">
        <f t="shared" si="309"/>
        <v>0</v>
      </c>
      <c r="X279" s="20">
        <f t="shared" si="309"/>
        <v>-3.5715754079693684E-4</v>
      </c>
      <c r="Y279" s="20">
        <f t="shared" si="309"/>
        <v>-3.7537830625704582E-4</v>
      </c>
      <c r="Z279" s="20">
        <f t="shared" si="309"/>
        <v>-1.2443866471066808E-3</v>
      </c>
      <c r="AA279" s="20">
        <f t="shared" si="309"/>
        <v>-5.7123595818958965E-4</v>
      </c>
      <c r="AB279" s="20">
        <f t="shared" si="309"/>
        <v>-3.2239733101621578E-5</v>
      </c>
      <c r="AC279" s="20">
        <f t="shared" si="309"/>
        <v>-5.744073492421533E-3</v>
      </c>
      <c r="AD279" s="20">
        <f t="shared" si="309"/>
        <v>-1.8477315099591494E-3</v>
      </c>
      <c r="AE279" s="20">
        <f t="shared" si="309"/>
        <v>-2.3346512166282155E-3</v>
      </c>
      <c r="AF279" s="20">
        <f t="shared" si="309"/>
        <v>-1.1390097424538025E-3</v>
      </c>
      <c r="AG279" s="20">
        <f t="shared" si="309"/>
        <v>-5.7830779828317461E-4</v>
      </c>
      <c r="AH279" s="20">
        <f t="shared" si="309"/>
        <v>-1.0170392853119719E-3</v>
      </c>
      <c r="AI279" s="20">
        <f t="shared" si="309"/>
        <v>-9.5483338894444322E-3</v>
      </c>
      <c r="AJ279" s="20">
        <f t="shared" si="309"/>
        <v>-1.3379584575392827E-2</v>
      </c>
      <c r="AK279" s="20">
        <f t="shared" si="309"/>
        <v>-6.9858866118403173E-3</v>
      </c>
      <c r="AL279" s="20">
        <f t="shared" ref="AL279:BK279" si="310">AL211-AL130</f>
        <v>-3.083303267149728E-3</v>
      </c>
      <c r="AM279" s="20">
        <f t="shared" si="310"/>
        <v>-3.9750299823640878E-4</v>
      </c>
      <c r="AN279" s="20">
        <f t="shared" si="310"/>
        <v>-3.8302206160309381E-3</v>
      </c>
      <c r="AO279" s="20">
        <f t="shared" si="310"/>
        <v>-3.0870469083212871E-3</v>
      </c>
      <c r="AP279" s="20">
        <f t="shared" si="310"/>
        <v>-2.3798296734931002E-3</v>
      </c>
      <c r="AQ279" s="20">
        <f t="shared" si="310"/>
        <v>-2.8837011634924659E-3</v>
      </c>
      <c r="AR279" s="20">
        <f t="shared" si="310"/>
        <v>-2.3704739734900913E-2</v>
      </c>
      <c r="AS279" s="20">
        <f t="shared" si="310"/>
        <v>-6.516892853718168E-3</v>
      </c>
      <c r="AT279" s="20">
        <f t="shared" si="310"/>
        <v>-1.6801278652339817E-2</v>
      </c>
      <c r="AU279" s="20">
        <f t="shared" si="310"/>
        <v>0.92305120591943257</v>
      </c>
      <c r="AV279" s="20">
        <f t="shared" si="310"/>
        <v>-1.9787241666481329E-2</v>
      </c>
      <c r="AW279" s="20">
        <f t="shared" si="310"/>
        <v>-1.9114155045088097E-2</v>
      </c>
      <c r="AX279" s="20">
        <f t="shared" si="310"/>
        <v>-2.3253206840559201E-2</v>
      </c>
      <c r="AY279" s="20">
        <f t="shared" si="310"/>
        <v>-1.4449769808169354E-3</v>
      </c>
      <c r="AZ279" s="20">
        <f t="shared" si="310"/>
        <v>-2.1657981141270051E-2</v>
      </c>
      <c r="BA279" s="20">
        <f t="shared" si="310"/>
        <v>-1.1368178308979305E-2</v>
      </c>
      <c r="BB279" s="20">
        <f t="shared" si="310"/>
        <v>-1.4928609340826874E-2</v>
      </c>
      <c r="BC279" s="20">
        <f t="shared" si="310"/>
        <v>-2.5316891582151481E-2</v>
      </c>
      <c r="BD279" s="20">
        <f t="shared" si="310"/>
        <v>-7.4343559929075514E-3</v>
      </c>
      <c r="BE279" s="20">
        <f t="shared" si="310"/>
        <v>-2.8879463246079561E-3</v>
      </c>
      <c r="BF279" s="20">
        <f t="shared" si="310"/>
        <v>-3.8999171438999563E-3</v>
      </c>
      <c r="BG279" s="20">
        <f t="shared" si="310"/>
        <v>-1.1056915704836074E-2</v>
      </c>
      <c r="BH279" s="20">
        <f t="shared" si="310"/>
        <v>-7.2989035571295359E-3</v>
      </c>
      <c r="BI279" s="20">
        <f t="shared" si="310"/>
        <v>-1.2105046136553764E-2</v>
      </c>
      <c r="BJ279" s="20">
        <f t="shared" si="310"/>
        <v>-3.7106466964084389E-3</v>
      </c>
      <c r="BK279" s="20">
        <f t="shared" si="310"/>
        <v>-4.2642333011928624E-3</v>
      </c>
      <c r="BL279" s="20">
        <f t="shared" ref="BL279:BR279" si="311">BL211-BL130</f>
        <v>-1.0949116578121347E-3</v>
      </c>
      <c r="BM279" s="20">
        <f t="shared" si="311"/>
        <v>-5.8548257218451628E-3</v>
      </c>
      <c r="BN279" s="20">
        <f t="shared" si="311"/>
        <v>-2.5969570924454246E-3</v>
      </c>
      <c r="BO279" s="20">
        <f t="shared" si="311"/>
        <v>-6.7832785547419722E-3</v>
      </c>
      <c r="BP279" s="20">
        <f t="shared" si="311"/>
        <v>-8.5294772794772787E-3</v>
      </c>
      <c r="BQ279" s="20">
        <f t="shared" si="311"/>
        <v>-7.3099105692778091E-3</v>
      </c>
      <c r="BR279" s="20">
        <f t="shared" si="311"/>
        <v>0</v>
      </c>
    </row>
    <row r="280" spans="1:70" outlineLevel="1" x14ac:dyDescent="0.3">
      <c r="A280" s="7">
        <v>43</v>
      </c>
      <c r="B280" s="150" t="s">
        <v>149</v>
      </c>
      <c r="C280" s="150"/>
      <c r="D280" s="150"/>
      <c r="E280" s="150"/>
      <c r="F280" s="20">
        <f t="shared" ref="F280:AK280" si="312">F212-F131</f>
        <v>-6.3146419465727752E-3</v>
      </c>
      <c r="G280" s="20">
        <f t="shared" si="312"/>
        <v>-8.2398595046557898E-3</v>
      </c>
      <c r="H280" s="20">
        <f t="shared" si="312"/>
        <v>-1.0357454228421971E-2</v>
      </c>
      <c r="I280" s="20">
        <f t="shared" si="312"/>
        <v>-2.7525672888898791E-3</v>
      </c>
      <c r="J280" s="20">
        <f t="shared" si="312"/>
        <v>-2.3338766165596509E-3</v>
      </c>
      <c r="K280" s="20">
        <f t="shared" si="312"/>
        <v>-2.457555590364723E-3</v>
      </c>
      <c r="L280" s="20">
        <f t="shared" si="312"/>
        <v>-3.7082324165196188E-3</v>
      </c>
      <c r="M280" s="20">
        <f t="shared" si="312"/>
        <v>-2.0446729914060952E-3</v>
      </c>
      <c r="N280" s="20">
        <f t="shared" si="312"/>
        <v>-4.1440344876565423E-3</v>
      </c>
      <c r="O280" s="20">
        <f t="shared" si="312"/>
        <v>-3.7807030762275848E-3</v>
      </c>
      <c r="P280" s="20">
        <f t="shared" si="312"/>
        <v>-1.1007056181801861E-3</v>
      </c>
      <c r="Q280" s="20">
        <f t="shared" si="312"/>
        <v>-3.3813762831082293E-4</v>
      </c>
      <c r="R280" s="20">
        <f t="shared" si="312"/>
        <v>-1.6302086812622072E-3</v>
      </c>
      <c r="S280" s="20">
        <f t="shared" si="312"/>
        <v>-1.9222287947587356E-3</v>
      </c>
      <c r="T280" s="20">
        <f t="shared" si="312"/>
        <v>-4.4386719369838494E-4</v>
      </c>
      <c r="U280" s="20">
        <f t="shared" si="312"/>
        <v>-2.3282649823359093E-3</v>
      </c>
      <c r="V280" s="20">
        <f t="shared" si="312"/>
        <v>-1.6626652013334942E-3</v>
      </c>
      <c r="W280" s="20">
        <f t="shared" si="312"/>
        <v>-1.4473105392900766E-3</v>
      </c>
      <c r="X280" s="20">
        <f t="shared" si="312"/>
        <v>-1.2236548644988146E-3</v>
      </c>
      <c r="Y280" s="20">
        <f t="shared" si="312"/>
        <v>-1.3331035017090222E-3</v>
      </c>
      <c r="Z280" s="20">
        <f t="shared" si="312"/>
        <v>-1.5470752909974952E-3</v>
      </c>
      <c r="AA280" s="20">
        <f t="shared" si="312"/>
        <v>-2.9584839224889334E-3</v>
      </c>
      <c r="AB280" s="20">
        <f t="shared" si="312"/>
        <v>-3.3851719756702661E-3</v>
      </c>
      <c r="AC280" s="20">
        <f t="shared" si="312"/>
        <v>-1.0497900210544361E-2</v>
      </c>
      <c r="AD280" s="20">
        <f t="shared" si="312"/>
        <v>-1.0165853407908614E-2</v>
      </c>
      <c r="AE280" s="20">
        <f t="shared" si="312"/>
        <v>-1.0706086596601954E-2</v>
      </c>
      <c r="AF280" s="20">
        <f t="shared" si="312"/>
        <v>-5.4030742945929029E-3</v>
      </c>
      <c r="AG280" s="20">
        <f t="shared" si="312"/>
        <v>-3.9390955230664349E-3</v>
      </c>
      <c r="AH280" s="20">
        <f t="shared" si="312"/>
        <v>-7.5006829609140218E-3</v>
      </c>
      <c r="AI280" s="20">
        <f t="shared" si="312"/>
        <v>-1.2799156686899573E-2</v>
      </c>
      <c r="AJ280" s="20">
        <f t="shared" si="312"/>
        <v>-1.0514745944630687E-2</v>
      </c>
      <c r="AK280" s="20">
        <f t="shared" si="312"/>
        <v>-2.9367072667579666E-2</v>
      </c>
      <c r="AL280" s="20">
        <f t="shared" ref="AL280:BK280" si="313">AL212-AL131</f>
        <v>-3.8197999210885995E-3</v>
      </c>
      <c r="AM280" s="20">
        <f t="shared" si="313"/>
        <v>-1.3008592062329172E-3</v>
      </c>
      <c r="AN280" s="20">
        <f t="shared" si="313"/>
        <v>-3.7529277122989248E-3</v>
      </c>
      <c r="AO280" s="20">
        <f t="shared" si="313"/>
        <v>-3.588011751366436E-3</v>
      </c>
      <c r="AP280" s="20">
        <f t="shared" si="313"/>
        <v>-1.4757028117681079E-2</v>
      </c>
      <c r="AQ280" s="20">
        <f t="shared" si="313"/>
        <v>-8.3920517319360424E-3</v>
      </c>
      <c r="AR280" s="20">
        <f t="shared" si="313"/>
        <v>-5.245211197385643E-3</v>
      </c>
      <c r="AS280" s="20">
        <f t="shared" si="313"/>
        <v>-1.9921606989808018E-3</v>
      </c>
      <c r="AT280" s="20">
        <f t="shared" si="313"/>
        <v>-4.5602111617140612E-3</v>
      </c>
      <c r="AU280" s="20">
        <f t="shared" si="313"/>
        <v>-3.4879845685402222E-3</v>
      </c>
      <c r="AV280" s="20">
        <f t="shared" si="313"/>
        <v>0.91706128710204338</v>
      </c>
      <c r="AW280" s="20">
        <f t="shared" si="313"/>
        <v>-5.8037127516356354E-2</v>
      </c>
      <c r="AX280" s="20">
        <f t="shared" si="313"/>
        <v>-7.2286673357984957E-2</v>
      </c>
      <c r="AY280" s="20">
        <f t="shared" si="313"/>
        <v>-3.7695176705080158E-2</v>
      </c>
      <c r="AZ280" s="20">
        <f t="shared" si="313"/>
        <v>-5.8597338687558084E-3</v>
      </c>
      <c r="BA280" s="20">
        <f t="shared" si="313"/>
        <v>-7.5190654032243525E-3</v>
      </c>
      <c r="BB280" s="20">
        <f t="shared" si="313"/>
        <v>-2.7961498356866717E-3</v>
      </c>
      <c r="BC280" s="20">
        <f t="shared" si="313"/>
        <v>-8.8799230377974228E-3</v>
      </c>
      <c r="BD280" s="20">
        <f t="shared" si="313"/>
        <v>-1.0026914572722328E-2</v>
      </c>
      <c r="BE280" s="20">
        <f t="shared" si="313"/>
        <v>-2.4753353748558731E-2</v>
      </c>
      <c r="BF280" s="20">
        <f t="shared" si="313"/>
        <v>-3.2511062170803705E-2</v>
      </c>
      <c r="BG280" s="20">
        <f t="shared" si="313"/>
        <v>-3.5975020981292807E-2</v>
      </c>
      <c r="BH280" s="20">
        <f t="shared" si="313"/>
        <v>-3.3354233140895702E-2</v>
      </c>
      <c r="BI280" s="20">
        <f t="shared" si="313"/>
        <v>-6.7962165519329957E-3</v>
      </c>
      <c r="BJ280" s="20">
        <f t="shared" si="313"/>
        <v>-1.3993376111094374E-3</v>
      </c>
      <c r="BK280" s="20">
        <f t="shared" si="313"/>
        <v>-2.7023252566161582E-3</v>
      </c>
      <c r="BL280" s="20">
        <f t="shared" ref="BL280:BR280" si="314">BL212-BL131</f>
        <v>-5.2168144864005181E-3</v>
      </c>
      <c r="BM280" s="20">
        <f t="shared" si="314"/>
        <v>-5.3997469228114579E-3</v>
      </c>
      <c r="BN280" s="20">
        <f t="shared" si="314"/>
        <v>-1.0955433835061985E-2</v>
      </c>
      <c r="BO280" s="20">
        <f t="shared" si="314"/>
        <v>-2.9392114573197799E-2</v>
      </c>
      <c r="BP280" s="20">
        <f t="shared" si="314"/>
        <v>-4.9138080388080388E-2</v>
      </c>
      <c r="BQ280" s="20">
        <f t="shared" si="314"/>
        <v>-4.6153954721097318E-2</v>
      </c>
      <c r="BR280" s="20">
        <f t="shared" si="314"/>
        <v>0</v>
      </c>
    </row>
    <row r="281" spans="1:70" outlineLevel="1" x14ac:dyDescent="0.3">
      <c r="A281" s="7">
        <v>44</v>
      </c>
      <c r="B281" s="150" t="s">
        <v>150</v>
      </c>
      <c r="C281" s="150"/>
      <c r="D281" s="150"/>
      <c r="E281" s="150"/>
      <c r="F281" s="20">
        <f t="shared" ref="F281:AK281" si="315">F213-F132</f>
        <v>-3.8508649948864389E-4</v>
      </c>
      <c r="G281" s="20">
        <f t="shared" si="315"/>
        <v>-8.1212558271796746E-5</v>
      </c>
      <c r="H281" s="20">
        <f t="shared" si="315"/>
        <v>-3.6687009590235397E-4</v>
      </c>
      <c r="I281" s="20">
        <f t="shared" si="315"/>
        <v>-4.9778730269037668E-5</v>
      </c>
      <c r="J281" s="20">
        <f t="shared" si="315"/>
        <v>-2.1963002136642752E-4</v>
      </c>
      <c r="K281" s="20">
        <f t="shared" si="315"/>
        <v>-4.503568985371961E-4</v>
      </c>
      <c r="L281" s="20">
        <f t="shared" si="315"/>
        <v>-1.0047411601329648E-3</v>
      </c>
      <c r="M281" s="20">
        <f t="shared" si="315"/>
        <v>-2.6612393852200153E-3</v>
      </c>
      <c r="N281" s="20">
        <f t="shared" si="315"/>
        <v>-1.8112655116177079E-3</v>
      </c>
      <c r="O281" s="20">
        <f t="shared" si="315"/>
        <v>-5.720836113921598E-4</v>
      </c>
      <c r="P281" s="20">
        <f t="shared" si="315"/>
        <v>-1.768492536961494E-4</v>
      </c>
      <c r="Q281" s="20">
        <f t="shared" si="315"/>
        <v>-1.5332856311136986E-4</v>
      </c>
      <c r="R281" s="20">
        <f t="shared" si="315"/>
        <v>-2.9383110118703134E-4</v>
      </c>
      <c r="S281" s="20">
        <f t="shared" si="315"/>
        <v>-5.5128340682191195E-4</v>
      </c>
      <c r="T281" s="20">
        <f t="shared" si="315"/>
        <v>0</v>
      </c>
      <c r="U281" s="20">
        <f t="shared" si="315"/>
        <v>-1.1098702793467917E-4</v>
      </c>
      <c r="V281" s="20">
        <f t="shared" si="315"/>
        <v>-6.7069883757594413E-5</v>
      </c>
      <c r="W281" s="20">
        <f t="shared" si="315"/>
        <v>-1.3782203017944015E-4</v>
      </c>
      <c r="X281" s="20">
        <f t="shared" si="315"/>
        <v>-1.7959172972338463E-4</v>
      </c>
      <c r="Y281" s="20">
        <f t="shared" si="315"/>
        <v>-1.5231350154685893E-4</v>
      </c>
      <c r="Z281" s="20">
        <f t="shared" si="315"/>
        <v>-8.6162164239819087E-4</v>
      </c>
      <c r="AA281" s="20">
        <f t="shared" si="315"/>
        <v>-7.368928704478071E-4</v>
      </c>
      <c r="AB281" s="20">
        <f t="shared" si="315"/>
        <v>-6.0944748477643692E-4</v>
      </c>
      <c r="AC281" s="20">
        <f t="shared" si="315"/>
        <v>-1.2948736545355271E-3</v>
      </c>
      <c r="AD281" s="20">
        <f t="shared" si="315"/>
        <v>-1.8601004644542416E-4</v>
      </c>
      <c r="AE281" s="20">
        <f t="shared" si="315"/>
        <v>-8.591607113926222E-4</v>
      </c>
      <c r="AF281" s="20">
        <f t="shared" si="315"/>
        <v>-2.7061798500510178E-3</v>
      </c>
      <c r="AG281" s="20">
        <f t="shared" si="315"/>
        <v>-6.4521700838015758E-4</v>
      </c>
      <c r="AH281" s="20">
        <f t="shared" si="315"/>
        <v>-2.2242720638186685E-3</v>
      </c>
      <c r="AI281" s="20">
        <f t="shared" si="315"/>
        <v>-2.7812367944904637E-3</v>
      </c>
      <c r="AJ281" s="20">
        <f t="shared" si="315"/>
        <v>-5.4448247126048718E-3</v>
      </c>
      <c r="AK281" s="20">
        <f t="shared" si="315"/>
        <v>-7.6147899189698664E-4</v>
      </c>
      <c r="AL281" s="20">
        <f t="shared" ref="AL281:BK281" si="316">AL213-AL132</f>
        <v>-8.386985363097307E-3</v>
      </c>
      <c r="AM281" s="20">
        <f t="shared" si="316"/>
        <v>-2.2099065364508718E-3</v>
      </c>
      <c r="AN281" s="20">
        <f t="shared" si="316"/>
        <v>-4.5921078099607818E-4</v>
      </c>
      <c r="AO281" s="20">
        <f t="shared" si="316"/>
        <v>-2.3665141230329724E-3</v>
      </c>
      <c r="AP281" s="20">
        <f t="shared" si="316"/>
        <v>-5.7444164532592071E-4</v>
      </c>
      <c r="AQ281" s="20">
        <f t="shared" si="316"/>
        <v>-1.8117869950416091E-3</v>
      </c>
      <c r="AR281" s="20">
        <f t="shared" si="316"/>
        <v>-4.5004009117254246E-4</v>
      </c>
      <c r="AS281" s="20">
        <f t="shared" si="316"/>
        <v>-5.0547361018915863E-4</v>
      </c>
      <c r="AT281" s="20">
        <f t="shared" si="316"/>
        <v>-1.3758283955522094E-4</v>
      </c>
      <c r="AU281" s="20">
        <f t="shared" si="316"/>
        <v>-1.0267441606029849E-3</v>
      </c>
      <c r="AV281" s="20">
        <f t="shared" si="316"/>
        <v>-7.7347149836529848E-3</v>
      </c>
      <c r="AW281" s="20">
        <f t="shared" si="316"/>
        <v>0.94870916550946582</v>
      </c>
      <c r="AX281" s="20">
        <f t="shared" si="316"/>
        <v>-1.0651807969675367E-2</v>
      </c>
      <c r="AY281" s="20">
        <f t="shared" si="316"/>
        <v>-4.6800181443218247E-3</v>
      </c>
      <c r="AZ281" s="20">
        <f t="shared" si="316"/>
        <v>-3.8528316055484397E-3</v>
      </c>
      <c r="BA281" s="20">
        <f t="shared" si="316"/>
        <v>-3.4033804933350327E-3</v>
      </c>
      <c r="BB281" s="20">
        <f t="shared" si="316"/>
        <v>-1.020135440860377E-3</v>
      </c>
      <c r="BC281" s="20">
        <f t="shared" si="316"/>
        <v>-3.382520368655263E-3</v>
      </c>
      <c r="BD281" s="20">
        <f t="shared" si="316"/>
        <v>-2.1446887870075373E-3</v>
      </c>
      <c r="BE281" s="20">
        <f t="shared" si="316"/>
        <v>-7.7681113249447023E-4</v>
      </c>
      <c r="BF281" s="20">
        <f t="shared" si="316"/>
        <v>-7.4498668360787701E-4</v>
      </c>
      <c r="BG281" s="20">
        <f t="shared" si="316"/>
        <v>-4.5121059803452664E-4</v>
      </c>
      <c r="BH281" s="20">
        <f t="shared" si="316"/>
        <v>-2.6950124734656574E-3</v>
      </c>
      <c r="BI281" s="20">
        <f t="shared" si="316"/>
        <v>-1.135658867571842E-3</v>
      </c>
      <c r="BJ281" s="20">
        <f t="shared" si="316"/>
        <v>-8.734021100409063E-4</v>
      </c>
      <c r="BK281" s="20">
        <f t="shared" si="316"/>
        <v>-1.0732639317057083E-3</v>
      </c>
      <c r="BL281" s="20">
        <f t="shared" ref="BL281:BR281" si="317">BL213-BL132</f>
        <v>-1.3976107748897594E-3</v>
      </c>
      <c r="BM281" s="20">
        <f t="shared" si="317"/>
        <v>-1.0615437708501093E-3</v>
      </c>
      <c r="BN281" s="20">
        <f t="shared" si="317"/>
        <v>-1.6432856045705501E-3</v>
      </c>
      <c r="BO281" s="20">
        <f t="shared" si="317"/>
        <v>-7.3446657011286037E-4</v>
      </c>
      <c r="BP281" s="20">
        <f t="shared" si="317"/>
        <v>-1.1292198792198791E-3</v>
      </c>
      <c r="BQ281" s="20">
        <f t="shared" si="317"/>
        <v>-1.720868479072848E-3</v>
      </c>
      <c r="BR281" s="20">
        <f t="shared" si="317"/>
        <v>0</v>
      </c>
    </row>
    <row r="282" spans="1:70" outlineLevel="1" x14ac:dyDescent="0.3">
      <c r="A282" s="7">
        <v>45</v>
      </c>
      <c r="B282" s="150" t="s">
        <v>151</v>
      </c>
      <c r="C282" s="150"/>
      <c r="D282" s="150"/>
      <c r="E282" s="150"/>
      <c r="F282" s="20">
        <f t="shared" ref="F282:AK282" si="318">F214-F133</f>
        <v>-9.0479147274810794E-5</v>
      </c>
      <c r="G282" s="20">
        <f t="shared" si="318"/>
        <v>-3.6200319229657207E-4</v>
      </c>
      <c r="H282" s="20">
        <f t="shared" si="318"/>
        <v>-3.724498692240628E-4</v>
      </c>
      <c r="I282" s="20">
        <f t="shared" si="318"/>
        <v>-1.0970970157978697E-4</v>
      </c>
      <c r="J282" s="20">
        <f t="shared" si="318"/>
        <v>-9.6081981556984892E-5</v>
      </c>
      <c r="K282" s="20">
        <f t="shared" si="318"/>
        <v>-2.2406186191685295E-4</v>
      </c>
      <c r="L282" s="20">
        <f t="shared" si="318"/>
        <v>-4.8060723363760964E-5</v>
      </c>
      <c r="M282" s="20">
        <f t="shared" si="318"/>
        <v>-1.2351743982033826E-4</v>
      </c>
      <c r="N282" s="20">
        <f t="shared" si="318"/>
        <v>-6.6872710646446575E-5</v>
      </c>
      <c r="O282" s="20">
        <f t="shared" si="318"/>
        <v>-1.4530816093686091E-5</v>
      </c>
      <c r="P282" s="20">
        <f t="shared" si="318"/>
        <v>-2.5544892200554913E-5</v>
      </c>
      <c r="Q282" s="20">
        <f t="shared" si="318"/>
        <v>0</v>
      </c>
      <c r="R282" s="20">
        <f t="shared" si="318"/>
        <v>-6.812516245867019E-5</v>
      </c>
      <c r="S282" s="20">
        <f t="shared" si="318"/>
        <v>0</v>
      </c>
      <c r="T282" s="20">
        <f t="shared" si="318"/>
        <v>0</v>
      </c>
      <c r="U282" s="20">
        <f t="shared" si="318"/>
        <v>0</v>
      </c>
      <c r="V282" s="20">
        <f t="shared" si="318"/>
        <v>-8.9612043858694612E-5</v>
      </c>
      <c r="W282" s="20">
        <f t="shared" si="318"/>
        <v>-3.4321090740393747E-5</v>
      </c>
      <c r="X282" s="20">
        <f t="shared" si="318"/>
        <v>-8.008337251102486E-5</v>
      </c>
      <c r="Y282" s="20">
        <f t="shared" si="318"/>
        <v>-1.0570653104198412E-5</v>
      </c>
      <c r="Z282" s="20">
        <f t="shared" si="318"/>
        <v>-4.0999096738649973E-4</v>
      </c>
      <c r="AA282" s="20">
        <f t="shared" si="318"/>
        <v>-2.156722654560324E-4</v>
      </c>
      <c r="AB282" s="20">
        <f t="shared" si="318"/>
        <v>-5.3991842182233726E-5</v>
      </c>
      <c r="AC282" s="20">
        <f t="shared" si="318"/>
        <v>-5.6402043820199774E-5</v>
      </c>
      <c r="AD282" s="20">
        <f t="shared" si="318"/>
        <v>0</v>
      </c>
      <c r="AE282" s="20">
        <f t="shared" si="318"/>
        <v>0</v>
      </c>
      <c r="AF282" s="20">
        <f t="shared" si="318"/>
        <v>-8.3568649582208332E-5</v>
      </c>
      <c r="AG282" s="20">
        <f t="shared" si="318"/>
        <v>-9.4321353440680864E-5</v>
      </c>
      <c r="AH282" s="20">
        <f t="shared" si="318"/>
        <v>-1.692877666932591E-4</v>
      </c>
      <c r="AI282" s="20">
        <f t="shared" si="318"/>
        <v>-3.9856048129754941E-5</v>
      </c>
      <c r="AJ282" s="20">
        <f t="shared" si="318"/>
        <v>-1.0650150995155415E-3</v>
      </c>
      <c r="AK282" s="20">
        <f t="shared" si="318"/>
        <v>-4.2073039020161795E-3</v>
      </c>
      <c r="AL282" s="20">
        <f t="shared" ref="AL282:BK282" si="319">AL214-AL133</f>
        <v>-1.1195801486746896E-4</v>
      </c>
      <c r="AM282" s="20">
        <f t="shared" si="319"/>
        <v>-2.3421156834413953E-4</v>
      </c>
      <c r="AN282" s="20">
        <f t="shared" si="319"/>
        <v>-2.1044454461489296E-4</v>
      </c>
      <c r="AO282" s="20">
        <f t="shared" si="319"/>
        <v>-1.0508776116160298E-4</v>
      </c>
      <c r="AP282" s="20">
        <f t="shared" si="319"/>
        <v>0</v>
      </c>
      <c r="AQ282" s="20">
        <f t="shared" si="319"/>
        <v>-1.2010899777775601E-3</v>
      </c>
      <c r="AR282" s="20">
        <f t="shared" si="319"/>
        <v>-6.4473398506255072E-4</v>
      </c>
      <c r="AS282" s="20">
        <f t="shared" si="319"/>
        <v>-2.973374177583286E-5</v>
      </c>
      <c r="AT282" s="20">
        <f t="shared" si="319"/>
        <v>-4.7541589675174884E-4</v>
      </c>
      <c r="AU282" s="20">
        <f t="shared" si="319"/>
        <v>-1.8935855420956689E-5</v>
      </c>
      <c r="AV282" s="20">
        <f t="shared" si="319"/>
        <v>-7.5097736129748113E-2</v>
      </c>
      <c r="AW282" s="20">
        <f t="shared" si="319"/>
        <v>-0.19265873137966374</v>
      </c>
      <c r="AX282" s="20">
        <f t="shared" si="319"/>
        <v>0.82892587992878941</v>
      </c>
      <c r="AY282" s="20">
        <f t="shared" si="319"/>
        <v>-1.8495463187999319E-4</v>
      </c>
      <c r="AZ282" s="20">
        <f t="shared" si="319"/>
        <v>-5.5110257796335306E-3</v>
      </c>
      <c r="BA282" s="20">
        <f t="shared" si="319"/>
        <v>-5.1312608555526711E-4</v>
      </c>
      <c r="BB282" s="20">
        <f t="shared" si="319"/>
        <v>-4.1633571866847856E-4</v>
      </c>
      <c r="BC282" s="20">
        <f t="shared" si="319"/>
        <v>-1.1413764382885523E-3</v>
      </c>
      <c r="BD282" s="20">
        <f t="shared" si="319"/>
        <v>-4.5578168820067958E-3</v>
      </c>
      <c r="BE282" s="20">
        <f t="shared" si="319"/>
        <v>-2.0957200881376918E-4</v>
      </c>
      <c r="BF282" s="20">
        <f t="shared" si="319"/>
        <v>-3.0818029330667655E-4</v>
      </c>
      <c r="BG282" s="20">
        <f t="shared" si="319"/>
        <v>-9.8138305072509533E-5</v>
      </c>
      <c r="BH282" s="20">
        <f t="shared" si="319"/>
        <v>-1.2306090079941764E-3</v>
      </c>
      <c r="BI282" s="20">
        <f t="shared" si="319"/>
        <v>0</v>
      </c>
      <c r="BJ282" s="20">
        <f t="shared" si="319"/>
        <v>-4.4503112479220464E-6</v>
      </c>
      <c r="BK282" s="20">
        <f t="shared" si="319"/>
        <v>-9.1072922222535871E-5</v>
      </c>
      <c r="BL282" s="20">
        <f t="shared" ref="BL282:BR282" si="320">BL214-BL133</f>
        <v>-7.9920558964389403E-6</v>
      </c>
      <c r="BM282" s="20">
        <f t="shared" si="320"/>
        <v>-3.1335557344990223E-4</v>
      </c>
      <c r="BN282" s="20">
        <f t="shared" si="320"/>
        <v>-6.4658691112406518E-4</v>
      </c>
      <c r="BO282" s="20">
        <f t="shared" si="320"/>
        <v>-1.4348553262278102E-5</v>
      </c>
      <c r="BP282" s="20">
        <f t="shared" si="320"/>
        <v>-7.1156321156321152E-4</v>
      </c>
      <c r="BQ282" s="20">
        <f t="shared" si="320"/>
        <v>-1.4123823896784182E-3</v>
      </c>
      <c r="BR282" s="20">
        <f t="shared" si="320"/>
        <v>0</v>
      </c>
    </row>
    <row r="283" spans="1:70" outlineLevel="1" x14ac:dyDescent="0.3">
      <c r="A283" s="7">
        <v>46</v>
      </c>
      <c r="B283" s="150" t="s">
        <v>12</v>
      </c>
      <c r="C283" s="150"/>
      <c r="D283" s="150"/>
      <c r="E283" s="150"/>
      <c r="F283" s="20">
        <f t="shared" ref="F283:AK283" si="321">F215-F134</f>
        <v>-2.5053274613790599E-3</v>
      </c>
      <c r="G283" s="20">
        <f t="shared" si="321"/>
        <v>-1.2040654863774864E-2</v>
      </c>
      <c r="H283" s="20">
        <f t="shared" si="321"/>
        <v>-3.4580645161290326E-3</v>
      </c>
      <c r="I283" s="20">
        <f t="shared" si="321"/>
        <v>-2.8701367899858295E-3</v>
      </c>
      <c r="J283" s="20">
        <f t="shared" si="321"/>
        <v>-3.8646417520313068E-3</v>
      </c>
      <c r="K283" s="20">
        <f t="shared" si="321"/>
        <v>-8.5926182091151156E-3</v>
      </c>
      <c r="L283" s="20">
        <f t="shared" si="321"/>
        <v>-7.7602199125702889E-3</v>
      </c>
      <c r="M283" s="20">
        <f t="shared" si="321"/>
        <v>-3.8951377768136836E-3</v>
      </c>
      <c r="N283" s="20">
        <f t="shared" si="321"/>
        <v>-1.6615017433560149E-2</v>
      </c>
      <c r="O283" s="20">
        <f t="shared" si="321"/>
        <v>0</v>
      </c>
      <c r="P283" s="20">
        <f t="shared" si="321"/>
        <v>-2.2576720515713107E-4</v>
      </c>
      <c r="Q283" s="20">
        <f t="shared" si="321"/>
        <v>0</v>
      </c>
      <c r="R283" s="20">
        <f t="shared" si="321"/>
        <v>-8.8632159177418433E-3</v>
      </c>
      <c r="S283" s="20">
        <f t="shared" si="321"/>
        <v>-2.8819143798526035E-3</v>
      </c>
      <c r="T283" s="20">
        <f t="shared" si="321"/>
        <v>-1.6358129992152678E-3</v>
      </c>
      <c r="U283" s="20">
        <f t="shared" si="321"/>
        <v>-9.1185141902477302E-3</v>
      </c>
      <c r="V283" s="20">
        <f t="shared" si="321"/>
        <v>-3.0268276752047651E-3</v>
      </c>
      <c r="W283" s="20">
        <f t="shared" si="321"/>
        <v>-3.1299400975991452E-3</v>
      </c>
      <c r="X283" s="20">
        <f t="shared" si="321"/>
        <v>-4.8449248652317209E-3</v>
      </c>
      <c r="Y283" s="20">
        <f t="shared" si="321"/>
        <v>-6.9862407334111316E-3</v>
      </c>
      <c r="Z283" s="20">
        <f t="shared" si="321"/>
        <v>-3.5329690392758538E-3</v>
      </c>
      <c r="AA283" s="20">
        <f t="shared" si="321"/>
        <v>-1.1181614234915142E-2</v>
      </c>
      <c r="AB283" s="20">
        <f t="shared" si="321"/>
        <v>-2.5310521067888718E-2</v>
      </c>
      <c r="AC283" s="20">
        <f t="shared" si="321"/>
        <v>-8.345966786176641E-3</v>
      </c>
      <c r="AD283" s="20">
        <f t="shared" si="321"/>
        <v>-1.5974980459430542E-3</v>
      </c>
      <c r="AE283" s="20">
        <f t="shared" si="321"/>
        <v>-2.3969639715204277E-3</v>
      </c>
      <c r="AF283" s="20">
        <f t="shared" si="321"/>
        <v>-1.0441954350883093E-2</v>
      </c>
      <c r="AG283" s="20">
        <f t="shared" si="321"/>
        <v>-1.9360931564847257E-2</v>
      </c>
      <c r="AH283" s="20">
        <f t="shared" si="321"/>
        <v>-5.5924276930477334E-3</v>
      </c>
      <c r="AI283" s="20">
        <f t="shared" si="321"/>
        <v>-7.5570644078847532E-2</v>
      </c>
      <c r="AJ283" s="20">
        <f t="shared" si="321"/>
        <v>-5.1540086049730344E-2</v>
      </c>
      <c r="AK283" s="20">
        <f t="shared" si="321"/>
        <v>-0.17461329407873977</v>
      </c>
      <c r="AL283" s="20">
        <f t="shared" ref="AL283:BK283" si="322">AL215-AL134</f>
        <v>-5.8629606127757394E-3</v>
      </c>
      <c r="AM283" s="20">
        <f t="shared" si="322"/>
        <v>0</v>
      </c>
      <c r="AN283" s="20">
        <f t="shared" si="322"/>
        <v>-4.4686989720693323E-4</v>
      </c>
      <c r="AO283" s="20">
        <f t="shared" si="322"/>
        <v>-2.5978360079188297E-2</v>
      </c>
      <c r="AP283" s="20">
        <f t="shared" si="322"/>
        <v>-8.9318511609973658E-3</v>
      </c>
      <c r="AQ283" s="20">
        <f t="shared" si="322"/>
        <v>-0.10317261388825488</v>
      </c>
      <c r="AR283" s="20">
        <f t="shared" si="322"/>
        <v>-1.8974466593317814E-2</v>
      </c>
      <c r="AS283" s="20">
        <f t="shared" si="322"/>
        <v>-6.4351250638346276E-3</v>
      </c>
      <c r="AT283" s="20">
        <f t="shared" si="322"/>
        <v>-8.0223757024662293E-3</v>
      </c>
      <c r="AU283" s="20">
        <f t="shared" si="322"/>
        <v>-3.0357753012484199E-2</v>
      </c>
      <c r="AV283" s="20">
        <f t="shared" si="322"/>
        <v>-2.6841757668764725E-2</v>
      </c>
      <c r="AW283" s="20">
        <f t="shared" si="322"/>
        <v>-2.3139231263089016E-2</v>
      </c>
      <c r="AX283" s="20">
        <f t="shared" si="322"/>
        <v>-3.3148300282541794E-2</v>
      </c>
      <c r="AY283" s="20">
        <f t="shared" si="322"/>
        <v>0.96739011709605893</v>
      </c>
      <c r="AZ283" s="20">
        <f t="shared" si="322"/>
        <v>-2.705050741753633E-2</v>
      </c>
      <c r="BA283" s="20">
        <f t="shared" si="322"/>
        <v>-2.8304341820710142E-2</v>
      </c>
      <c r="BB283" s="20">
        <f t="shared" si="322"/>
        <v>-2.5522207708610169E-2</v>
      </c>
      <c r="BC283" s="20">
        <f t="shared" si="322"/>
        <v>-2.2240699145079635E-2</v>
      </c>
      <c r="BD283" s="20">
        <f t="shared" si="322"/>
        <v>-6.2085773423095673E-2</v>
      </c>
      <c r="BE283" s="20">
        <f t="shared" si="322"/>
        <v>-1.066266412268514E-2</v>
      </c>
      <c r="BF283" s="20">
        <f t="shared" si="322"/>
        <v>-3.9234224205080921E-3</v>
      </c>
      <c r="BG283" s="20">
        <f t="shared" si="322"/>
        <v>-3.7307220271989745E-2</v>
      </c>
      <c r="BH283" s="20">
        <f t="shared" si="322"/>
        <v>-2.8264155855886972E-2</v>
      </c>
      <c r="BI283" s="20">
        <f t="shared" si="322"/>
        <v>-1.5292879789024707E-2</v>
      </c>
      <c r="BJ283" s="20">
        <f t="shared" si="322"/>
        <v>-1.6896234260732553E-2</v>
      </c>
      <c r="BK283" s="20">
        <f t="shared" si="322"/>
        <v>-1.1897273309393882E-2</v>
      </c>
      <c r="BL283" s="20">
        <f t="shared" ref="BL283:BR283" si="323">BL215-BL134</f>
        <v>-1.1446622057674671E-2</v>
      </c>
      <c r="BM283" s="20">
        <f t="shared" si="323"/>
        <v>-4.9920165650523415E-2</v>
      </c>
      <c r="BN283" s="20">
        <f t="shared" si="323"/>
        <v>-6.9660456406662491E-2</v>
      </c>
      <c r="BO283" s="20">
        <f t="shared" si="323"/>
        <v>-5.0891628067563748E-2</v>
      </c>
      <c r="BP283" s="20">
        <f t="shared" si="323"/>
        <v>-2.3082491832491833E-2</v>
      </c>
      <c r="BQ283" s="20">
        <f t="shared" si="323"/>
        <v>-6.3313241412543686E-2</v>
      </c>
      <c r="BR283" s="20">
        <f t="shared" si="323"/>
        <v>0</v>
      </c>
    </row>
    <row r="284" spans="1:70" outlineLevel="1" x14ac:dyDescent="0.3">
      <c r="A284" s="7">
        <v>47</v>
      </c>
      <c r="B284" s="150" t="s">
        <v>152</v>
      </c>
      <c r="C284" s="150"/>
      <c r="D284" s="150"/>
      <c r="E284" s="150"/>
      <c r="F284" s="20">
        <f t="shared" ref="F284:AK284" si="324">F216-F135</f>
        <v>-1.7684207583239845E-3</v>
      </c>
      <c r="G284" s="20">
        <f t="shared" si="324"/>
        <v>-1.0201345222915374E-2</v>
      </c>
      <c r="H284" s="20">
        <f t="shared" si="324"/>
        <v>-1.7975239755884918E-2</v>
      </c>
      <c r="I284" s="20">
        <f t="shared" si="324"/>
        <v>-7.530670411424481E-3</v>
      </c>
      <c r="J284" s="20">
        <f t="shared" si="324"/>
        <v>-1.0198570741146478E-2</v>
      </c>
      <c r="K284" s="20">
        <f t="shared" si="324"/>
        <v>-8.3870597947414676E-3</v>
      </c>
      <c r="L284" s="20">
        <f t="shared" si="324"/>
        <v>-9.7572336489446781E-3</v>
      </c>
      <c r="M284" s="20">
        <f t="shared" si="324"/>
        <v>-1.1438123249478432E-2</v>
      </c>
      <c r="N284" s="20">
        <f t="shared" si="324"/>
        <v>-3.4129965298765504E-2</v>
      </c>
      <c r="O284" s="20">
        <f t="shared" si="324"/>
        <v>-2.7500914903235529E-2</v>
      </c>
      <c r="P284" s="20">
        <f t="shared" si="324"/>
        <v>-1.8228917810808943E-3</v>
      </c>
      <c r="Q284" s="20">
        <f t="shared" si="324"/>
        <v>-1.276997308231892E-3</v>
      </c>
      <c r="R284" s="20">
        <f t="shared" si="324"/>
        <v>-8.6745489022919831E-3</v>
      </c>
      <c r="S284" s="20">
        <f t="shared" si="324"/>
        <v>-8.1799503344849572E-3</v>
      </c>
      <c r="T284" s="20">
        <f t="shared" si="324"/>
        <v>-1.3362413078585526E-3</v>
      </c>
      <c r="U284" s="20">
        <f t="shared" si="324"/>
        <v>-2.4293166757117838E-3</v>
      </c>
      <c r="V284" s="20">
        <f t="shared" si="324"/>
        <v>-6.7588631738192571E-3</v>
      </c>
      <c r="W284" s="20">
        <f t="shared" si="324"/>
        <v>-7.9855231309365737E-3</v>
      </c>
      <c r="X284" s="20">
        <f t="shared" si="324"/>
        <v>-1.0738560560964956E-2</v>
      </c>
      <c r="Y284" s="20">
        <f t="shared" si="324"/>
        <v>-6.6520639500488588E-3</v>
      </c>
      <c r="Z284" s="20">
        <f t="shared" si="324"/>
        <v>-4.6764594717522631E-3</v>
      </c>
      <c r="AA284" s="20">
        <f t="shared" si="324"/>
        <v>-1.2995807500908611E-2</v>
      </c>
      <c r="AB284" s="20">
        <f t="shared" si="324"/>
        <v>-8.3598016363024052E-2</v>
      </c>
      <c r="AC284" s="20">
        <f t="shared" si="324"/>
        <v>-1.2714193392835627E-2</v>
      </c>
      <c r="AD284" s="20">
        <f t="shared" si="324"/>
        <v>-3.2825302313898381E-4</v>
      </c>
      <c r="AE284" s="20">
        <f t="shared" si="324"/>
        <v>-1.7816160756333337E-2</v>
      </c>
      <c r="AF284" s="20">
        <f t="shared" si="324"/>
        <v>-2.2968998094428449E-2</v>
      </c>
      <c r="AG284" s="20">
        <f t="shared" si="324"/>
        <v>-2.0287638862401949E-2</v>
      </c>
      <c r="AH284" s="20">
        <f t="shared" si="324"/>
        <v>-7.0962300800635853E-3</v>
      </c>
      <c r="AI284" s="20">
        <f t="shared" si="324"/>
        <v>-3.7259017814120596E-2</v>
      </c>
      <c r="AJ284" s="20">
        <f t="shared" si="324"/>
        <v>-2.3565438464380049E-2</v>
      </c>
      <c r="AK284" s="20">
        <f t="shared" si="324"/>
        <v>-2.7596834017840157E-2</v>
      </c>
      <c r="AL284" s="20">
        <f t="shared" ref="AL284:BK284" si="325">AL216-AL135</f>
        <v>-9.2098621564443706E-3</v>
      </c>
      <c r="AM284" s="20">
        <f t="shared" si="325"/>
        <v>0</v>
      </c>
      <c r="AN284" s="20">
        <f t="shared" si="325"/>
        <v>-6.1886284601564822E-3</v>
      </c>
      <c r="AO284" s="20">
        <f t="shared" si="325"/>
        <v>-9.0720042232613624E-3</v>
      </c>
      <c r="AP284" s="20">
        <f t="shared" si="325"/>
        <v>-1.7302286564317926E-2</v>
      </c>
      <c r="AQ284" s="20">
        <f t="shared" si="325"/>
        <v>-1.5586514185534269E-2</v>
      </c>
      <c r="AR284" s="20">
        <f t="shared" si="325"/>
        <v>-2.0280310685358897E-2</v>
      </c>
      <c r="AS284" s="20">
        <f t="shared" si="325"/>
        <v>-1.883037866663495E-2</v>
      </c>
      <c r="AT284" s="20">
        <f t="shared" si="325"/>
        <v>-3.2699053056675691E-2</v>
      </c>
      <c r="AU284" s="20">
        <f t="shared" si="325"/>
        <v>-2.9535516090427549E-2</v>
      </c>
      <c r="AV284" s="20">
        <f t="shared" si="325"/>
        <v>-3.424780248158335E-2</v>
      </c>
      <c r="AW284" s="20">
        <f t="shared" si="325"/>
        <v>-9.7854409430999031E-3</v>
      </c>
      <c r="AX284" s="20">
        <f t="shared" si="325"/>
        <v>-5.6055263515908234E-2</v>
      </c>
      <c r="AY284" s="20">
        <f t="shared" si="325"/>
        <v>-1.5513940034640902E-2</v>
      </c>
      <c r="AZ284" s="20">
        <f t="shared" si="325"/>
        <v>0.944197252409268</v>
      </c>
      <c r="BA284" s="20">
        <f t="shared" si="325"/>
        <v>-2.597759193731454E-2</v>
      </c>
      <c r="BB284" s="20">
        <f t="shared" si="325"/>
        <v>-1.3766934812968895E-2</v>
      </c>
      <c r="BC284" s="20">
        <f t="shared" si="325"/>
        <v>-8.4650172784736119E-2</v>
      </c>
      <c r="BD284" s="20">
        <f t="shared" si="325"/>
        <v>-5.8016798649326427E-2</v>
      </c>
      <c r="BE284" s="20">
        <f t="shared" si="325"/>
        <v>-1.6814575201024883E-2</v>
      </c>
      <c r="BF284" s="20">
        <f t="shared" si="325"/>
        <v>-5.5505751937063308E-2</v>
      </c>
      <c r="BG284" s="20">
        <f t="shared" si="325"/>
        <v>-3.3423425049407561E-2</v>
      </c>
      <c r="BH284" s="20">
        <f t="shared" si="325"/>
        <v>-7.7021989962778856E-2</v>
      </c>
      <c r="BI284" s="20">
        <f t="shared" si="325"/>
        <v>-1.3004558319949002E-2</v>
      </c>
      <c r="BJ284" s="20">
        <f t="shared" si="325"/>
        <v>-3.3189051960464803E-3</v>
      </c>
      <c r="BK284" s="20">
        <f t="shared" si="325"/>
        <v>-3.6472253958255022E-3</v>
      </c>
      <c r="BL284" s="20">
        <f t="shared" ref="BL284:BR284" si="326">BL216-BL135</f>
        <v>-2.6363794388377954E-3</v>
      </c>
      <c r="BM284" s="20">
        <f t="shared" si="326"/>
        <v>-7.101345910502703E-3</v>
      </c>
      <c r="BN284" s="20">
        <f t="shared" si="326"/>
        <v>-2.7950590622073192E-2</v>
      </c>
      <c r="BO284" s="20">
        <f t="shared" si="326"/>
        <v>-3.4483160627569849E-2</v>
      </c>
      <c r="BP284" s="20">
        <f t="shared" si="326"/>
        <v>-2.1003489753489753E-2</v>
      </c>
      <c r="BQ284" s="20">
        <f t="shared" si="326"/>
        <v>-1.7215741662054498E-2</v>
      </c>
      <c r="BR284" s="20">
        <f t="shared" si="326"/>
        <v>0</v>
      </c>
    </row>
    <row r="285" spans="1:70" outlineLevel="1" x14ac:dyDescent="0.3">
      <c r="A285" s="7">
        <v>48</v>
      </c>
      <c r="B285" s="150" t="s">
        <v>153</v>
      </c>
      <c r="C285" s="150"/>
      <c r="D285" s="150"/>
      <c r="E285" s="150"/>
      <c r="F285" s="20">
        <f t="shared" ref="F285:AK285" si="327">F217-F136</f>
        <v>-8.6751251078080391E-4</v>
      </c>
      <c r="G285" s="20">
        <f t="shared" si="327"/>
        <v>-9.8836397896761453E-3</v>
      </c>
      <c r="H285" s="20">
        <f t="shared" si="327"/>
        <v>-8.5091543156059289E-5</v>
      </c>
      <c r="I285" s="20">
        <f t="shared" si="327"/>
        <v>0</v>
      </c>
      <c r="J285" s="20">
        <f t="shared" si="327"/>
        <v>-6.4269591864218835E-4</v>
      </c>
      <c r="K285" s="20">
        <f t="shared" si="327"/>
        <v>-7.0717198943857245E-4</v>
      </c>
      <c r="L285" s="20">
        <f t="shared" si="327"/>
        <v>-5.2065783644074372E-5</v>
      </c>
      <c r="M285" s="20">
        <f t="shared" si="327"/>
        <v>-1.1619316188057852E-3</v>
      </c>
      <c r="N285" s="20">
        <f t="shared" si="327"/>
        <v>-5.1528274715168909E-4</v>
      </c>
      <c r="O285" s="20">
        <f t="shared" si="327"/>
        <v>-1.1581598605041655E-3</v>
      </c>
      <c r="P285" s="20">
        <f t="shared" si="327"/>
        <v>-8.5839111443160228E-6</v>
      </c>
      <c r="Q285" s="20">
        <f t="shared" si="327"/>
        <v>0</v>
      </c>
      <c r="R285" s="20">
        <f t="shared" si="327"/>
        <v>-1.0658611582732719E-3</v>
      </c>
      <c r="S285" s="20">
        <f t="shared" si="327"/>
        <v>-1.9308016684717328E-3</v>
      </c>
      <c r="T285" s="20">
        <f t="shared" si="327"/>
        <v>0</v>
      </c>
      <c r="U285" s="20">
        <f t="shared" si="327"/>
        <v>0</v>
      </c>
      <c r="V285" s="20">
        <f t="shared" si="327"/>
        <v>-8.8170458805315616E-4</v>
      </c>
      <c r="W285" s="20">
        <f t="shared" si="327"/>
        <v>0</v>
      </c>
      <c r="X285" s="20">
        <f t="shared" si="327"/>
        <v>-2.2273187979628793E-4</v>
      </c>
      <c r="Y285" s="20">
        <f t="shared" si="327"/>
        <v>-7.6457053418435095E-4</v>
      </c>
      <c r="Z285" s="20">
        <f t="shared" si="327"/>
        <v>-1.468600457396173E-3</v>
      </c>
      <c r="AA285" s="20">
        <f t="shared" si="327"/>
        <v>-1.6656628231635952E-4</v>
      </c>
      <c r="AB285" s="20">
        <f t="shared" si="327"/>
        <v>-1.905290540201976E-2</v>
      </c>
      <c r="AC285" s="20">
        <f t="shared" si="327"/>
        <v>-1.1130049850192541E-2</v>
      </c>
      <c r="AD285" s="20">
        <f t="shared" si="327"/>
        <v>-2.0765571681183536E-3</v>
      </c>
      <c r="AE285" s="20">
        <f t="shared" si="327"/>
        <v>-8.1421999725823891E-4</v>
      </c>
      <c r="AF285" s="20">
        <f t="shared" si="327"/>
        <v>-2.315161106944142E-3</v>
      </c>
      <c r="AG285" s="20">
        <f t="shared" si="327"/>
        <v>-3.9261263369683413E-4</v>
      </c>
      <c r="AH285" s="20">
        <f t="shared" si="327"/>
        <v>-6.370247125620615E-2</v>
      </c>
      <c r="AI285" s="20">
        <f t="shared" si="327"/>
        <v>-3.2124996742534532E-3</v>
      </c>
      <c r="AJ285" s="20">
        <f t="shared" si="327"/>
        <v>-3.4964500094233791E-3</v>
      </c>
      <c r="AK285" s="20">
        <f t="shared" si="327"/>
        <v>0</v>
      </c>
      <c r="AL285" s="20">
        <f t="shared" ref="AL285:BK285" si="328">AL217-AL136</f>
        <v>-4.9292950788679167E-3</v>
      </c>
      <c r="AM285" s="20">
        <f t="shared" si="328"/>
        <v>0</v>
      </c>
      <c r="AN285" s="20">
        <f t="shared" si="328"/>
        <v>0</v>
      </c>
      <c r="AO285" s="20">
        <f t="shared" si="328"/>
        <v>-1.1647674120169088E-3</v>
      </c>
      <c r="AP285" s="20">
        <f t="shared" si="328"/>
        <v>0</v>
      </c>
      <c r="AQ285" s="20">
        <f t="shared" si="328"/>
        <v>-7.2114408458810077E-5</v>
      </c>
      <c r="AR285" s="20">
        <f t="shared" si="328"/>
        <v>-1.1930308077309853E-3</v>
      </c>
      <c r="AS285" s="20">
        <f t="shared" si="328"/>
        <v>-1.9111362526416571E-3</v>
      </c>
      <c r="AT285" s="20">
        <f t="shared" si="328"/>
        <v>-1.2806976508294984E-4</v>
      </c>
      <c r="AU285" s="20">
        <f t="shared" si="328"/>
        <v>-2.0036239019307843E-3</v>
      </c>
      <c r="AV285" s="20">
        <f t="shared" si="328"/>
        <v>-1.5584032066346895E-4</v>
      </c>
      <c r="AW285" s="20">
        <f t="shared" si="328"/>
        <v>-1.018746995892877E-4</v>
      </c>
      <c r="AX285" s="20">
        <f t="shared" si="328"/>
        <v>-4.1806142116360042E-4</v>
      </c>
      <c r="AY285" s="20">
        <f t="shared" si="328"/>
        <v>-9.4878799976408953E-4</v>
      </c>
      <c r="AZ285" s="20">
        <f t="shared" si="328"/>
        <v>-2.1797251344103916E-3</v>
      </c>
      <c r="BA285" s="20">
        <f t="shared" si="328"/>
        <v>0.85628232477478172</v>
      </c>
      <c r="BB285" s="20">
        <f t="shared" si="328"/>
        <v>-7.4451065495706771E-3</v>
      </c>
      <c r="BC285" s="20">
        <f t="shared" si="328"/>
        <v>-1.8221848857655077E-4</v>
      </c>
      <c r="BD285" s="20">
        <f t="shared" si="328"/>
        <v>-2.3961740334418865E-3</v>
      </c>
      <c r="BE285" s="20">
        <f t="shared" si="328"/>
        <v>-6.7789754864979281E-4</v>
      </c>
      <c r="BF285" s="20">
        <f t="shared" si="328"/>
        <v>-1.8216589371305671E-4</v>
      </c>
      <c r="BG285" s="20">
        <f t="shared" si="328"/>
        <v>-8.8211671915749957E-4</v>
      </c>
      <c r="BH285" s="20">
        <f t="shared" si="328"/>
        <v>-9.809802895331815E-3</v>
      </c>
      <c r="BI285" s="20">
        <f t="shared" si="328"/>
        <v>-6.2848585707101015E-3</v>
      </c>
      <c r="BJ285" s="20">
        <f t="shared" si="328"/>
        <v>-1.8693589452168967E-3</v>
      </c>
      <c r="BK285" s="20">
        <f t="shared" si="328"/>
        <v>-2.6901425818653458E-3</v>
      </c>
      <c r="BL285" s="20">
        <f t="shared" ref="BL285:BR285" si="329">BL217-BL136</f>
        <v>-3.2477717149153739E-3</v>
      </c>
      <c r="BM285" s="20">
        <f t="shared" si="329"/>
        <v>-1.4880938686299323E-3</v>
      </c>
      <c r="BN285" s="20">
        <f t="shared" si="329"/>
        <v>-3.3732150340592751E-3</v>
      </c>
      <c r="BO285" s="20">
        <f t="shared" si="329"/>
        <v>-3.0974939354942851E-3</v>
      </c>
      <c r="BP285" s="20">
        <f t="shared" si="329"/>
        <v>-8.1087268587268588E-3</v>
      </c>
      <c r="BQ285" s="20">
        <f t="shared" si="329"/>
        <v>-1.3781061575234815E-3</v>
      </c>
      <c r="BR285" s="20">
        <f t="shared" si="329"/>
        <v>0</v>
      </c>
    </row>
    <row r="286" spans="1:70" outlineLevel="1" x14ac:dyDescent="0.3">
      <c r="A286" s="7">
        <v>49</v>
      </c>
      <c r="B286" s="150" t="s">
        <v>154</v>
      </c>
      <c r="C286" s="150"/>
      <c r="D286" s="150"/>
      <c r="E286" s="150"/>
      <c r="F286" s="20">
        <f t="shared" ref="F286:AK286" si="330">F218-F137</f>
        <v>-1.0445875801254979E-4</v>
      </c>
      <c r="G286" s="20">
        <f t="shared" si="330"/>
        <v>-2.8555383392341439E-4</v>
      </c>
      <c r="H286" s="20">
        <f t="shared" si="330"/>
        <v>0</v>
      </c>
      <c r="I286" s="20">
        <f t="shared" si="330"/>
        <v>-1.8260934209220659E-3</v>
      </c>
      <c r="J286" s="20">
        <f t="shared" si="330"/>
        <v>-1.6430412624857352E-4</v>
      </c>
      <c r="K286" s="20">
        <f t="shared" si="330"/>
        <v>-1.4239147276063886E-4</v>
      </c>
      <c r="L286" s="20">
        <f t="shared" si="330"/>
        <v>-2.8405701120185134E-4</v>
      </c>
      <c r="M286" s="20">
        <f t="shared" si="330"/>
        <v>0</v>
      </c>
      <c r="N286" s="20">
        <f t="shared" si="330"/>
        <v>0</v>
      </c>
      <c r="O286" s="20">
        <f t="shared" si="330"/>
        <v>-2.3335414289712181E-3</v>
      </c>
      <c r="P286" s="20">
        <f t="shared" si="330"/>
        <v>-4.1937059867712623E-4</v>
      </c>
      <c r="Q286" s="20">
        <f t="shared" si="330"/>
        <v>-6.8775638091259387E-4</v>
      </c>
      <c r="R286" s="20">
        <f t="shared" si="330"/>
        <v>-2.761384012281049E-5</v>
      </c>
      <c r="S286" s="20">
        <f t="shared" si="330"/>
        <v>-1.0220770548940155E-3</v>
      </c>
      <c r="T286" s="20">
        <f t="shared" si="330"/>
        <v>0</v>
      </c>
      <c r="U286" s="20">
        <f t="shared" si="330"/>
        <v>0</v>
      </c>
      <c r="V286" s="20">
        <f t="shared" si="330"/>
        <v>0</v>
      </c>
      <c r="W286" s="20">
        <f t="shared" si="330"/>
        <v>-3.8194983045112337E-3</v>
      </c>
      <c r="X286" s="20">
        <f t="shared" si="330"/>
        <v>-2.2285105148157221E-5</v>
      </c>
      <c r="Y286" s="20">
        <f t="shared" si="330"/>
        <v>-8.9189885566674093E-4</v>
      </c>
      <c r="Z286" s="20">
        <f t="shared" si="330"/>
        <v>0</v>
      </c>
      <c r="AA286" s="20">
        <f t="shared" si="330"/>
        <v>-6.1079355571877066E-5</v>
      </c>
      <c r="AB286" s="20">
        <f t="shared" si="330"/>
        <v>0</v>
      </c>
      <c r="AC286" s="20">
        <f t="shared" si="330"/>
        <v>-4.9658928185260048E-4</v>
      </c>
      <c r="AD286" s="20">
        <f t="shared" si="330"/>
        <v>-8.0398204218098919E-5</v>
      </c>
      <c r="AE286" s="20">
        <f t="shared" si="330"/>
        <v>-1.6718700964110497E-3</v>
      </c>
      <c r="AF286" s="20">
        <f t="shared" si="330"/>
        <v>-5.556799341355236E-3</v>
      </c>
      <c r="AG286" s="20">
        <f t="shared" si="330"/>
        <v>-7.5604459867295755E-4</v>
      </c>
      <c r="AH286" s="20">
        <f t="shared" si="330"/>
        <v>0</v>
      </c>
      <c r="AI286" s="20">
        <f t="shared" si="330"/>
        <v>-4.4199335425946183E-4</v>
      </c>
      <c r="AJ286" s="20">
        <f t="shared" si="330"/>
        <v>-4.5342167845614822E-4</v>
      </c>
      <c r="AK286" s="20">
        <f t="shared" si="330"/>
        <v>0</v>
      </c>
      <c r="AL286" s="20">
        <f t="shared" ref="AL286:BK286" si="331">AL218-AL137</f>
        <v>-7.2663090197600769E-4</v>
      </c>
      <c r="AM286" s="20">
        <f t="shared" si="331"/>
        <v>0</v>
      </c>
      <c r="AN286" s="20">
        <f t="shared" si="331"/>
        <v>0</v>
      </c>
      <c r="AO286" s="20">
        <f t="shared" si="331"/>
        <v>0</v>
      </c>
      <c r="AP286" s="20">
        <f t="shared" si="331"/>
        <v>-5.6141575767680682E-4</v>
      </c>
      <c r="AQ286" s="20">
        <f t="shared" si="331"/>
        <v>-1.690837829398314E-4</v>
      </c>
      <c r="AR286" s="20">
        <f t="shared" si="331"/>
        <v>-4.3063135408693418E-5</v>
      </c>
      <c r="AS286" s="20">
        <f t="shared" si="331"/>
        <v>-1.5833217495630998E-4</v>
      </c>
      <c r="AT286" s="20">
        <f t="shared" si="331"/>
        <v>-4.1144047092572556E-4</v>
      </c>
      <c r="AU286" s="20">
        <f t="shared" si="331"/>
        <v>-4.0032502343838108E-3</v>
      </c>
      <c r="AV286" s="20">
        <f t="shared" si="331"/>
        <v>0</v>
      </c>
      <c r="AW286" s="20">
        <f t="shared" si="331"/>
        <v>0</v>
      </c>
      <c r="AX286" s="20">
        <f t="shared" si="331"/>
        <v>0</v>
      </c>
      <c r="AY286" s="20">
        <f t="shared" si="331"/>
        <v>-5.8523560551225339E-6</v>
      </c>
      <c r="AZ286" s="20">
        <f t="shared" si="331"/>
        <v>-6.7904209794716257E-4</v>
      </c>
      <c r="BA286" s="20">
        <f t="shared" si="331"/>
        <v>-4.0442876522112795E-3</v>
      </c>
      <c r="BB286" s="20">
        <f t="shared" si="331"/>
        <v>0.92272191710176132</v>
      </c>
      <c r="BC286" s="20">
        <f t="shared" si="331"/>
        <v>-6.2244831343875699E-3</v>
      </c>
      <c r="BD286" s="20">
        <f t="shared" si="331"/>
        <v>-2.1480795993190117E-2</v>
      </c>
      <c r="BE286" s="20">
        <f t="shared" si="331"/>
        <v>0</v>
      </c>
      <c r="BF286" s="20">
        <f t="shared" si="331"/>
        <v>-5.4636709626912491E-3</v>
      </c>
      <c r="BG286" s="20">
        <f t="shared" si="331"/>
        <v>-1.161867289938906E-4</v>
      </c>
      <c r="BH286" s="20">
        <f t="shared" si="331"/>
        <v>-2.3273175539786236E-4</v>
      </c>
      <c r="BI286" s="20">
        <f t="shared" si="331"/>
        <v>-4.0008613270740056E-3</v>
      </c>
      <c r="BJ286" s="20">
        <f t="shared" si="331"/>
        <v>-3.567780294295659E-3</v>
      </c>
      <c r="BK286" s="20">
        <f t="shared" si="331"/>
        <v>-4.3515919933084432E-4</v>
      </c>
      <c r="BL286" s="20">
        <f t="shared" ref="BL286:BR286" si="332">BL218-BL137</f>
        <v>-3.3966237559865495E-4</v>
      </c>
      <c r="BM286" s="20">
        <f t="shared" si="332"/>
        <v>-9.7181640400322098E-4</v>
      </c>
      <c r="BN286" s="20">
        <f t="shared" si="332"/>
        <v>-5.9353967137824393E-4</v>
      </c>
      <c r="BO286" s="20">
        <f t="shared" si="332"/>
        <v>-3.0643129060752669E-3</v>
      </c>
      <c r="BP286" s="20">
        <f t="shared" si="332"/>
        <v>0</v>
      </c>
      <c r="BQ286" s="20">
        <f t="shared" si="332"/>
        <v>0</v>
      </c>
      <c r="BR286" s="20">
        <f t="shared" si="332"/>
        <v>0</v>
      </c>
    </row>
    <row r="287" spans="1:70" outlineLevel="1" x14ac:dyDescent="0.3">
      <c r="A287" s="7">
        <v>50</v>
      </c>
      <c r="B287" s="150" t="s">
        <v>155</v>
      </c>
      <c r="C287" s="150"/>
      <c r="D287" s="150"/>
      <c r="E287" s="150"/>
      <c r="F287" s="20">
        <f t="shared" ref="F287:AK287" si="333">F219-F138</f>
        <v>0</v>
      </c>
      <c r="G287" s="20">
        <f t="shared" si="333"/>
        <v>-2.7621796212208174E-3</v>
      </c>
      <c r="H287" s="20">
        <f t="shared" si="333"/>
        <v>-2.8596338273757631E-4</v>
      </c>
      <c r="I287" s="20">
        <f t="shared" si="333"/>
        <v>0</v>
      </c>
      <c r="J287" s="20">
        <f t="shared" si="333"/>
        <v>-9.7008345743922614E-3</v>
      </c>
      <c r="K287" s="20">
        <f t="shared" si="333"/>
        <v>-1.3643634021799824E-3</v>
      </c>
      <c r="L287" s="20">
        <f t="shared" si="333"/>
        <v>-1.0550688987497336E-3</v>
      </c>
      <c r="M287" s="20">
        <f t="shared" si="333"/>
        <v>-3.3099611455987343E-4</v>
      </c>
      <c r="N287" s="20">
        <f t="shared" si="333"/>
        <v>-2.4991731629962705E-3</v>
      </c>
      <c r="O287" s="20">
        <f t="shared" si="333"/>
        <v>0</v>
      </c>
      <c r="P287" s="20">
        <f t="shared" si="333"/>
        <v>-2.091164859494819E-3</v>
      </c>
      <c r="Q287" s="20">
        <f t="shared" si="333"/>
        <v>-2.3985920438030817E-2</v>
      </c>
      <c r="R287" s="20">
        <f t="shared" si="333"/>
        <v>-1.3299288389686512E-3</v>
      </c>
      <c r="S287" s="20">
        <f t="shared" si="333"/>
        <v>-2.5256638500013814E-3</v>
      </c>
      <c r="T287" s="20">
        <f t="shared" si="333"/>
        <v>0</v>
      </c>
      <c r="U287" s="20">
        <f t="shared" si="333"/>
        <v>0</v>
      </c>
      <c r="V287" s="20">
        <f t="shared" si="333"/>
        <v>-1.6196959480049772E-5</v>
      </c>
      <c r="W287" s="20">
        <f t="shared" si="333"/>
        <v>0</v>
      </c>
      <c r="X287" s="20">
        <f t="shared" si="333"/>
        <v>-4.1543249490094154E-3</v>
      </c>
      <c r="Y287" s="20">
        <f t="shared" si="333"/>
        <v>-1.2132226858227722E-4</v>
      </c>
      <c r="Z287" s="20">
        <f t="shared" si="333"/>
        <v>-9.6518706905571812E-4</v>
      </c>
      <c r="AA287" s="20">
        <f t="shared" si="333"/>
        <v>-2.1602085731165354E-3</v>
      </c>
      <c r="AB287" s="20">
        <f t="shared" si="333"/>
        <v>0</v>
      </c>
      <c r="AC287" s="20">
        <f t="shared" si="333"/>
        <v>0</v>
      </c>
      <c r="AD287" s="20">
        <f t="shared" si="333"/>
        <v>0</v>
      </c>
      <c r="AE287" s="20">
        <f t="shared" si="333"/>
        <v>0</v>
      </c>
      <c r="AF287" s="20">
        <f t="shared" si="333"/>
        <v>-8.552890185635891E-4</v>
      </c>
      <c r="AG287" s="20">
        <f t="shared" si="333"/>
        <v>-7.601711578859874E-4</v>
      </c>
      <c r="AH287" s="20">
        <f t="shared" si="333"/>
        <v>-1.8357658766716743E-3</v>
      </c>
      <c r="AI287" s="20">
        <f t="shared" si="333"/>
        <v>-3.4917474986497485E-2</v>
      </c>
      <c r="AJ287" s="20">
        <f t="shared" si="333"/>
        <v>-1.9543322863841917E-2</v>
      </c>
      <c r="AK287" s="20">
        <f t="shared" si="333"/>
        <v>-2.768535634027108E-2</v>
      </c>
      <c r="AL287" s="20">
        <f t="shared" ref="AL287:BK287" si="334">AL219-AL138</f>
        <v>-8.9025622527121853E-4</v>
      </c>
      <c r="AM287" s="20">
        <f t="shared" si="334"/>
        <v>0</v>
      </c>
      <c r="AN287" s="20">
        <f t="shared" si="334"/>
        <v>-2.8293099887113388E-3</v>
      </c>
      <c r="AO287" s="20">
        <f t="shared" si="334"/>
        <v>-2.2415144316410554E-3</v>
      </c>
      <c r="AP287" s="20">
        <f t="shared" si="334"/>
        <v>-5.1204764348666536E-3</v>
      </c>
      <c r="AQ287" s="20">
        <f t="shared" si="334"/>
        <v>-1.3071261638075289E-2</v>
      </c>
      <c r="AR287" s="20">
        <f t="shared" si="334"/>
        <v>-2.5207703812967708E-2</v>
      </c>
      <c r="AS287" s="20">
        <f t="shared" si="334"/>
        <v>-6.759966192735601E-3</v>
      </c>
      <c r="AT287" s="20">
        <f t="shared" si="334"/>
        <v>-1.0654048841789129E-2</v>
      </c>
      <c r="AU287" s="20">
        <f t="shared" si="334"/>
        <v>-3.8732240271599078E-3</v>
      </c>
      <c r="AV287" s="20">
        <f t="shared" si="334"/>
        <v>-3.8237252910460853E-3</v>
      </c>
      <c r="AW287" s="20">
        <f t="shared" si="334"/>
        <v>-4.7279432728853984E-3</v>
      </c>
      <c r="AX287" s="20">
        <f t="shared" si="334"/>
        <v>-1.4057607228959278E-2</v>
      </c>
      <c r="AY287" s="20">
        <f t="shared" si="334"/>
        <v>-1.8730061943657249E-3</v>
      </c>
      <c r="AZ287" s="20">
        <f t="shared" si="334"/>
        <v>-1.2824841756562075E-2</v>
      </c>
      <c r="BA287" s="20">
        <f t="shared" si="334"/>
        <v>-3.9465334629605045E-3</v>
      </c>
      <c r="BB287" s="20">
        <f t="shared" si="334"/>
        <v>-3.5776262841096026E-3</v>
      </c>
      <c r="BC287" s="20">
        <f t="shared" si="334"/>
        <v>0.94321992982435998</v>
      </c>
      <c r="BD287" s="20">
        <f t="shared" si="334"/>
        <v>-3.494232086974336E-2</v>
      </c>
      <c r="BE287" s="20">
        <f t="shared" si="334"/>
        <v>-2.780591136205106E-3</v>
      </c>
      <c r="BF287" s="20">
        <f t="shared" si="334"/>
        <v>-2.6593608784705376E-3</v>
      </c>
      <c r="BG287" s="20">
        <f t="shared" si="334"/>
        <v>-1.8515426890346798E-2</v>
      </c>
      <c r="BH287" s="20">
        <f t="shared" si="334"/>
        <v>-1.0093544350542908E-2</v>
      </c>
      <c r="BI287" s="20">
        <f t="shared" si="334"/>
        <v>-2.2054282661571022E-3</v>
      </c>
      <c r="BJ287" s="20">
        <f t="shared" si="334"/>
        <v>-1.6218531735055397E-3</v>
      </c>
      <c r="BK287" s="20">
        <f t="shared" si="334"/>
        <v>-1.1618111774555147E-3</v>
      </c>
      <c r="BL287" s="20">
        <f t="shared" ref="BL287:BR287" si="335">BL219-BL138</f>
        <v>-7.6024431714875418E-4</v>
      </c>
      <c r="BM287" s="20">
        <f t="shared" si="335"/>
        <v>-2.1214310364661225E-2</v>
      </c>
      <c r="BN287" s="20">
        <f t="shared" si="335"/>
        <v>-1.9345149507751083E-2</v>
      </c>
      <c r="BO287" s="20">
        <f t="shared" si="335"/>
        <v>-1.9984844340616717E-2</v>
      </c>
      <c r="BP287" s="20">
        <f t="shared" si="335"/>
        <v>-7.4466636966636964E-3</v>
      </c>
      <c r="BQ287" s="20">
        <f t="shared" si="335"/>
        <v>-4.6010801045626697E-3</v>
      </c>
      <c r="BR287" s="20">
        <f t="shared" si="335"/>
        <v>0</v>
      </c>
    </row>
    <row r="288" spans="1:70" outlineLevel="1" x14ac:dyDescent="0.3">
      <c r="A288" s="7">
        <v>51</v>
      </c>
      <c r="B288" s="150" t="s">
        <v>156</v>
      </c>
      <c r="C288" s="150"/>
      <c r="D288" s="150"/>
      <c r="E288" s="150"/>
      <c r="F288" s="20">
        <f t="shared" ref="F288:AK288" si="336">F220-F139</f>
        <v>-8.6406938443243479E-3</v>
      </c>
      <c r="G288" s="20">
        <f t="shared" si="336"/>
        <v>-7.6925678363021568E-4</v>
      </c>
      <c r="H288" s="20">
        <f t="shared" si="336"/>
        <v>-4.3382737576285965E-4</v>
      </c>
      <c r="I288" s="20">
        <f t="shared" si="336"/>
        <v>0</v>
      </c>
      <c r="J288" s="20">
        <f t="shared" si="336"/>
        <v>-3.9545217204345107E-4</v>
      </c>
      <c r="K288" s="20">
        <f t="shared" si="336"/>
        <v>-1.5525881271884445E-4</v>
      </c>
      <c r="L288" s="20">
        <f t="shared" si="336"/>
        <v>-1.0730538864235936E-4</v>
      </c>
      <c r="M288" s="20">
        <f t="shared" si="336"/>
        <v>-1.1611660148399568E-4</v>
      </c>
      <c r="N288" s="20">
        <f t="shared" si="336"/>
        <v>-3.2866122906858236E-4</v>
      </c>
      <c r="O288" s="20">
        <f t="shared" si="336"/>
        <v>0</v>
      </c>
      <c r="P288" s="20">
        <f t="shared" si="336"/>
        <v>-9.0493039172006272E-5</v>
      </c>
      <c r="Q288" s="20">
        <f t="shared" si="336"/>
        <v>0</v>
      </c>
      <c r="R288" s="20">
        <f t="shared" si="336"/>
        <v>-5.6037906692338172E-4</v>
      </c>
      <c r="S288" s="20">
        <f t="shared" si="336"/>
        <v>-9.0705766591130132E-4</v>
      </c>
      <c r="T288" s="20">
        <f t="shared" si="336"/>
        <v>-4.0210965282780517E-6</v>
      </c>
      <c r="U288" s="20">
        <f t="shared" si="336"/>
        <v>-5.0899483201259903E-4</v>
      </c>
      <c r="V288" s="20">
        <f t="shared" si="336"/>
        <v>-2.7384550048743943E-5</v>
      </c>
      <c r="W288" s="20">
        <f t="shared" si="336"/>
        <v>0</v>
      </c>
      <c r="X288" s="20">
        <f t="shared" si="336"/>
        <v>0</v>
      </c>
      <c r="Y288" s="20">
        <f t="shared" si="336"/>
        <v>-1.0558640998398186E-4</v>
      </c>
      <c r="Z288" s="20">
        <f t="shared" si="336"/>
        <v>-1.5908503682444912E-4</v>
      </c>
      <c r="AA288" s="20">
        <f t="shared" si="336"/>
        <v>-2.1262587576125641E-3</v>
      </c>
      <c r="AB288" s="20">
        <f t="shared" si="336"/>
        <v>0</v>
      </c>
      <c r="AC288" s="20">
        <f t="shared" si="336"/>
        <v>-6.2070170006091135E-4</v>
      </c>
      <c r="AD288" s="20">
        <f t="shared" si="336"/>
        <v>0</v>
      </c>
      <c r="AE288" s="20">
        <f t="shared" si="336"/>
        <v>-5.8536224292684147E-5</v>
      </c>
      <c r="AF288" s="20">
        <f t="shared" si="336"/>
        <v>-1.3412252402082819E-5</v>
      </c>
      <c r="AG288" s="20">
        <f t="shared" si="336"/>
        <v>0</v>
      </c>
      <c r="AH288" s="20">
        <f t="shared" si="336"/>
        <v>-1.6503369444005396E-3</v>
      </c>
      <c r="AI288" s="20">
        <f t="shared" si="336"/>
        <v>-7.5752040195335517E-4</v>
      </c>
      <c r="AJ288" s="20">
        <f t="shared" si="336"/>
        <v>-2.0286855539781538E-3</v>
      </c>
      <c r="AK288" s="20">
        <f t="shared" si="336"/>
        <v>-1.2142727491199457E-3</v>
      </c>
      <c r="AL288" s="20">
        <f t="shared" ref="AL288:BK288" si="337">AL220-AL139</f>
        <v>-4.0478814905411915E-4</v>
      </c>
      <c r="AM288" s="20">
        <f t="shared" si="337"/>
        <v>0</v>
      </c>
      <c r="AN288" s="20">
        <f t="shared" si="337"/>
        <v>0</v>
      </c>
      <c r="AO288" s="20">
        <f t="shared" si="337"/>
        <v>-1.6052450707775194E-3</v>
      </c>
      <c r="AP288" s="20">
        <f t="shared" si="337"/>
        <v>0</v>
      </c>
      <c r="AQ288" s="20">
        <f t="shared" si="337"/>
        <v>-1.3201137587289941E-3</v>
      </c>
      <c r="AR288" s="20">
        <f t="shared" si="337"/>
        <v>-2.0183873522964781E-2</v>
      </c>
      <c r="AS288" s="20">
        <f t="shared" si="337"/>
        <v>-2.0100752784007411E-2</v>
      </c>
      <c r="AT288" s="20">
        <f t="shared" si="337"/>
        <v>0</v>
      </c>
      <c r="AU288" s="20">
        <f t="shared" si="337"/>
        <v>-1.4791007067702837E-3</v>
      </c>
      <c r="AV288" s="20">
        <f t="shared" si="337"/>
        <v>-3.3501807685939588E-3</v>
      </c>
      <c r="AW288" s="20">
        <f t="shared" si="337"/>
        <v>-1.017379550260806E-3</v>
      </c>
      <c r="AX288" s="20">
        <f t="shared" si="337"/>
        <v>-1.2728685728165489E-3</v>
      </c>
      <c r="AY288" s="20">
        <f t="shared" si="337"/>
        <v>-9.9187344865266401E-5</v>
      </c>
      <c r="AZ288" s="20">
        <f t="shared" si="337"/>
        <v>-7.9455914190382105E-3</v>
      </c>
      <c r="BA288" s="20">
        <f t="shared" si="337"/>
        <v>-5.2670490979590395E-3</v>
      </c>
      <c r="BB288" s="20">
        <f t="shared" si="337"/>
        <v>-9.772219942706785E-4</v>
      </c>
      <c r="BC288" s="20">
        <f t="shared" si="337"/>
        <v>-4.6562562996303259E-3</v>
      </c>
      <c r="BD288" s="20">
        <f t="shared" si="337"/>
        <v>0.97269830953877889</v>
      </c>
      <c r="BE288" s="20">
        <f t="shared" si="337"/>
        <v>-1.3396459407535158E-4</v>
      </c>
      <c r="BF288" s="20">
        <f t="shared" si="337"/>
        <v>-2.6476082401664697E-3</v>
      </c>
      <c r="BG288" s="20">
        <f t="shared" si="337"/>
        <v>-6.1432322922400796E-3</v>
      </c>
      <c r="BH288" s="20">
        <f t="shared" si="337"/>
        <v>-1.9125980674762684E-3</v>
      </c>
      <c r="BI288" s="20">
        <f t="shared" si="337"/>
        <v>-9.7199792847613869E-4</v>
      </c>
      <c r="BJ288" s="20">
        <f t="shared" si="337"/>
        <v>-4.2985442233134228E-4</v>
      </c>
      <c r="BK288" s="20">
        <f t="shared" si="337"/>
        <v>-2.1839673028895224E-5</v>
      </c>
      <c r="BL288" s="20">
        <f t="shared" ref="BL288:BR288" si="338">BL220-BL139</f>
        <v>-2.0879246029446727E-4</v>
      </c>
      <c r="BM288" s="20">
        <f t="shared" si="338"/>
        <v>-1.2451397676291271E-3</v>
      </c>
      <c r="BN288" s="20">
        <f t="shared" si="338"/>
        <v>-3.6307888537139845E-4</v>
      </c>
      <c r="BO288" s="20">
        <f t="shared" si="338"/>
        <v>-1.7328568417937482E-2</v>
      </c>
      <c r="BP288" s="20">
        <f t="shared" si="338"/>
        <v>0</v>
      </c>
      <c r="BQ288" s="20">
        <f t="shared" si="338"/>
        <v>-5.3430597182695338E-5</v>
      </c>
      <c r="BR288" s="20">
        <f t="shared" si="338"/>
        <v>0</v>
      </c>
    </row>
    <row r="289" spans="1:70" outlineLevel="1" x14ac:dyDescent="0.3">
      <c r="A289" s="7">
        <v>52</v>
      </c>
      <c r="B289" s="150" t="s">
        <v>157</v>
      </c>
      <c r="C289" s="150"/>
      <c r="D289" s="150"/>
      <c r="E289" s="150"/>
      <c r="F289" s="20">
        <f t="shared" ref="F289:AK289" si="339">F221-F140</f>
        <v>-1.4928412096142959E-3</v>
      </c>
      <c r="G289" s="20">
        <f t="shared" si="339"/>
        <v>-5.1909352495368979E-3</v>
      </c>
      <c r="H289" s="20">
        <f t="shared" si="339"/>
        <v>-1.214158674803836E-2</v>
      </c>
      <c r="I289" s="20">
        <f t="shared" si="339"/>
        <v>-2.522995644688593E-3</v>
      </c>
      <c r="J289" s="20">
        <f t="shared" si="339"/>
        <v>-2.833138675439004E-3</v>
      </c>
      <c r="K289" s="20">
        <f t="shared" si="339"/>
        <v>-1.6556331885066366E-3</v>
      </c>
      <c r="L289" s="20">
        <f t="shared" si="339"/>
        <v>-1.7057022763629125E-3</v>
      </c>
      <c r="M289" s="20">
        <f t="shared" si="339"/>
        <v>-6.3417528502797643E-4</v>
      </c>
      <c r="N289" s="20">
        <f t="shared" si="339"/>
        <v>-2.3949761487332029E-3</v>
      </c>
      <c r="O289" s="20">
        <f t="shared" si="339"/>
        <v>-1.5408046843045657E-3</v>
      </c>
      <c r="P289" s="20">
        <f t="shared" si="339"/>
        <v>-3.3204223036073523E-3</v>
      </c>
      <c r="Q289" s="20">
        <f t="shared" si="339"/>
        <v>-2.8554667188131926E-4</v>
      </c>
      <c r="R289" s="20">
        <f t="shared" si="339"/>
        <v>-1.3770542547471003E-3</v>
      </c>
      <c r="S289" s="20">
        <f t="shared" si="339"/>
        <v>-1.7817289200179459E-3</v>
      </c>
      <c r="T289" s="20">
        <f t="shared" si="339"/>
        <v>-1.7058728733425736E-4</v>
      </c>
      <c r="U289" s="20">
        <f t="shared" si="339"/>
        <v>-8.7444530899782099E-3</v>
      </c>
      <c r="V289" s="20">
        <f t="shared" si="339"/>
        <v>-3.0416331433205492E-3</v>
      </c>
      <c r="W289" s="20">
        <f t="shared" si="339"/>
        <v>-2.0295145250350849E-3</v>
      </c>
      <c r="X289" s="20">
        <f t="shared" si="339"/>
        <v>-1.5897502816920709E-4</v>
      </c>
      <c r="Y289" s="20">
        <f t="shared" si="339"/>
        <v>-2.1453620959202685E-4</v>
      </c>
      <c r="Z289" s="20">
        <f t="shared" si="339"/>
        <v>0</v>
      </c>
      <c r="AA289" s="20">
        <f t="shared" si="339"/>
        <v>-1.2188590012631149E-3</v>
      </c>
      <c r="AB289" s="20">
        <f t="shared" si="339"/>
        <v>-5.5281431506298594E-3</v>
      </c>
      <c r="AC289" s="20">
        <f t="shared" si="339"/>
        <v>-7.2219745713339955E-4</v>
      </c>
      <c r="AD289" s="20">
        <f t="shared" si="339"/>
        <v>-3.8846128778893992E-2</v>
      </c>
      <c r="AE289" s="20">
        <f t="shared" si="339"/>
        <v>-1.2904405058587207E-2</v>
      </c>
      <c r="AF289" s="20">
        <f t="shared" si="339"/>
        <v>-6.1366213298145083E-3</v>
      </c>
      <c r="AG289" s="20">
        <f t="shared" si="339"/>
        <v>-2.0149104374535945E-2</v>
      </c>
      <c r="AH289" s="20">
        <f t="shared" si="339"/>
        <v>-1.5283544611629214E-2</v>
      </c>
      <c r="AI289" s="20">
        <f t="shared" si="339"/>
        <v>-3.281225808528479E-3</v>
      </c>
      <c r="AJ289" s="20">
        <f t="shared" si="339"/>
        <v>-1.4090012927417754E-2</v>
      </c>
      <c r="AK289" s="20">
        <f t="shared" si="339"/>
        <v>-6.3244627801557476E-3</v>
      </c>
      <c r="AL289" s="20">
        <f t="shared" ref="AL289:BK289" si="340">AL221-AL140</f>
        <v>-2.1510554783387915E-2</v>
      </c>
      <c r="AM289" s="20">
        <f t="shared" si="340"/>
        <v>-0.25179188266481983</v>
      </c>
      <c r="AN289" s="20">
        <f t="shared" si="340"/>
        <v>-6.9916302827101623E-2</v>
      </c>
      <c r="AO289" s="20">
        <f t="shared" si="340"/>
        <v>-1.322919662177734E-2</v>
      </c>
      <c r="AP289" s="20">
        <f t="shared" si="340"/>
        <v>-7.6110261533772223E-3</v>
      </c>
      <c r="AQ289" s="20">
        <f t="shared" si="340"/>
        <v>-8.793581957675144E-3</v>
      </c>
      <c r="AR289" s="20">
        <f t="shared" si="340"/>
        <v>-4.3287548931245758E-3</v>
      </c>
      <c r="AS289" s="20">
        <f t="shared" si="340"/>
        <v>-7.4118784811707363E-3</v>
      </c>
      <c r="AT289" s="20">
        <f t="shared" si="340"/>
        <v>-2.5374937020474159E-3</v>
      </c>
      <c r="AU289" s="20">
        <f t="shared" si="340"/>
        <v>-1.5105131869297151E-2</v>
      </c>
      <c r="AV289" s="20">
        <f t="shared" si="340"/>
        <v>-7.4926914133064473E-3</v>
      </c>
      <c r="AW289" s="20">
        <f t="shared" si="340"/>
        <v>-2.5151427510681456E-2</v>
      </c>
      <c r="AX289" s="20">
        <f t="shared" si="340"/>
        <v>-2.3320353577198603E-3</v>
      </c>
      <c r="AY289" s="20">
        <f t="shared" si="340"/>
        <v>-3.362632615775621E-3</v>
      </c>
      <c r="AZ289" s="20">
        <f t="shared" si="340"/>
        <v>-7.076550679175243E-3</v>
      </c>
      <c r="BA289" s="20">
        <f t="shared" si="340"/>
        <v>-1.144057646279302E-2</v>
      </c>
      <c r="BB289" s="20">
        <f t="shared" si="340"/>
        <v>-9.7112376765003706E-3</v>
      </c>
      <c r="BC289" s="20">
        <f t="shared" si="340"/>
        <v>-1.0647227158302672E-2</v>
      </c>
      <c r="BD289" s="20">
        <f t="shared" si="340"/>
        <v>-9.0902026716775334E-3</v>
      </c>
      <c r="BE289" s="20">
        <f t="shared" si="340"/>
        <v>0.98573130262583453</v>
      </c>
      <c r="BF289" s="20">
        <f t="shared" si="340"/>
        <v>-4.3073419384409856E-3</v>
      </c>
      <c r="BG289" s="20">
        <f t="shared" si="340"/>
        <v>-1.2532374360408978E-3</v>
      </c>
      <c r="BH289" s="20">
        <f t="shared" si="340"/>
        <v>-1.603803410742324E-2</v>
      </c>
      <c r="BI289" s="20">
        <f t="shared" si="340"/>
        <v>-2.0035089257143513E-3</v>
      </c>
      <c r="BJ289" s="20">
        <f t="shared" si="340"/>
        <v>-3.9061180596825533E-3</v>
      </c>
      <c r="BK289" s="20">
        <f t="shared" si="340"/>
        <v>-4.2623019015372455E-3</v>
      </c>
      <c r="BL289" s="20">
        <f t="shared" ref="BL289:BR289" si="341">BL221-BL140</f>
        <v>-3.1908283166532467E-3</v>
      </c>
      <c r="BM289" s="20">
        <f t="shared" si="341"/>
        <v>-6.9471988956631781E-3</v>
      </c>
      <c r="BN289" s="20">
        <f t="shared" si="341"/>
        <v>-1.2443703616819748E-2</v>
      </c>
      <c r="BO289" s="20">
        <f t="shared" si="341"/>
        <v>-2.0708549495782873E-2</v>
      </c>
      <c r="BP289" s="20">
        <f t="shared" si="341"/>
        <v>-4.0930353430353433E-3</v>
      </c>
      <c r="BQ289" s="20">
        <f t="shared" si="341"/>
        <v>-4.8611762191501304E-3</v>
      </c>
      <c r="BR289" s="20">
        <f t="shared" si="341"/>
        <v>0</v>
      </c>
    </row>
    <row r="290" spans="1:70" outlineLevel="1" x14ac:dyDescent="0.3">
      <c r="A290" s="7">
        <v>53</v>
      </c>
      <c r="B290" s="150" t="s">
        <v>158</v>
      </c>
      <c r="C290" s="150"/>
      <c r="D290" s="150"/>
      <c r="E290" s="150"/>
      <c r="F290" s="20">
        <f t="shared" ref="F290:AK290" si="342">F222-F141</f>
        <v>-1.2918195848392157E-4</v>
      </c>
      <c r="G290" s="20">
        <f t="shared" si="342"/>
        <v>-6.9066398530267033E-6</v>
      </c>
      <c r="H290" s="20">
        <f t="shared" si="342"/>
        <v>-5.7778552746294686E-3</v>
      </c>
      <c r="I290" s="20">
        <f t="shared" si="342"/>
        <v>-1.4409632446300378E-5</v>
      </c>
      <c r="J290" s="20">
        <f t="shared" si="342"/>
        <v>-8.48592910882387E-5</v>
      </c>
      <c r="K290" s="20">
        <f t="shared" si="342"/>
        <v>-1.4419928085394047E-4</v>
      </c>
      <c r="L290" s="20">
        <f t="shared" si="342"/>
        <v>-2.9191599741227762E-4</v>
      </c>
      <c r="M290" s="20">
        <f t="shared" si="342"/>
        <v>-2.6030534838170462E-5</v>
      </c>
      <c r="N290" s="20">
        <f t="shared" si="342"/>
        <v>-4.4426289165895127E-4</v>
      </c>
      <c r="O290" s="20">
        <f t="shared" si="342"/>
        <v>0</v>
      </c>
      <c r="P290" s="20">
        <f t="shared" si="342"/>
        <v>-3.2370652869529099E-5</v>
      </c>
      <c r="Q290" s="20">
        <f t="shared" si="342"/>
        <v>0</v>
      </c>
      <c r="R290" s="20">
        <f t="shared" si="342"/>
        <v>-2.8109897131004692E-5</v>
      </c>
      <c r="S290" s="20">
        <f t="shared" si="342"/>
        <v>0</v>
      </c>
      <c r="T290" s="20">
        <f t="shared" si="342"/>
        <v>0</v>
      </c>
      <c r="U290" s="20">
        <f t="shared" si="342"/>
        <v>-9.9039151247296334E-4</v>
      </c>
      <c r="V290" s="20">
        <f t="shared" si="342"/>
        <v>-1.8078255804536653E-3</v>
      </c>
      <c r="W290" s="20">
        <f t="shared" si="342"/>
        <v>-2.5180748036685751E-5</v>
      </c>
      <c r="X290" s="20">
        <f t="shared" si="342"/>
        <v>-9.4145631374567931E-6</v>
      </c>
      <c r="Y290" s="20">
        <f t="shared" si="342"/>
        <v>-3.2708964094013942E-4</v>
      </c>
      <c r="Z290" s="20">
        <f t="shared" si="342"/>
        <v>0</v>
      </c>
      <c r="AA290" s="20">
        <f t="shared" si="342"/>
        <v>-2.3567840673515837E-4</v>
      </c>
      <c r="AB290" s="20">
        <f t="shared" si="342"/>
        <v>0</v>
      </c>
      <c r="AC290" s="20">
        <f t="shared" si="342"/>
        <v>-1.6041076324111272E-4</v>
      </c>
      <c r="AD290" s="20">
        <f t="shared" si="342"/>
        <v>0</v>
      </c>
      <c r="AE290" s="20">
        <f t="shared" si="342"/>
        <v>0</v>
      </c>
      <c r="AF290" s="20">
        <f t="shared" si="342"/>
        <v>-1.7539099295031378E-5</v>
      </c>
      <c r="AG290" s="20">
        <f t="shared" si="342"/>
        <v>-6.8677735473995758E-5</v>
      </c>
      <c r="AH290" s="20">
        <f t="shared" si="342"/>
        <v>-5.8132505064655341E-4</v>
      </c>
      <c r="AI290" s="20">
        <f t="shared" si="342"/>
        <v>-2.0004670311280846E-4</v>
      </c>
      <c r="AJ290" s="20">
        <f t="shared" si="342"/>
        <v>-3.2130315828396265E-4</v>
      </c>
      <c r="AK290" s="20">
        <f t="shared" si="342"/>
        <v>-1.2902232393746458E-3</v>
      </c>
      <c r="AL290" s="20">
        <f t="shared" ref="AL290:BK290" si="343">AL222-AL141</f>
        <v>-1.5088754131649033E-3</v>
      </c>
      <c r="AM290" s="20">
        <f t="shared" si="343"/>
        <v>-9.2482268323717171E-2</v>
      </c>
      <c r="AN290" s="20">
        <f t="shared" si="343"/>
        <v>-3.7146060205326321E-3</v>
      </c>
      <c r="AO290" s="20">
        <f t="shared" si="343"/>
        <v>-3.7768262272431055E-4</v>
      </c>
      <c r="AP290" s="20">
        <f t="shared" si="343"/>
        <v>-6.6041250381007209E-4</v>
      </c>
      <c r="AQ290" s="20">
        <f t="shared" si="343"/>
        <v>-1.3042030797753392E-2</v>
      </c>
      <c r="AR290" s="20">
        <f t="shared" si="343"/>
        <v>-3.6033533445499655E-3</v>
      </c>
      <c r="AS290" s="20">
        <f t="shared" si="343"/>
        <v>0</v>
      </c>
      <c r="AT290" s="20">
        <f t="shared" si="343"/>
        <v>-7.323878209339722E-4</v>
      </c>
      <c r="AU290" s="20">
        <f t="shared" si="343"/>
        <v>-5.3420152126454486E-4</v>
      </c>
      <c r="AV290" s="20">
        <f t="shared" si="343"/>
        <v>0</v>
      </c>
      <c r="AW290" s="20">
        <f t="shared" si="343"/>
        <v>-6.8372281603548789E-6</v>
      </c>
      <c r="AX290" s="20">
        <f t="shared" si="343"/>
        <v>-7.1409094704341246E-4</v>
      </c>
      <c r="AY290" s="20">
        <f t="shared" si="343"/>
        <v>-1.0380364296047081E-3</v>
      </c>
      <c r="AZ290" s="20">
        <f t="shared" si="343"/>
        <v>-5.4682860711156801E-4</v>
      </c>
      <c r="BA290" s="20">
        <f t="shared" si="343"/>
        <v>-2.4762170396561722E-3</v>
      </c>
      <c r="BB290" s="20">
        <f t="shared" si="343"/>
        <v>-5.3604164862921654E-4</v>
      </c>
      <c r="BC290" s="20">
        <f t="shared" si="343"/>
        <v>-4.8280725516542782E-4</v>
      </c>
      <c r="BD290" s="20">
        <f t="shared" si="343"/>
        <v>-2.3862841642000861E-3</v>
      </c>
      <c r="BE290" s="20">
        <f t="shared" si="343"/>
        <v>0</v>
      </c>
      <c r="BF290" s="20">
        <f t="shared" si="343"/>
        <v>0.9304589862304784</v>
      </c>
      <c r="BG290" s="20">
        <f t="shared" si="343"/>
        <v>-4.1398572369667823E-4</v>
      </c>
      <c r="BH290" s="20">
        <f t="shared" si="343"/>
        <v>-3.249211607894814E-3</v>
      </c>
      <c r="BI290" s="20">
        <f t="shared" si="343"/>
        <v>-2.4113053722564441E-4</v>
      </c>
      <c r="BJ290" s="20">
        <f t="shared" si="343"/>
        <v>0</v>
      </c>
      <c r="BK290" s="20">
        <f t="shared" si="343"/>
        <v>-3.3279501758316534E-5</v>
      </c>
      <c r="BL290" s="20">
        <f t="shared" ref="BL290:BR290" si="344">BL222-BL141</f>
        <v>-1.2187885242069383E-4</v>
      </c>
      <c r="BM290" s="20">
        <f t="shared" si="344"/>
        <v>-4.3345220292189123E-4</v>
      </c>
      <c r="BN290" s="20">
        <f t="shared" si="344"/>
        <v>-6.4246101469939013E-5</v>
      </c>
      <c r="BO290" s="20">
        <f t="shared" si="344"/>
        <v>-8.223514588443137E-4</v>
      </c>
      <c r="BP290" s="20">
        <f t="shared" si="344"/>
        <v>0</v>
      </c>
      <c r="BQ290" s="20">
        <f t="shared" si="344"/>
        <v>-1.6069504133814408E-3</v>
      </c>
      <c r="BR290" s="20">
        <f t="shared" si="344"/>
        <v>0</v>
      </c>
    </row>
    <row r="291" spans="1:70" outlineLevel="1" x14ac:dyDescent="0.3">
      <c r="A291" s="7">
        <v>54</v>
      </c>
      <c r="B291" s="150" t="s">
        <v>159</v>
      </c>
      <c r="C291" s="150"/>
      <c r="D291" s="150"/>
      <c r="E291" s="150"/>
      <c r="F291" s="20">
        <f t="shared" ref="F291:AK291" si="345">F223-F142</f>
        <v>0</v>
      </c>
      <c r="G291" s="20">
        <f t="shared" si="345"/>
        <v>-8.0974398276864804E-5</v>
      </c>
      <c r="H291" s="20">
        <f t="shared" si="345"/>
        <v>-5.8587619877942453E-5</v>
      </c>
      <c r="I291" s="20">
        <f t="shared" si="345"/>
        <v>-2.5871840074039317E-5</v>
      </c>
      <c r="J291" s="20">
        <f t="shared" si="345"/>
        <v>-9.189808379451372E-5</v>
      </c>
      <c r="K291" s="20">
        <f t="shared" si="345"/>
        <v>-1.6674371119393706E-4</v>
      </c>
      <c r="L291" s="20">
        <f t="shared" si="345"/>
        <v>-1.4206628918847579E-5</v>
      </c>
      <c r="M291" s="20">
        <f t="shared" si="345"/>
        <v>0</v>
      </c>
      <c r="N291" s="20">
        <f t="shared" si="345"/>
        <v>-3.7324303616621343E-5</v>
      </c>
      <c r="O291" s="20">
        <f t="shared" si="345"/>
        <v>0</v>
      </c>
      <c r="P291" s="20">
        <f t="shared" si="345"/>
        <v>-1.8801868024537988E-4</v>
      </c>
      <c r="Q291" s="20">
        <f t="shared" si="345"/>
        <v>0</v>
      </c>
      <c r="R291" s="20">
        <f t="shared" si="345"/>
        <v>-3.3731876557205631E-5</v>
      </c>
      <c r="S291" s="20">
        <f t="shared" si="345"/>
        <v>-7.9537217226141935E-5</v>
      </c>
      <c r="T291" s="20">
        <f t="shared" si="345"/>
        <v>-4.3304116458379026E-6</v>
      </c>
      <c r="U291" s="20">
        <f t="shared" si="345"/>
        <v>-3.5665303544426356E-6</v>
      </c>
      <c r="V291" s="20">
        <f t="shared" si="345"/>
        <v>-1.4799902150327266E-4</v>
      </c>
      <c r="W291" s="20">
        <f t="shared" si="345"/>
        <v>-2.4311519367803714E-4</v>
      </c>
      <c r="X291" s="20">
        <f t="shared" si="345"/>
        <v>-6.196927634781686E-6</v>
      </c>
      <c r="Y291" s="20">
        <f t="shared" si="345"/>
        <v>-7.9039656165483561E-5</v>
      </c>
      <c r="Z291" s="20">
        <f t="shared" si="345"/>
        <v>-8.5414784872187444E-5</v>
      </c>
      <c r="AA291" s="20">
        <f t="shared" si="345"/>
        <v>-3.244935490803692E-4</v>
      </c>
      <c r="AB291" s="20">
        <f t="shared" si="345"/>
        <v>-1.2860934493911934E-3</v>
      </c>
      <c r="AC291" s="20">
        <f t="shared" si="345"/>
        <v>0</v>
      </c>
      <c r="AD291" s="20">
        <f t="shared" si="345"/>
        <v>0</v>
      </c>
      <c r="AE291" s="20">
        <f t="shared" si="345"/>
        <v>0</v>
      </c>
      <c r="AF291" s="20">
        <f t="shared" si="345"/>
        <v>-1.3092421767879308E-3</v>
      </c>
      <c r="AG291" s="20">
        <f t="shared" si="345"/>
        <v>0</v>
      </c>
      <c r="AH291" s="20">
        <f t="shared" si="345"/>
        <v>-5.6542697491171829E-5</v>
      </c>
      <c r="AI291" s="20">
        <f t="shared" si="345"/>
        <v>-4.9794511413392547E-4</v>
      </c>
      <c r="AJ291" s="20">
        <f t="shared" si="345"/>
        <v>-1.6402774214050169E-4</v>
      </c>
      <c r="AK291" s="20">
        <f t="shared" si="345"/>
        <v>-4.1559775789165598E-4</v>
      </c>
      <c r="AL291" s="20">
        <f t="shared" ref="AL291:BK291" si="346">AL223-AL142</f>
        <v>-4.6208259008290224E-4</v>
      </c>
      <c r="AM291" s="20">
        <f t="shared" si="346"/>
        <v>-2.4325169710359088E-3</v>
      </c>
      <c r="AN291" s="20">
        <f t="shared" si="346"/>
        <v>-2.1642013044963684E-3</v>
      </c>
      <c r="AO291" s="20">
        <f t="shared" si="346"/>
        <v>-5.2704893493715073E-5</v>
      </c>
      <c r="AP291" s="20">
        <f t="shared" si="346"/>
        <v>0</v>
      </c>
      <c r="AQ291" s="20">
        <f t="shared" si="346"/>
        <v>-9.09306679474559E-4</v>
      </c>
      <c r="AR291" s="20">
        <f t="shared" si="346"/>
        <v>-5.1918371704002197E-4</v>
      </c>
      <c r="AS291" s="20">
        <f t="shared" si="346"/>
        <v>-3.9620210916297289E-4</v>
      </c>
      <c r="AT291" s="20">
        <f t="shared" si="346"/>
        <v>-4.6138411190514896E-5</v>
      </c>
      <c r="AU291" s="20">
        <f t="shared" si="346"/>
        <v>-2.9813452368328475E-4</v>
      </c>
      <c r="AV291" s="20">
        <f t="shared" si="346"/>
        <v>-2.2117278413289149E-4</v>
      </c>
      <c r="AW291" s="20">
        <f t="shared" si="346"/>
        <v>-3.5211725025827622E-4</v>
      </c>
      <c r="AX291" s="20">
        <f t="shared" si="346"/>
        <v>-6.0840782241965315E-4</v>
      </c>
      <c r="AY291" s="20">
        <f t="shared" si="346"/>
        <v>-5.438655023639735E-5</v>
      </c>
      <c r="AZ291" s="20">
        <f t="shared" si="346"/>
        <v>-4.0369718450505821E-4</v>
      </c>
      <c r="BA291" s="20">
        <f t="shared" si="346"/>
        <v>-3.9401944541012383E-4</v>
      </c>
      <c r="BB291" s="20">
        <f t="shared" si="346"/>
        <v>0</v>
      </c>
      <c r="BC291" s="20">
        <f t="shared" si="346"/>
        <v>-2.5227217129111844E-3</v>
      </c>
      <c r="BD291" s="20">
        <f t="shared" si="346"/>
        <v>0</v>
      </c>
      <c r="BE291" s="20">
        <f t="shared" si="346"/>
        <v>-2.9472210696577345E-4</v>
      </c>
      <c r="BF291" s="20">
        <f t="shared" si="346"/>
        <v>-7.9330308552460181E-4</v>
      </c>
      <c r="BG291" s="20">
        <f t="shared" si="346"/>
        <v>0.97122855621632842</v>
      </c>
      <c r="BH291" s="20">
        <f t="shared" si="346"/>
        <v>-5.085029450131376E-4</v>
      </c>
      <c r="BI291" s="20">
        <f t="shared" si="346"/>
        <v>0</v>
      </c>
      <c r="BJ291" s="20">
        <f t="shared" si="346"/>
        <v>-1.7356213866895985E-4</v>
      </c>
      <c r="BK291" s="20">
        <f t="shared" si="346"/>
        <v>-2.4484204865047162E-4</v>
      </c>
      <c r="BL291" s="20">
        <f t="shared" ref="BL291:BR291" si="347">BL223-BL142</f>
        <v>0</v>
      </c>
      <c r="BM291" s="20">
        <f t="shared" si="347"/>
        <v>-1.9970090877717705E-4</v>
      </c>
      <c r="BN291" s="20">
        <f t="shared" si="347"/>
        <v>-3.595424027216771E-5</v>
      </c>
      <c r="BO291" s="20">
        <f t="shared" si="347"/>
        <v>-1.24653056466041E-4</v>
      </c>
      <c r="BP291" s="20">
        <f t="shared" si="347"/>
        <v>0</v>
      </c>
      <c r="BQ291" s="20">
        <f t="shared" si="347"/>
        <v>-5.5446846132985723E-5</v>
      </c>
      <c r="BR291" s="20">
        <f t="shared" si="347"/>
        <v>0</v>
      </c>
    </row>
    <row r="292" spans="1:70" outlineLevel="1" x14ac:dyDescent="0.3">
      <c r="A292" s="7">
        <v>55</v>
      </c>
      <c r="B292" s="150" t="s">
        <v>160</v>
      </c>
      <c r="C292" s="150"/>
      <c r="D292" s="150"/>
      <c r="E292" s="150"/>
      <c r="F292" s="20">
        <f t="shared" ref="F292:AK292" si="348">F224-F143</f>
        <v>-2.6651868989819086E-4</v>
      </c>
      <c r="G292" s="20">
        <f t="shared" si="348"/>
        <v>-2.2053615530699061E-3</v>
      </c>
      <c r="H292" s="20">
        <f t="shared" si="348"/>
        <v>-1.9152571926765475E-3</v>
      </c>
      <c r="I292" s="20">
        <f t="shared" si="348"/>
        <v>-2.7227655490577578E-3</v>
      </c>
      <c r="J292" s="20">
        <f t="shared" si="348"/>
        <v>-3.0416936733165373E-3</v>
      </c>
      <c r="K292" s="20">
        <f t="shared" si="348"/>
        <v>-1.5637540007058957E-3</v>
      </c>
      <c r="L292" s="20">
        <f t="shared" si="348"/>
        <v>-1.4134084430751336E-3</v>
      </c>
      <c r="M292" s="20">
        <f t="shared" si="348"/>
        <v>-9.3046401980362249E-4</v>
      </c>
      <c r="N292" s="20">
        <f t="shared" si="348"/>
        <v>-4.9781289948668721E-3</v>
      </c>
      <c r="O292" s="20">
        <f t="shared" si="348"/>
        <v>-2.1710115600714697E-3</v>
      </c>
      <c r="P292" s="20">
        <f t="shared" si="348"/>
        <v>-5.1534493050755116E-4</v>
      </c>
      <c r="Q292" s="20">
        <f t="shared" si="348"/>
        <v>-6.5553516112832052E-5</v>
      </c>
      <c r="R292" s="20">
        <f t="shared" si="348"/>
        <v>-4.2627832237488285E-4</v>
      </c>
      <c r="S292" s="20">
        <f t="shared" si="348"/>
        <v>-2.220612427047226E-3</v>
      </c>
      <c r="T292" s="20">
        <f t="shared" si="348"/>
        <v>-1.3486139125609467E-4</v>
      </c>
      <c r="U292" s="20">
        <f t="shared" si="348"/>
        <v>-3.7343271158802225E-3</v>
      </c>
      <c r="V292" s="20">
        <f t="shared" si="348"/>
        <v>-9.663072630004951E-4</v>
      </c>
      <c r="W292" s="20">
        <f t="shared" si="348"/>
        <v>-1.1728314245699042E-3</v>
      </c>
      <c r="X292" s="20">
        <f t="shared" si="348"/>
        <v>-8.1215503521225375E-4</v>
      </c>
      <c r="Y292" s="20">
        <f t="shared" si="348"/>
        <v>-1.2073367539806618E-3</v>
      </c>
      <c r="Z292" s="20">
        <f t="shared" si="348"/>
        <v>-8.8991528988710295E-4</v>
      </c>
      <c r="AA292" s="20">
        <f t="shared" si="348"/>
        <v>-2.1756678641049508E-3</v>
      </c>
      <c r="AB292" s="20">
        <f t="shared" si="348"/>
        <v>-2.5038231273861768E-3</v>
      </c>
      <c r="AC292" s="20">
        <f t="shared" si="348"/>
        <v>-5.6456491337748974E-3</v>
      </c>
      <c r="AD292" s="20">
        <f t="shared" si="348"/>
        <v>-1.5784688851813739E-3</v>
      </c>
      <c r="AE292" s="20">
        <f t="shared" si="348"/>
        <v>-3.363000498879692E-3</v>
      </c>
      <c r="AF292" s="20">
        <f t="shared" si="348"/>
        <v>-1.0404812728846557E-2</v>
      </c>
      <c r="AG292" s="20">
        <f t="shared" si="348"/>
        <v>-2.4131528769339196E-3</v>
      </c>
      <c r="AH292" s="20">
        <f t="shared" si="348"/>
        <v>-7.5684077911850473E-3</v>
      </c>
      <c r="AI292" s="20">
        <f t="shared" si="348"/>
        <v>-1.1908271816204345E-2</v>
      </c>
      <c r="AJ292" s="20">
        <f t="shared" si="348"/>
        <v>-9.8148942448312137E-3</v>
      </c>
      <c r="AK292" s="20">
        <f t="shared" si="348"/>
        <v>-2.1601732460813546E-2</v>
      </c>
      <c r="AL292" s="20">
        <f t="shared" ref="AL292:BK292" si="349">AL224-AL143</f>
        <v>-1.496232634723603E-3</v>
      </c>
      <c r="AM292" s="20">
        <f t="shared" si="349"/>
        <v>0</v>
      </c>
      <c r="AN292" s="20">
        <f t="shared" si="349"/>
        <v>0</v>
      </c>
      <c r="AO292" s="20">
        <f t="shared" si="349"/>
        <v>-9.657447174615176E-3</v>
      </c>
      <c r="AP292" s="20">
        <f t="shared" si="349"/>
        <v>-1.6421736559237829E-2</v>
      </c>
      <c r="AQ292" s="20">
        <f t="shared" si="349"/>
        <v>-1.7428932300673675E-2</v>
      </c>
      <c r="AR292" s="20">
        <f t="shared" si="349"/>
        <v>-9.219150115663942E-5</v>
      </c>
      <c r="AS292" s="20">
        <f t="shared" si="349"/>
        <v>0</v>
      </c>
      <c r="AT292" s="20">
        <f t="shared" si="349"/>
        <v>-3.4311281352863835E-3</v>
      </c>
      <c r="AU292" s="20">
        <f t="shared" si="349"/>
        <v>-7.2444374872708975E-3</v>
      </c>
      <c r="AV292" s="20">
        <f t="shared" si="349"/>
        <v>-1.3363809460264272E-2</v>
      </c>
      <c r="AW292" s="20">
        <f t="shared" si="349"/>
        <v>-1.2524434544138067E-2</v>
      </c>
      <c r="AX292" s="20">
        <f t="shared" si="349"/>
        <v>-7.3592823356787981E-3</v>
      </c>
      <c r="AY292" s="20">
        <f t="shared" si="349"/>
        <v>-2.3140770806752833E-2</v>
      </c>
      <c r="AZ292" s="20">
        <f t="shared" si="349"/>
        <v>-3.2050121295559064E-2</v>
      </c>
      <c r="BA292" s="20">
        <f t="shared" si="349"/>
        <v>-2.9029324254982964E-2</v>
      </c>
      <c r="BB292" s="20">
        <f t="shared" si="349"/>
        <v>-1.1270426235926084E-2</v>
      </c>
      <c r="BC292" s="20">
        <f t="shared" si="349"/>
        <v>-5.5798314263761979E-2</v>
      </c>
      <c r="BD292" s="20">
        <f t="shared" si="349"/>
        <v>-1.9201887552186721E-2</v>
      </c>
      <c r="BE292" s="20">
        <f t="shared" si="349"/>
        <v>-4.461204495851777E-3</v>
      </c>
      <c r="BF292" s="20">
        <f t="shared" si="349"/>
        <v>-9.4491211964708131E-3</v>
      </c>
      <c r="BG292" s="20">
        <f t="shared" si="349"/>
        <v>-5.4066309909487154E-3</v>
      </c>
      <c r="BH292" s="20">
        <f t="shared" si="349"/>
        <v>0.9445601608930948</v>
      </c>
      <c r="BI292" s="20">
        <f t="shared" si="349"/>
        <v>-2.7225689827560153E-2</v>
      </c>
      <c r="BJ292" s="20">
        <f t="shared" si="349"/>
        <v>-1.2137482210166061E-2</v>
      </c>
      <c r="BK292" s="20">
        <f t="shared" si="349"/>
        <v>-9.8736121779205363E-3</v>
      </c>
      <c r="BL292" s="20">
        <f t="shared" ref="BL292:BR292" si="350">BL224-BL143</f>
        <v>-1.4281803886936385E-2</v>
      </c>
      <c r="BM292" s="20">
        <f t="shared" si="350"/>
        <v>-2.4836075002875879E-2</v>
      </c>
      <c r="BN292" s="20">
        <f t="shared" si="350"/>
        <v>-3.2069414081448734E-2</v>
      </c>
      <c r="BO292" s="20">
        <f t="shared" si="350"/>
        <v>-3.1149812347826867E-2</v>
      </c>
      <c r="BP292" s="20">
        <f t="shared" si="350"/>
        <v>-2.2788585288585291E-2</v>
      </c>
      <c r="BQ292" s="20">
        <f t="shared" si="350"/>
        <v>-1.1606537082346631E-2</v>
      </c>
      <c r="BR292" s="20">
        <f t="shared" si="350"/>
        <v>0</v>
      </c>
    </row>
    <row r="293" spans="1:70" outlineLevel="1" x14ac:dyDescent="0.3">
      <c r="A293" s="7">
        <v>56</v>
      </c>
      <c r="B293" s="150" t="s">
        <v>161</v>
      </c>
      <c r="C293" s="150"/>
      <c r="D293" s="150"/>
      <c r="E293" s="150"/>
      <c r="F293" s="20">
        <f t="shared" ref="F293:AK293" si="351">F225-F144</f>
        <v>-4.4734754360764822E-4</v>
      </c>
      <c r="G293" s="20">
        <f t="shared" si="351"/>
        <v>-2.9222231378150915E-4</v>
      </c>
      <c r="H293" s="20">
        <f t="shared" si="351"/>
        <v>-1.1551525719267654E-2</v>
      </c>
      <c r="I293" s="20">
        <f t="shared" si="351"/>
        <v>-5.3446636709914128E-4</v>
      </c>
      <c r="J293" s="20">
        <f t="shared" si="351"/>
        <v>-4.8503680648695138E-4</v>
      </c>
      <c r="K293" s="20">
        <f t="shared" si="351"/>
        <v>-1.7078469399072889E-4</v>
      </c>
      <c r="L293" s="20">
        <f t="shared" si="351"/>
        <v>-3.7776030832616515E-4</v>
      </c>
      <c r="M293" s="20">
        <f t="shared" si="351"/>
        <v>-1.9829142714959262E-4</v>
      </c>
      <c r="N293" s="20">
        <f t="shared" si="351"/>
        <v>-4.665537952077668E-4</v>
      </c>
      <c r="O293" s="20">
        <f t="shared" si="351"/>
        <v>-4.0847738574473116E-4</v>
      </c>
      <c r="P293" s="20">
        <f t="shared" si="351"/>
        <v>-1.7219532596730338E-4</v>
      </c>
      <c r="Q293" s="20">
        <f t="shared" si="351"/>
        <v>-1.2295913756757198E-4</v>
      </c>
      <c r="R293" s="20">
        <f t="shared" si="351"/>
        <v>-1.9379293786786763E-4</v>
      </c>
      <c r="S293" s="20">
        <f t="shared" si="351"/>
        <v>-2.3265826715551096E-4</v>
      </c>
      <c r="T293" s="20">
        <f t="shared" si="351"/>
        <v>-2.6446442551367189E-5</v>
      </c>
      <c r="U293" s="20">
        <f t="shared" si="351"/>
        <v>-3.0052264105648779E-4</v>
      </c>
      <c r="V293" s="20">
        <f t="shared" si="351"/>
        <v>-6.9852866486125304E-5</v>
      </c>
      <c r="W293" s="20">
        <f t="shared" si="351"/>
        <v>-1.278751866489344E-4</v>
      </c>
      <c r="X293" s="20">
        <f t="shared" si="351"/>
        <v>-1.3394897425951185E-4</v>
      </c>
      <c r="Y293" s="20">
        <f t="shared" si="351"/>
        <v>-9.8379146503846572E-5</v>
      </c>
      <c r="Z293" s="20">
        <f t="shared" si="351"/>
        <v>-1.0890385071203901E-4</v>
      </c>
      <c r="AA293" s="20">
        <f t="shared" si="351"/>
        <v>-2.564423563960694E-4</v>
      </c>
      <c r="AB293" s="20">
        <f t="shared" si="351"/>
        <v>-4.7388523354190755E-4</v>
      </c>
      <c r="AC293" s="20">
        <f t="shared" si="351"/>
        <v>-9.9736683428590898E-4</v>
      </c>
      <c r="AD293" s="20">
        <f t="shared" si="351"/>
        <v>-4.8952516059422367E-4</v>
      </c>
      <c r="AE293" s="20">
        <f t="shared" si="351"/>
        <v>-1.1612831593548628E-3</v>
      </c>
      <c r="AF293" s="20">
        <f t="shared" si="351"/>
        <v>-1.9262057872837404E-3</v>
      </c>
      <c r="AG293" s="20">
        <f t="shared" si="351"/>
        <v>-4.4537364077771501E-4</v>
      </c>
      <c r="AH293" s="20">
        <f t="shared" si="351"/>
        <v>-1.5597616688837273E-3</v>
      </c>
      <c r="AI293" s="20">
        <f t="shared" si="351"/>
        <v>-5.7326282559964185E-3</v>
      </c>
      <c r="AJ293" s="20">
        <f t="shared" si="351"/>
        <v>-9.6534359718754271E-4</v>
      </c>
      <c r="AK293" s="20">
        <f t="shared" si="351"/>
        <v>-1.1644010181729471E-3</v>
      </c>
      <c r="AL293" s="20">
        <f t="shared" ref="AL293:BK293" si="352">AL225-AL144</f>
        <v>-7.379582468222595E-4</v>
      </c>
      <c r="AM293" s="20">
        <f t="shared" si="352"/>
        <v>-2.9134167987481283E-4</v>
      </c>
      <c r="AN293" s="20">
        <f t="shared" si="352"/>
        <v>-4.7220118498465184E-4</v>
      </c>
      <c r="AO293" s="20">
        <f t="shared" si="352"/>
        <v>-6.0224196526779722E-4</v>
      </c>
      <c r="AP293" s="20">
        <f t="shared" si="352"/>
        <v>-4.2464393736111141E-4</v>
      </c>
      <c r="AQ293" s="20">
        <f t="shared" si="352"/>
        <v>-6.8526191533068315E-4</v>
      </c>
      <c r="AR293" s="20">
        <f t="shared" si="352"/>
        <v>-2.9234410235197503E-4</v>
      </c>
      <c r="AS293" s="20">
        <f t="shared" si="352"/>
        <v>-1.9448840495572276E-2</v>
      </c>
      <c r="AT293" s="20">
        <f t="shared" si="352"/>
        <v>-3.470488480915405E-3</v>
      </c>
      <c r="AU293" s="20">
        <f t="shared" si="352"/>
        <v>-3.9176180882023731E-4</v>
      </c>
      <c r="AV293" s="20">
        <f t="shared" si="352"/>
        <v>-1.1738220386941169E-5</v>
      </c>
      <c r="AW293" s="20">
        <f t="shared" si="352"/>
        <v>-4.7176874306448661E-5</v>
      </c>
      <c r="AX293" s="20">
        <f t="shared" si="352"/>
        <v>0</v>
      </c>
      <c r="AY293" s="20">
        <f t="shared" si="352"/>
        <v>-1.0259785580773435E-3</v>
      </c>
      <c r="AZ293" s="20">
        <f t="shared" si="352"/>
        <v>-5.7940931326209161E-3</v>
      </c>
      <c r="BA293" s="20">
        <f t="shared" si="352"/>
        <v>-8.4775902691543159E-4</v>
      </c>
      <c r="BB293" s="20">
        <f t="shared" si="352"/>
        <v>-2.507048721819229E-3</v>
      </c>
      <c r="BC293" s="20">
        <f t="shared" si="352"/>
        <v>-7.2277609149950758E-4</v>
      </c>
      <c r="BD293" s="20">
        <f t="shared" si="352"/>
        <v>-1.3803431784626904E-3</v>
      </c>
      <c r="BE293" s="20">
        <f t="shared" si="352"/>
        <v>-6.0944714647156529E-4</v>
      </c>
      <c r="BF293" s="20">
        <f t="shared" si="352"/>
        <v>-8.2268468128477218E-5</v>
      </c>
      <c r="BG293" s="20">
        <f t="shared" si="352"/>
        <v>-6.0011009538592035E-4</v>
      </c>
      <c r="BH293" s="20">
        <f t="shared" si="352"/>
        <v>-2.8283815844356653E-3</v>
      </c>
      <c r="BI293" s="20">
        <f t="shared" si="352"/>
        <v>0.99587146408452265</v>
      </c>
      <c r="BJ293" s="20">
        <f t="shared" si="352"/>
        <v>-1.406983017612278E-4</v>
      </c>
      <c r="BK293" s="20">
        <f t="shared" si="352"/>
        <v>-4.5685030315546131E-4</v>
      </c>
      <c r="BL293" s="20">
        <f t="shared" ref="BL293:BR293" si="353">BL225-BL144</f>
        <v>-1.6983118779932747E-4</v>
      </c>
      <c r="BM293" s="20">
        <f t="shared" si="353"/>
        <v>-8.0294489819394911E-4</v>
      </c>
      <c r="BN293" s="20">
        <f t="shared" si="353"/>
        <v>-3.6720478179607345E-4</v>
      </c>
      <c r="BO293" s="20">
        <f t="shared" si="353"/>
        <v>-1.2510144875548721E-3</v>
      </c>
      <c r="BP293" s="20">
        <f t="shared" si="353"/>
        <v>-3.5578160578160576E-4</v>
      </c>
      <c r="BQ293" s="20">
        <f t="shared" si="353"/>
        <v>-4.3752602221301467E-4</v>
      </c>
      <c r="BR293" s="20">
        <f t="shared" si="353"/>
        <v>0</v>
      </c>
    </row>
    <row r="294" spans="1:70" outlineLevel="1" x14ac:dyDescent="0.3">
      <c r="A294" s="7">
        <v>57</v>
      </c>
      <c r="B294" s="150" t="s">
        <v>162</v>
      </c>
      <c r="C294" s="150"/>
      <c r="D294" s="150"/>
      <c r="E294" s="150"/>
      <c r="F294" s="20">
        <f t="shared" ref="F294:AK294" si="354">F226-F145</f>
        <v>-2.6548316317687691E-4</v>
      </c>
      <c r="G294" s="20">
        <f t="shared" si="354"/>
        <v>-1.7385679630032736E-4</v>
      </c>
      <c r="H294" s="20">
        <f t="shared" si="354"/>
        <v>-1.8692240627724498E-4</v>
      </c>
      <c r="I294" s="20">
        <f t="shared" si="354"/>
        <v>-5.8653753889372677E-4</v>
      </c>
      <c r="J294" s="20">
        <f t="shared" si="354"/>
        <v>-5.334715758783823E-4</v>
      </c>
      <c r="K294" s="20">
        <f t="shared" si="354"/>
        <v>-2.2597601166270169E-4</v>
      </c>
      <c r="L294" s="20">
        <f t="shared" si="354"/>
        <v>-2.2594585354975669E-4</v>
      </c>
      <c r="M294" s="20">
        <f t="shared" si="354"/>
        <v>-4.3639426052226953E-5</v>
      </c>
      <c r="N294" s="20">
        <f t="shared" si="354"/>
        <v>-6.5628567192559193E-4</v>
      </c>
      <c r="O294" s="20">
        <f t="shared" si="354"/>
        <v>-3.7833939680967859E-4</v>
      </c>
      <c r="P294" s="20">
        <f t="shared" si="354"/>
        <v>-1.2296711265773197E-4</v>
      </c>
      <c r="Q294" s="20">
        <f t="shared" si="354"/>
        <v>-1.2295913756757198E-4</v>
      </c>
      <c r="R294" s="20">
        <f t="shared" si="354"/>
        <v>-1.8469855938430728E-4</v>
      </c>
      <c r="S294" s="20">
        <f t="shared" si="354"/>
        <v>-5.203258073027549E-4</v>
      </c>
      <c r="T294" s="20">
        <f t="shared" si="354"/>
        <v>-1.472339959584887E-4</v>
      </c>
      <c r="U294" s="20">
        <f t="shared" si="354"/>
        <v>-2.4430732927932058E-4</v>
      </c>
      <c r="V294" s="20">
        <f t="shared" si="354"/>
        <v>-1.2968699514953941E-4</v>
      </c>
      <c r="W294" s="20">
        <f t="shared" si="354"/>
        <v>-6.0281456242984002E-4</v>
      </c>
      <c r="X294" s="20">
        <f t="shared" si="354"/>
        <v>-1.4312519402640011E-4</v>
      </c>
      <c r="Y294" s="20">
        <f t="shared" si="354"/>
        <v>-3.5315591052662871E-5</v>
      </c>
      <c r="Z294" s="20">
        <f t="shared" si="354"/>
        <v>-8.2745572844931587E-5</v>
      </c>
      <c r="AA294" s="20">
        <f t="shared" si="354"/>
        <v>-2.4265024384758106E-4</v>
      </c>
      <c r="AB294" s="20">
        <f t="shared" si="354"/>
        <v>-8.9960508269103104E-4</v>
      </c>
      <c r="AC294" s="20">
        <f t="shared" si="354"/>
        <v>-1.2127835511536521E-3</v>
      </c>
      <c r="AD294" s="20">
        <f t="shared" si="354"/>
        <v>-4.1102987245229274E-4</v>
      </c>
      <c r="AE294" s="20">
        <f t="shared" si="354"/>
        <v>-4.6186969232227558E-4</v>
      </c>
      <c r="AF294" s="20">
        <f t="shared" si="354"/>
        <v>-9.7703100190557157E-4</v>
      </c>
      <c r="AG294" s="20">
        <f t="shared" si="354"/>
        <v>-4.5156347959725962E-4</v>
      </c>
      <c r="AH294" s="20">
        <f t="shared" si="354"/>
        <v>-4.7105949784347707E-4</v>
      </c>
      <c r="AI294" s="20">
        <f t="shared" si="354"/>
        <v>-1.2207192177177508E-3</v>
      </c>
      <c r="AJ294" s="20">
        <f t="shared" si="354"/>
        <v>-7.8123814234787575E-4</v>
      </c>
      <c r="AK294" s="20">
        <f t="shared" si="354"/>
        <v>-1.4219677286263009E-3</v>
      </c>
      <c r="AL294" s="20">
        <f t="shared" ref="AL294:BK294" si="355">AL226-AL145</f>
        <v>-1.1997485183284843E-3</v>
      </c>
      <c r="AM294" s="20">
        <f t="shared" si="355"/>
        <v>0</v>
      </c>
      <c r="AN294" s="20">
        <f t="shared" si="355"/>
        <v>-3.6041875866297561E-3</v>
      </c>
      <c r="AO294" s="20">
        <f t="shared" si="355"/>
        <v>-5.5093251701933323E-4</v>
      </c>
      <c r="AP294" s="20">
        <f t="shared" si="355"/>
        <v>-6.3175555098202163E-4</v>
      </c>
      <c r="AQ294" s="20">
        <f t="shared" si="355"/>
        <v>-9.3871255476844274E-4</v>
      </c>
      <c r="AR294" s="20">
        <f t="shared" si="355"/>
        <v>-1.8383713158274611E-3</v>
      </c>
      <c r="AS294" s="20">
        <f t="shared" si="355"/>
        <v>-5.8501136943951162E-4</v>
      </c>
      <c r="AT294" s="20">
        <f t="shared" si="355"/>
        <v>-1.7688372846879101E-3</v>
      </c>
      <c r="AU294" s="20">
        <f t="shared" si="355"/>
        <v>-2.1208158071471493E-3</v>
      </c>
      <c r="AV294" s="20">
        <f t="shared" si="355"/>
        <v>-4.3660001828691175E-3</v>
      </c>
      <c r="AW294" s="20">
        <f t="shared" si="355"/>
        <v>-1.1564487710424242E-2</v>
      </c>
      <c r="AX294" s="20">
        <f t="shared" si="355"/>
        <v>-3.0140126481096445E-3</v>
      </c>
      <c r="AY294" s="20">
        <f t="shared" si="355"/>
        <v>-1.2945815204693469E-4</v>
      </c>
      <c r="AZ294" s="20">
        <f t="shared" si="355"/>
        <v>-1.0615691464573975E-3</v>
      </c>
      <c r="BA294" s="20">
        <f t="shared" si="355"/>
        <v>-1.2311022468783717E-3</v>
      </c>
      <c r="BB294" s="20">
        <f t="shared" si="355"/>
        <v>-1.44189180541387E-2</v>
      </c>
      <c r="BC294" s="20">
        <f t="shared" si="355"/>
        <v>-1.6654339418522149E-3</v>
      </c>
      <c r="BD294" s="20">
        <f t="shared" si="355"/>
        <v>-7.4032735467190365E-4</v>
      </c>
      <c r="BE294" s="20">
        <f t="shared" si="355"/>
        <v>-3.2096448635313688E-4</v>
      </c>
      <c r="BF294" s="20">
        <f t="shared" si="355"/>
        <v>-1.8882572208536201E-3</v>
      </c>
      <c r="BG294" s="20">
        <f t="shared" si="355"/>
        <v>-1.04116845496467E-3</v>
      </c>
      <c r="BH294" s="20">
        <f t="shared" si="355"/>
        <v>-1.050215330008847E-3</v>
      </c>
      <c r="BI294" s="20">
        <f t="shared" si="355"/>
        <v>-7.3042763951087298E-3</v>
      </c>
      <c r="BJ294" s="20">
        <f t="shared" si="355"/>
        <v>0.984780277863741</v>
      </c>
      <c r="BK294" s="20">
        <f t="shared" si="355"/>
        <v>-1.946702283657239E-3</v>
      </c>
      <c r="BL294" s="20">
        <f t="shared" ref="BL294:BR294" si="356">BL226-BL145</f>
        <v>-6.8471938892740612E-3</v>
      </c>
      <c r="BM294" s="20">
        <f t="shared" si="356"/>
        <v>-1.1471298746117567E-3</v>
      </c>
      <c r="BN294" s="20">
        <f t="shared" si="356"/>
        <v>-3.6920878863091556E-3</v>
      </c>
      <c r="BO294" s="20">
        <f t="shared" si="356"/>
        <v>-2.1338989054744215E-2</v>
      </c>
      <c r="BP294" s="20">
        <f t="shared" si="356"/>
        <v>-7.5796950796950798E-4</v>
      </c>
      <c r="BQ294" s="20">
        <f t="shared" si="356"/>
        <v>-2.7622610618978344E-4</v>
      </c>
      <c r="BR294" s="20">
        <f t="shared" si="356"/>
        <v>0</v>
      </c>
    </row>
    <row r="295" spans="1:70" outlineLevel="1" x14ac:dyDescent="0.3">
      <c r="A295" s="7">
        <v>58</v>
      </c>
      <c r="B295" s="150" t="s">
        <v>163</v>
      </c>
      <c r="C295" s="150"/>
      <c r="D295" s="150"/>
      <c r="E295" s="150"/>
      <c r="F295" s="20">
        <f t="shared" ref="F295:AK295" si="357">F227-F146</f>
        <v>0</v>
      </c>
      <c r="G295" s="20">
        <f t="shared" si="357"/>
        <v>-5.1204398910370387E-5</v>
      </c>
      <c r="H295" s="20">
        <f t="shared" si="357"/>
        <v>-1.6878814298169136E-4</v>
      </c>
      <c r="I295" s="20">
        <f t="shared" si="357"/>
        <v>-4.8829004494167869E-4</v>
      </c>
      <c r="J295" s="20">
        <f t="shared" si="357"/>
        <v>-1.8384538991564475E-4</v>
      </c>
      <c r="K295" s="20">
        <f t="shared" si="357"/>
        <v>-8.4222588817345773E-5</v>
      </c>
      <c r="L295" s="20">
        <f t="shared" si="357"/>
        <v>-4.1788647830439955E-5</v>
      </c>
      <c r="M295" s="20">
        <f t="shared" si="357"/>
        <v>-5.2571472320226613E-5</v>
      </c>
      <c r="N295" s="20">
        <f t="shared" si="357"/>
        <v>-5.52088657662524E-4</v>
      </c>
      <c r="O295" s="20">
        <f t="shared" si="357"/>
        <v>-3.2882698641637783E-4</v>
      </c>
      <c r="P295" s="20">
        <f t="shared" si="357"/>
        <v>-4.5401650510298007E-5</v>
      </c>
      <c r="Q295" s="20">
        <f t="shared" si="357"/>
        <v>-1.1110765442852888E-6</v>
      </c>
      <c r="R295" s="20">
        <f t="shared" si="357"/>
        <v>-6.8455867130799654E-5</v>
      </c>
      <c r="S295" s="20">
        <f t="shared" si="357"/>
        <v>-1.0525583836513394E-4</v>
      </c>
      <c r="T295" s="20">
        <f t="shared" si="357"/>
        <v>-1.0671371555814831E-5</v>
      </c>
      <c r="U295" s="20">
        <f t="shared" si="357"/>
        <v>-8.9502928418631861E-5</v>
      </c>
      <c r="V295" s="20">
        <f t="shared" si="357"/>
        <v>-5.810867937172496E-5</v>
      </c>
      <c r="W295" s="20">
        <f t="shared" si="357"/>
        <v>-8.4503364407810189E-5</v>
      </c>
      <c r="X295" s="20">
        <f t="shared" si="357"/>
        <v>-4.0160857940796702E-5</v>
      </c>
      <c r="Y295" s="20">
        <f t="shared" si="357"/>
        <v>-1.1591682097217576E-4</v>
      </c>
      <c r="Z295" s="20">
        <f t="shared" si="357"/>
        <v>0</v>
      </c>
      <c r="AA295" s="20">
        <f t="shared" si="357"/>
        <v>-1.4261953745195116E-4</v>
      </c>
      <c r="AB295" s="20">
        <f t="shared" si="357"/>
        <v>-2.5403355962000618E-4</v>
      </c>
      <c r="AC295" s="20">
        <f t="shared" si="357"/>
        <v>-7.5025887002414253E-4</v>
      </c>
      <c r="AD295" s="20">
        <f t="shared" si="357"/>
        <v>0</v>
      </c>
      <c r="AE295" s="20">
        <f t="shared" si="357"/>
        <v>-1.1556183634555709E-4</v>
      </c>
      <c r="AF295" s="20">
        <f t="shared" si="357"/>
        <v>-2.9919639973877057E-5</v>
      </c>
      <c r="AG295" s="20">
        <f t="shared" si="357"/>
        <v>-2.7117389114195747E-4</v>
      </c>
      <c r="AH295" s="20">
        <f t="shared" si="357"/>
        <v>-2.5067424614314872E-4</v>
      </c>
      <c r="AI295" s="20">
        <f t="shared" si="357"/>
        <v>-3.1067278542167958E-4</v>
      </c>
      <c r="AJ295" s="20">
        <f t="shared" si="357"/>
        <v>-4.1362478364173139E-4</v>
      </c>
      <c r="AK295" s="20">
        <f t="shared" si="357"/>
        <v>-9.3062727935889057E-4</v>
      </c>
      <c r="AL295" s="20">
        <f t="shared" ref="AL295:BK295" si="358">AL227-AL146</f>
        <v>-1.7663349995735803E-4</v>
      </c>
      <c r="AM295" s="20">
        <f t="shared" si="358"/>
        <v>0</v>
      </c>
      <c r="AN295" s="20">
        <f t="shared" si="358"/>
        <v>-2.1823878700803716E-4</v>
      </c>
      <c r="AO295" s="20">
        <f t="shared" si="358"/>
        <v>-1.4931264124186898E-4</v>
      </c>
      <c r="AP295" s="20">
        <f t="shared" si="358"/>
        <v>-1.8679122888829258E-3</v>
      </c>
      <c r="AQ295" s="20">
        <f t="shared" si="358"/>
        <v>-1.0138025577510388E-3</v>
      </c>
      <c r="AR295" s="20">
        <f t="shared" si="358"/>
        <v>-1.5708946578664218E-4</v>
      </c>
      <c r="AS295" s="20">
        <f t="shared" si="358"/>
        <v>-8.3997820516727834E-5</v>
      </c>
      <c r="AT295" s="20">
        <f t="shared" si="358"/>
        <v>-1.4388525139310057E-5</v>
      </c>
      <c r="AU295" s="20">
        <f t="shared" si="358"/>
        <v>-5.1821124335351472E-4</v>
      </c>
      <c r="AV295" s="20">
        <f t="shared" si="358"/>
        <v>-5.3130892277733709E-5</v>
      </c>
      <c r="AW295" s="20">
        <f t="shared" si="358"/>
        <v>-7.8559751562477559E-4</v>
      </c>
      <c r="AX295" s="20">
        <f t="shared" si="358"/>
        <v>-4.4135841935414189E-3</v>
      </c>
      <c r="AY295" s="20">
        <f t="shared" si="358"/>
        <v>-2.5578832068509699E-5</v>
      </c>
      <c r="AZ295" s="20">
        <f t="shared" si="358"/>
        <v>-4.1088704201273403E-4</v>
      </c>
      <c r="BA295" s="20">
        <f t="shared" si="358"/>
        <v>-6.5892328931836978E-4</v>
      </c>
      <c r="BB295" s="20">
        <f t="shared" si="358"/>
        <v>-7.530180575266044E-3</v>
      </c>
      <c r="BC295" s="20">
        <f t="shared" si="358"/>
        <v>-7.220586958751904E-4</v>
      </c>
      <c r="BD295" s="20">
        <f t="shared" si="358"/>
        <v>-5.5383267754081336E-4</v>
      </c>
      <c r="BE295" s="20">
        <f t="shared" si="358"/>
        <v>-4.6795851355088566E-4</v>
      </c>
      <c r="BF295" s="20">
        <f t="shared" si="358"/>
        <v>-1.5637538187912932E-3</v>
      </c>
      <c r="BG295" s="20">
        <f t="shared" si="358"/>
        <v>-7.4449748675696896E-5</v>
      </c>
      <c r="BH295" s="20">
        <f t="shared" si="358"/>
        <v>-1.0640304570415969E-3</v>
      </c>
      <c r="BI295" s="20">
        <f t="shared" si="358"/>
        <v>-4.5495249142081008E-3</v>
      </c>
      <c r="BJ295" s="20">
        <f t="shared" si="358"/>
        <v>-3.8926530153939689E-3</v>
      </c>
      <c r="BK295" s="20">
        <f t="shared" si="358"/>
        <v>0.96411637722909516</v>
      </c>
      <c r="BL295" s="20">
        <f t="shared" ref="BL295:BR295" si="359">BL227-BL146</f>
        <v>-1.0576486971949881E-2</v>
      </c>
      <c r="BM295" s="20">
        <f t="shared" si="359"/>
        <v>-2.2684918900264581E-4</v>
      </c>
      <c r="BN295" s="20">
        <f t="shared" si="359"/>
        <v>-3.247669899994165E-3</v>
      </c>
      <c r="BO295" s="20">
        <f t="shared" si="359"/>
        <v>-1.7290006681045112E-3</v>
      </c>
      <c r="BP295" s="20">
        <f t="shared" si="359"/>
        <v>-4.145629145629146E-4</v>
      </c>
      <c r="BQ295" s="20">
        <f t="shared" si="359"/>
        <v>-3.992172921574973E-4</v>
      </c>
      <c r="BR295" s="20">
        <f t="shared" si="359"/>
        <v>0</v>
      </c>
    </row>
    <row r="296" spans="1:70" outlineLevel="1" x14ac:dyDescent="0.3">
      <c r="A296" s="7">
        <v>59</v>
      </c>
      <c r="B296" s="150" t="s">
        <v>164</v>
      </c>
      <c r="C296" s="150"/>
      <c r="D296" s="150"/>
      <c r="E296" s="150"/>
      <c r="F296" s="20">
        <f t="shared" ref="F296:BK296" si="360">F228-F147</f>
        <v>0</v>
      </c>
      <c r="G296" s="20">
        <f t="shared" si="360"/>
        <v>0</v>
      </c>
      <c r="H296" s="20">
        <f t="shared" si="360"/>
        <v>0</v>
      </c>
      <c r="I296" s="20">
        <f t="shared" si="360"/>
        <v>0</v>
      </c>
      <c r="J296" s="20">
        <f t="shared" si="360"/>
        <v>0</v>
      </c>
      <c r="K296" s="20">
        <f t="shared" si="360"/>
        <v>0</v>
      </c>
      <c r="L296" s="20">
        <f t="shared" si="360"/>
        <v>0</v>
      </c>
      <c r="M296" s="20">
        <f t="shared" si="360"/>
        <v>0</v>
      </c>
      <c r="N296" s="20">
        <f t="shared" si="360"/>
        <v>0</v>
      </c>
      <c r="O296" s="20">
        <f t="shared" si="360"/>
        <v>0</v>
      </c>
      <c r="P296" s="20">
        <f t="shared" si="360"/>
        <v>0</v>
      </c>
      <c r="Q296" s="20">
        <f t="shared" si="360"/>
        <v>0</v>
      </c>
      <c r="R296" s="20">
        <f t="shared" si="360"/>
        <v>0</v>
      </c>
      <c r="S296" s="20">
        <f t="shared" si="360"/>
        <v>0</v>
      </c>
      <c r="T296" s="20">
        <f t="shared" si="360"/>
        <v>0</v>
      </c>
      <c r="U296" s="20">
        <f t="shared" si="360"/>
        <v>0</v>
      </c>
      <c r="V296" s="20">
        <f t="shared" si="360"/>
        <v>0</v>
      </c>
      <c r="W296" s="20">
        <f t="shared" si="360"/>
        <v>0</v>
      </c>
      <c r="X296" s="20">
        <f t="shared" si="360"/>
        <v>0</v>
      </c>
      <c r="Y296" s="20">
        <f t="shared" si="360"/>
        <v>0</v>
      </c>
      <c r="Z296" s="20">
        <f t="shared" si="360"/>
        <v>0</v>
      </c>
      <c r="AA296" s="20">
        <f t="shared" si="360"/>
        <v>0</v>
      </c>
      <c r="AB296" s="20">
        <f t="shared" si="360"/>
        <v>0</v>
      </c>
      <c r="AC296" s="20">
        <f t="shared" si="360"/>
        <v>0</v>
      </c>
      <c r="AD296" s="20">
        <f t="shared" si="360"/>
        <v>0</v>
      </c>
      <c r="AE296" s="20">
        <f t="shared" si="360"/>
        <v>0</v>
      </c>
      <c r="AF296" s="20">
        <f t="shared" si="360"/>
        <v>0</v>
      </c>
      <c r="AG296" s="20">
        <f t="shared" si="360"/>
        <v>0</v>
      </c>
      <c r="AH296" s="20">
        <f t="shared" si="360"/>
        <v>0</v>
      </c>
      <c r="AI296" s="20">
        <f t="shared" si="360"/>
        <v>0</v>
      </c>
      <c r="AJ296" s="20">
        <f t="shared" si="360"/>
        <v>0</v>
      </c>
      <c r="AK296" s="20">
        <f t="shared" si="360"/>
        <v>0</v>
      </c>
      <c r="AL296" s="20">
        <f t="shared" si="360"/>
        <v>0</v>
      </c>
      <c r="AM296" s="20">
        <f t="shared" si="360"/>
        <v>0</v>
      </c>
      <c r="AN296" s="20">
        <f t="shared" si="360"/>
        <v>0</v>
      </c>
      <c r="AO296" s="20">
        <f t="shared" si="360"/>
        <v>0</v>
      </c>
      <c r="AP296" s="20">
        <f t="shared" si="360"/>
        <v>0</v>
      </c>
      <c r="AQ296" s="20">
        <f t="shared" si="360"/>
        <v>0</v>
      </c>
      <c r="AR296" s="20">
        <f t="shared" si="360"/>
        <v>0</v>
      </c>
      <c r="AS296" s="20">
        <f t="shared" si="360"/>
        <v>0</v>
      </c>
      <c r="AT296" s="20">
        <f t="shared" si="360"/>
        <v>0</v>
      </c>
      <c r="AU296" s="20">
        <f t="shared" si="360"/>
        <v>0</v>
      </c>
      <c r="AV296" s="20">
        <f t="shared" si="360"/>
        <v>0</v>
      </c>
      <c r="AW296" s="20">
        <f t="shared" si="360"/>
        <v>0</v>
      </c>
      <c r="AX296" s="20">
        <f t="shared" si="360"/>
        <v>0</v>
      </c>
      <c r="AY296" s="20">
        <f t="shared" si="360"/>
        <v>0</v>
      </c>
      <c r="AZ296" s="20">
        <f t="shared" si="360"/>
        <v>0</v>
      </c>
      <c r="BA296" s="20">
        <f t="shared" si="360"/>
        <v>0</v>
      </c>
      <c r="BB296" s="20">
        <f t="shared" si="360"/>
        <v>-1.7315952132685363E-5</v>
      </c>
      <c r="BC296" s="20">
        <f t="shared" si="360"/>
        <v>0</v>
      </c>
      <c r="BD296" s="20">
        <f t="shared" si="360"/>
        <v>0</v>
      </c>
      <c r="BE296" s="20">
        <f t="shared" si="360"/>
        <v>0</v>
      </c>
      <c r="BF296" s="20">
        <f t="shared" si="360"/>
        <v>0</v>
      </c>
      <c r="BG296" s="20">
        <f t="shared" si="360"/>
        <v>0</v>
      </c>
      <c r="BH296" s="20">
        <f t="shared" si="360"/>
        <v>0</v>
      </c>
      <c r="BI296" s="20">
        <f t="shared" si="360"/>
        <v>-1.303644032107154E-3</v>
      </c>
      <c r="BJ296" s="20">
        <f t="shared" si="360"/>
        <v>-2.0311676977695496E-5</v>
      </c>
      <c r="BK296" s="20">
        <f t="shared" si="360"/>
        <v>-3.5656609026767711E-6</v>
      </c>
      <c r="BL296" s="20">
        <f t="shared" ref="BL296:BR296" si="361">BL228-BL147</f>
        <v>0.99669328687284842</v>
      </c>
      <c r="BM296" s="20">
        <f t="shared" si="361"/>
        <v>-1.012308754170022E-5</v>
      </c>
      <c r="BN296" s="20">
        <f t="shared" si="361"/>
        <v>0</v>
      </c>
      <c r="BO296" s="20">
        <f t="shared" si="361"/>
        <v>0</v>
      </c>
      <c r="BP296" s="20">
        <f t="shared" si="361"/>
        <v>0</v>
      </c>
      <c r="BQ296" s="20">
        <f t="shared" si="361"/>
        <v>-6.4519966409292486E-5</v>
      </c>
      <c r="BR296" s="20">
        <f t="shared" si="361"/>
        <v>0</v>
      </c>
    </row>
    <row r="297" spans="1:70" outlineLevel="1" x14ac:dyDescent="0.3">
      <c r="A297" s="7">
        <v>60</v>
      </c>
      <c r="B297" s="150" t="s">
        <v>165</v>
      </c>
      <c r="C297" s="150"/>
      <c r="D297" s="150"/>
      <c r="E297" s="150"/>
      <c r="F297" s="20">
        <f t="shared" ref="F297:BK297" si="362">F229-F148</f>
        <v>0</v>
      </c>
      <c r="G297" s="20">
        <f t="shared" si="362"/>
        <v>0</v>
      </c>
      <c r="H297" s="20">
        <f t="shared" si="362"/>
        <v>0</v>
      </c>
      <c r="I297" s="20">
        <f t="shared" si="362"/>
        <v>0</v>
      </c>
      <c r="J297" s="20">
        <f t="shared" si="362"/>
        <v>0</v>
      </c>
      <c r="K297" s="20">
        <f t="shared" si="362"/>
        <v>0</v>
      </c>
      <c r="L297" s="20">
        <f t="shared" si="362"/>
        <v>-1.4516454336758615E-4</v>
      </c>
      <c r="M297" s="20">
        <f t="shared" si="362"/>
        <v>0</v>
      </c>
      <c r="N297" s="20">
        <f t="shared" si="362"/>
        <v>-1.3789256613918442E-4</v>
      </c>
      <c r="O297" s="20">
        <f t="shared" si="362"/>
        <v>0</v>
      </c>
      <c r="P297" s="20">
        <f t="shared" si="362"/>
        <v>0</v>
      </c>
      <c r="Q297" s="20">
        <f t="shared" si="362"/>
        <v>0</v>
      </c>
      <c r="R297" s="20">
        <f t="shared" si="362"/>
        <v>-8.1022644671719404E-6</v>
      </c>
      <c r="S297" s="20">
        <f t="shared" si="362"/>
        <v>0</v>
      </c>
      <c r="T297" s="20">
        <f t="shared" si="362"/>
        <v>0</v>
      </c>
      <c r="U297" s="20">
        <f t="shared" si="362"/>
        <v>0</v>
      </c>
      <c r="V297" s="20">
        <f t="shared" si="362"/>
        <v>-1.7254492916891509E-6</v>
      </c>
      <c r="W297" s="20">
        <f t="shared" si="362"/>
        <v>0</v>
      </c>
      <c r="X297" s="20">
        <f t="shared" si="362"/>
        <v>0</v>
      </c>
      <c r="Y297" s="20">
        <f t="shared" si="362"/>
        <v>0</v>
      </c>
      <c r="Z297" s="20">
        <f t="shared" si="362"/>
        <v>0</v>
      </c>
      <c r="AA297" s="20">
        <f t="shared" si="362"/>
        <v>-4.8802859786958844E-5</v>
      </c>
      <c r="AB297" s="20">
        <f t="shared" si="362"/>
        <v>0</v>
      </c>
      <c r="AC297" s="20">
        <f t="shared" si="362"/>
        <v>0</v>
      </c>
      <c r="AD297" s="20">
        <f t="shared" si="362"/>
        <v>0</v>
      </c>
      <c r="AE297" s="20">
        <f t="shared" si="362"/>
        <v>0</v>
      </c>
      <c r="AF297" s="20">
        <f t="shared" si="362"/>
        <v>0</v>
      </c>
      <c r="AG297" s="20">
        <f t="shared" si="362"/>
        <v>0</v>
      </c>
      <c r="AH297" s="20">
        <f t="shared" si="362"/>
        <v>0</v>
      </c>
      <c r="AI297" s="20">
        <f t="shared" si="362"/>
        <v>-2.0336804045695473E-4</v>
      </c>
      <c r="AJ297" s="20">
        <f t="shared" si="362"/>
        <v>-1.5458643676410851E-4</v>
      </c>
      <c r="AK297" s="20">
        <f t="shared" si="362"/>
        <v>-3.314392119185956E-5</v>
      </c>
      <c r="AL297" s="20">
        <f t="shared" si="362"/>
        <v>0</v>
      </c>
      <c r="AM297" s="20">
        <f t="shared" si="362"/>
        <v>0</v>
      </c>
      <c r="AN297" s="20">
        <f t="shared" si="362"/>
        <v>0</v>
      </c>
      <c r="AO297" s="20">
        <f t="shared" si="362"/>
        <v>0</v>
      </c>
      <c r="AP297" s="20">
        <f t="shared" si="362"/>
        <v>-2.2795303385949236E-4</v>
      </c>
      <c r="AQ297" s="20">
        <f t="shared" si="362"/>
        <v>-2.5472839473326772E-3</v>
      </c>
      <c r="AR297" s="20">
        <f t="shared" si="362"/>
        <v>-1.3058440920410833E-3</v>
      </c>
      <c r="AS297" s="20">
        <f t="shared" si="362"/>
        <v>-5.6598177470297845E-3</v>
      </c>
      <c r="AT297" s="20">
        <f t="shared" si="362"/>
        <v>-1.4245829022225992E-4</v>
      </c>
      <c r="AU297" s="20">
        <f t="shared" si="362"/>
        <v>-3.4294938151288232E-4</v>
      </c>
      <c r="AV297" s="20">
        <f t="shared" si="362"/>
        <v>-8.3248694586332772E-5</v>
      </c>
      <c r="AW297" s="20">
        <f t="shared" si="362"/>
        <v>0</v>
      </c>
      <c r="AX297" s="20">
        <f t="shared" si="362"/>
        <v>0</v>
      </c>
      <c r="AY297" s="20">
        <f t="shared" si="362"/>
        <v>-2.2198591933223407E-6</v>
      </c>
      <c r="AZ297" s="20">
        <f t="shared" si="362"/>
        <v>-3.1036218241467371E-4</v>
      </c>
      <c r="BA297" s="20">
        <f t="shared" si="362"/>
        <v>0</v>
      </c>
      <c r="BB297" s="20">
        <f t="shared" si="362"/>
        <v>-7.1974131473248734E-4</v>
      </c>
      <c r="BC297" s="20">
        <f t="shared" si="362"/>
        <v>0</v>
      </c>
      <c r="BD297" s="20">
        <f t="shared" si="362"/>
        <v>0</v>
      </c>
      <c r="BE297" s="20">
        <f t="shared" si="362"/>
        <v>-2.2021577108276974E-5</v>
      </c>
      <c r="BF297" s="20">
        <f t="shared" si="362"/>
        <v>-9.1409409031641353E-6</v>
      </c>
      <c r="BG297" s="20">
        <f t="shared" si="362"/>
        <v>-5.7597032839107332E-3</v>
      </c>
      <c r="BH297" s="20">
        <f t="shared" si="362"/>
        <v>-1.5188669470428985E-3</v>
      </c>
      <c r="BI297" s="20">
        <f t="shared" si="362"/>
        <v>-1.1193147612492526E-3</v>
      </c>
      <c r="BJ297" s="20">
        <f t="shared" si="362"/>
        <v>-1.2056920165524191E-3</v>
      </c>
      <c r="BK297" s="20">
        <f t="shared" si="362"/>
        <v>-1.1083262639153631E-4</v>
      </c>
      <c r="BL297" s="20">
        <f t="shared" ref="BL297:BR297" si="363">BL229-BL148</f>
        <v>-1.9410705758476075E-3</v>
      </c>
      <c r="BM297" s="20">
        <f t="shared" si="363"/>
        <v>0.86589301737029789</v>
      </c>
      <c r="BN297" s="20">
        <f t="shared" si="363"/>
        <v>-1.3527635548959362E-2</v>
      </c>
      <c r="BO297" s="20">
        <f t="shared" si="363"/>
        <v>-2.7351929656217631E-3</v>
      </c>
      <c r="BP297" s="20">
        <f t="shared" si="363"/>
        <v>0</v>
      </c>
      <c r="BQ297" s="20">
        <f t="shared" si="363"/>
        <v>0</v>
      </c>
      <c r="BR297" s="20">
        <f t="shared" si="363"/>
        <v>0</v>
      </c>
    </row>
    <row r="298" spans="1:70" outlineLevel="1" x14ac:dyDescent="0.3">
      <c r="A298" s="7">
        <v>61</v>
      </c>
      <c r="B298" s="150" t="s">
        <v>166</v>
      </c>
      <c r="C298" s="150"/>
      <c r="D298" s="150"/>
      <c r="E298" s="150"/>
      <c r="F298" s="20">
        <f t="shared" ref="F298:BK298" si="364">F230-F149</f>
        <v>-5.1776336065700027E-7</v>
      </c>
      <c r="G298" s="20">
        <f t="shared" si="364"/>
        <v>0</v>
      </c>
      <c r="H298" s="20">
        <f t="shared" si="364"/>
        <v>-6.9747166521360074E-6</v>
      </c>
      <c r="I298" s="20">
        <f t="shared" si="364"/>
        <v>0</v>
      </c>
      <c r="J298" s="20">
        <f t="shared" si="364"/>
        <v>0</v>
      </c>
      <c r="K298" s="20">
        <f t="shared" si="364"/>
        <v>0</v>
      </c>
      <c r="L298" s="20">
        <f t="shared" si="364"/>
        <v>0</v>
      </c>
      <c r="M298" s="20">
        <f t="shared" si="364"/>
        <v>0</v>
      </c>
      <c r="N298" s="20">
        <f t="shared" si="364"/>
        <v>-7.2575034810097059E-6</v>
      </c>
      <c r="O298" s="20">
        <f t="shared" si="364"/>
        <v>-1.6145351215206766E-6</v>
      </c>
      <c r="P298" s="20">
        <f t="shared" si="364"/>
        <v>0</v>
      </c>
      <c r="Q298" s="20">
        <f t="shared" si="364"/>
        <v>0</v>
      </c>
      <c r="R298" s="20">
        <f t="shared" si="364"/>
        <v>0</v>
      </c>
      <c r="S298" s="20">
        <f t="shared" si="364"/>
        <v>0</v>
      </c>
      <c r="T298" s="20">
        <f t="shared" si="364"/>
        <v>0</v>
      </c>
      <c r="U298" s="20">
        <f t="shared" si="364"/>
        <v>0</v>
      </c>
      <c r="V298" s="20">
        <f t="shared" si="364"/>
        <v>-2.1651605627970313E-5</v>
      </c>
      <c r="W298" s="20">
        <f t="shared" si="364"/>
        <v>0</v>
      </c>
      <c r="X298" s="20">
        <f t="shared" si="364"/>
        <v>-3.0865466488624167E-5</v>
      </c>
      <c r="Y298" s="20">
        <f t="shared" si="364"/>
        <v>0</v>
      </c>
      <c r="Z298" s="20">
        <f t="shared" si="364"/>
        <v>-2.6692120272558576E-6</v>
      </c>
      <c r="AA298" s="20">
        <f t="shared" si="364"/>
        <v>-1.3185865843060308E-5</v>
      </c>
      <c r="AB298" s="20">
        <f t="shared" si="364"/>
        <v>0</v>
      </c>
      <c r="AC298" s="20">
        <f t="shared" si="364"/>
        <v>-4.1882705807079038E-7</v>
      </c>
      <c r="AD298" s="20">
        <f t="shared" si="364"/>
        <v>-8.5631223427560982E-6</v>
      </c>
      <c r="AE298" s="20">
        <f t="shared" si="364"/>
        <v>0</v>
      </c>
      <c r="AF298" s="20">
        <f t="shared" si="364"/>
        <v>-9.2854055091342603E-6</v>
      </c>
      <c r="AG298" s="20">
        <f t="shared" si="364"/>
        <v>0</v>
      </c>
      <c r="AH298" s="20">
        <f t="shared" si="364"/>
        <v>0</v>
      </c>
      <c r="AI298" s="20">
        <f t="shared" si="364"/>
        <v>-1.2467789414948981E-3</v>
      </c>
      <c r="AJ298" s="20">
        <f t="shared" si="364"/>
        <v>-4.2724894583045066E-4</v>
      </c>
      <c r="AK298" s="20">
        <f t="shared" si="364"/>
        <v>-5.5752439221165638E-4</v>
      </c>
      <c r="AL298" s="20">
        <f t="shared" si="364"/>
        <v>0</v>
      </c>
      <c r="AM298" s="20">
        <f t="shared" si="364"/>
        <v>-1.084377672501745E-2</v>
      </c>
      <c r="AN298" s="20">
        <f t="shared" si="364"/>
        <v>-5.1961615954294567E-6</v>
      </c>
      <c r="AO298" s="20">
        <f t="shared" si="364"/>
        <v>0</v>
      </c>
      <c r="AP298" s="20">
        <f t="shared" si="364"/>
        <v>0</v>
      </c>
      <c r="AQ298" s="20">
        <f t="shared" si="364"/>
        <v>0</v>
      </c>
      <c r="AR298" s="20">
        <f t="shared" si="364"/>
        <v>-5.6285337548264063E-4</v>
      </c>
      <c r="AS298" s="20">
        <f t="shared" si="364"/>
        <v>-1.0570345201308582E-3</v>
      </c>
      <c r="AT298" s="20">
        <f t="shared" si="364"/>
        <v>-6.0170196037114786E-5</v>
      </c>
      <c r="AU298" s="20">
        <f t="shared" si="364"/>
        <v>-2.9708253171545384E-4</v>
      </c>
      <c r="AV298" s="20">
        <f t="shared" si="364"/>
        <v>-1.0935078992045194E-4</v>
      </c>
      <c r="AW298" s="20">
        <f t="shared" si="364"/>
        <v>-1.41530622919346E-4</v>
      </c>
      <c r="AX298" s="20">
        <f t="shared" si="364"/>
        <v>-1.3079016528023255E-4</v>
      </c>
      <c r="AY298" s="20">
        <f t="shared" si="364"/>
        <v>0</v>
      </c>
      <c r="AZ298" s="20">
        <f t="shared" si="364"/>
        <v>-7.509406730239209E-5</v>
      </c>
      <c r="BA298" s="20">
        <f t="shared" si="364"/>
        <v>-1.5680706125551076E-5</v>
      </c>
      <c r="BB298" s="20">
        <f t="shared" si="364"/>
        <v>-6.7306353072263978E-4</v>
      </c>
      <c r="BC298" s="20">
        <f t="shared" si="364"/>
        <v>-1.0090169456020419E-3</v>
      </c>
      <c r="BD298" s="20">
        <f t="shared" si="364"/>
        <v>0</v>
      </c>
      <c r="BE298" s="20">
        <f t="shared" si="364"/>
        <v>-4.3859641073984975E-5</v>
      </c>
      <c r="BF298" s="20">
        <f t="shared" si="364"/>
        <v>-3.2646217511300486E-6</v>
      </c>
      <c r="BG298" s="20">
        <f t="shared" si="364"/>
        <v>0</v>
      </c>
      <c r="BH298" s="20">
        <f t="shared" si="364"/>
        <v>0</v>
      </c>
      <c r="BI298" s="20">
        <f t="shared" si="364"/>
        <v>-8.097295365559026E-4</v>
      </c>
      <c r="BJ298" s="20">
        <f t="shared" si="364"/>
        <v>-5.0496198293088828E-3</v>
      </c>
      <c r="BK298" s="20">
        <f t="shared" si="364"/>
        <v>-7.0124664419309835E-5</v>
      </c>
      <c r="BL298" s="20">
        <f t="shared" ref="BL298:BR298" si="365">BL230-BL149</f>
        <v>-3.9660577386078238E-4</v>
      </c>
      <c r="BM298" s="20">
        <f t="shared" si="365"/>
        <v>-1.8405613712182219E-3</v>
      </c>
      <c r="BN298" s="20">
        <f t="shared" si="365"/>
        <v>0.89974248512172283</v>
      </c>
      <c r="BO298" s="20">
        <f t="shared" si="365"/>
        <v>-1.2788148095005359E-3</v>
      </c>
      <c r="BP298" s="20">
        <f t="shared" si="365"/>
        <v>-1.9305019305019303E-3</v>
      </c>
      <c r="BQ298" s="20">
        <f t="shared" si="365"/>
        <v>-1.2601555939314939E-4</v>
      </c>
      <c r="BR298" s="20">
        <f t="shared" si="365"/>
        <v>0</v>
      </c>
    </row>
    <row r="299" spans="1:70" outlineLevel="1" x14ac:dyDescent="0.3">
      <c r="A299" s="7">
        <v>62</v>
      </c>
      <c r="B299" s="150" t="s">
        <v>167</v>
      </c>
      <c r="C299" s="150"/>
      <c r="D299" s="150"/>
      <c r="E299" s="150"/>
      <c r="F299" s="20">
        <f t="shared" ref="F299:BK299" si="366">F231-F150</f>
        <v>-1.5828025935284498E-3</v>
      </c>
      <c r="G299" s="20">
        <f t="shared" si="366"/>
        <v>-1.4889762883145844E-3</v>
      </c>
      <c r="H299" s="20">
        <f t="shared" si="366"/>
        <v>-1.212205754141238E-3</v>
      </c>
      <c r="I299" s="20">
        <f t="shared" si="366"/>
        <v>-1.8339532204382299E-4</v>
      </c>
      <c r="J299" s="20">
        <f t="shared" si="366"/>
        <v>-3.4385732928318906E-3</v>
      </c>
      <c r="K299" s="20">
        <f t="shared" si="366"/>
        <v>-4.9767893392067952E-5</v>
      </c>
      <c r="L299" s="20">
        <f t="shared" si="366"/>
        <v>-3.2493885293108822E-5</v>
      </c>
      <c r="M299" s="20">
        <f t="shared" si="366"/>
        <v>-1.7864092535999334E-5</v>
      </c>
      <c r="N299" s="20">
        <f t="shared" si="366"/>
        <v>-1.6744097316900966E-4</v>
      </c>
      <c r="O299" s="20">
        <f t="shared" si="366"/>
        <v>-7.3192258842270669E-5</v>
      </c>
      <c r="P299" s="20">
        <f t="shared" si="366"/>
        <v>-4.3022976337776694E-5</v>
      </c>
      <c r="Q299" s="20">
        <f t="shared" si="366"/>
        <v>-1.1110765442852888E-6</v>
      </c>
      <c r="R299" s="20">
        <f t="shared" si="366"/>
        <v>-2.9928772827716761E-5</v>
      </c>
      <c r="S299" s="20">
        <f t="shared" si="366"/>
        <v>-1.3097445950412595E-4</v>
      </c>
      <c r="T299" s="20">
        <f t="shared" si="366"/>
        <v>0</v>
      </c>
      <c r="U299" s="20">
        <f t="shared" si="366"/>
        <v>0</v>
      </c>
      <c r="V299" s="20">
        <f t="shared" si="366"/>
        <v>0</v>
      </c>
      <c r="W299" s="20">
        <f t="shared" si="366"/>
        <v>-3.0467809012359981E-6</v>
      </c>
      <c r="X299" s="20">
        <f t="shared" si="366"/>
        <v>-3.5155647158857642E-5</v>
      </c>
      <c r="Y299" s="20">
        <f t="shared" si="366"/>
        <v>-1.4774890134277323E-5</v>
      </c>
      <c r="Z299" s="20">
        <f t="shared" si="366"/>
        <v>-5.3384240545117153E-6</v>
      </c>
      <c r="AA299" s="20">
        <f t="shared" si="366"/>
        <v>-5.1682531637742128E-5</v>
      </c>
      <c r="AB299" s="20">
        <f t="shared" si="366"/>
        <v>0</v>
      </c>
      <c r="AC299" s="20">
        <f t="shared" si="366"/>
        <v>-3.0853593277881559E-4</v>
      </c>
      <c r="AD299" s="20">
        <f t="shared" si="366"/>
        <v>-1.2559246102708944E-4</v>
      </c>
      <c r="AE299" s="20">
        <f t="shared" si="366"/>
        <v>-2.5680408076790463E-5</v>
      </c>
      <c r="AF299" s="20">
        <f t="shared" si="366"/>
        <v>-5.3442667263683854E-4</v>
      </c>
      <c r="AG299" s="20">
        <f t="shared" si="366"/>
        <v>-3.8309207208391538E-3</v>
      </c>
      <c r="AH299" s="20">
        <f t="shared" si="366"/>
        <v>-5.7223349051684648E-5</v>
      </c>
      <c r="AI299" s="20">
        <f t="shared" si="366"/>
        <v>-1.1877613317642995E-3</v>
      </c>
      <c r="AJ299" s="20">
        <f t="shared" si="366"/>
        <v>-1.0649553444182227E-3</v>
      </c>
      <c r="AK299" s="20">
        <f t="shared" si="366"/>
        <v>-2.5144703346839914E-3</v>
      </c>
      <c r="AL299" s="20">
        <f t="shared" si="366"/>
        <v>-2.6156666241099538E-3</v>
      </c>
      <c r="AM299" s="20">
        <f t="shared" si="366"/>
        <v>0</v>
      </c>
      <c r="AN299" s="20">
        <f t="shared" si="366"/>
        <v>-1.909589386320325E-4</v>
      </c>
      <c r="AO299" s="20">
        <f t="shared" si="366"/>
        <v>-1.885997919927849E-4</v>
      </c>
      <c r="AP299" s="20">
        <f t="shared" si="366"/>
        <v>-3.6602744294009915E-4</v>
      </c>
      <c r="AQ299" s="20">
        <f t="shared" si="366"/>
        <v>-2.8198133987170635E-4</v>
      </c>
      <c r="AR299" s="20">
        <f t="shared" si="366"/>
        <v>-3.2509634618393902E-4</v>
      </c>
      <c r="AS299" s="20">
        <f t="shared" si="366"/>
        <v>-9.239760256840061E-4</v>
      </c>
      <c r="AT299" s="20">
        <f t="shared" si="366"/>
        <v>-8.3239401632372227E-6</v>
      </c>
      <c r="AU299" s="20">
        <f t="shared" si="366"/>
        <v>-1.8052182167978712E-4</v>
      </c>
      <c r="AV299" s="20">
        <f t="shared" si="366"/>
        <v>-2.4403142383377695E-5</v>
      </c>
      <c r="AW299" s="20">
        <f t="shared" si="366"/>
        <v>-1.5041901952780732E-4</v>
      </c>
      <c r="AX299" s="20">
        <f t="shared" si="366"/>
        <v>-4.8345650380371668E-4</v>
      </c>
      <c r="AY299" s="20">
        <f t="shared" si="366"/>
        <v>-9.2628669975904949E-5</v>
      </c>
      <c r="AZ299" s="20">
        <f t="shared" si="366"/>
        <v>-6.1087159713364345E-4</v>
      </c>
      <c r="BA299" s="20">
        <f t="shared" si="366"/>
        <v>-3.0527332138040927E-4</v>
      </c>
      <c r="BB299" s="20">
        <f t="shared" si="366"/>
        <v>-3.1695721077654512E-4</v>
      </c>
      <c r="BC299" s="20">
        <f t="shared" si="366"/>
        <v>-4.9428558515450191E-4</v>
      </c>
      <c r="BD299" s="20">
        <f t="shared" si="366"/>
        <v>0</v>
      </c>
      <c r="BE299" s="20">
        <f t="shared" si="366"/>
        <v>0</v>
      </c>
      <c r="BF299" s="20">
        <f t="shared" si="366"/>
        <v>-9.7938652533901455E-6</v>
      </c>
      <c r="BG299" s="20">
        <f t="shared" si="366"/>
        <v>-4.6643895571819183E-3</v>
      </c>
      <c r="BH299" s="20">
        <f t="shared" si="366"/>
        <v>-6.9235040475665451E-4</v>
      </c>
      <c r="BI299" s="20">
        <f t="shared" si="366"/>
        <v>0</v>
      </c>
      <c r="BJ299" s="20">
        <f t="shared" si="366"/>
        <v>-7.0668660406105724E-4</v>
      </c>
      <c r="BK299" s="20">
        <f t="shared" si="366"/>
        <v>-2.778244120002318E-5</v>
      </c>
      <c r="BL299" s="20">
        <f t="shared" ref="BL299:BR299" si="367">BL231-BL150</f>
        <v>0</v>
      </c>
      <c r="BM299" s="20">
        <f t="shared" si="367"/>
        <v>-1.6841136546646729E-4</v>
      </c>
      <c r="BN299" s="20">
        <f t="shared" si="367"/>
        <v>-9.5485031542478168E-5</v>
      </c>
      <c r="BO299" s="20">
        <f t="shared" si="367"/>
        <v>0.99994529614068761</v>
      </c>
      <c r="BP299" s="20">
        <f t="shared" si="367"/>
        <v>0</v>
      </c>
      <c r="BQ299" s="20">
        <f t="shared" si="367"/>
        <v>0</v>
      </c>
      <c r="BR299" s="20">
        <f t="shared" si="367"/>
        <v>0</v>
      </c>
    </row>
    <row r="300" spans="1:70" outlineLevel="1" x14ac:dyDescent="0.3">
      <c r="A300" s="7">
        <v>63</v>
      </c>
      <c r="B300" s="150" t="s">
        <v>168</v>
      </c>
      <c r="C300" s="150"/>
      <c r="D300" s="150"/>
      <c r="E300" s="150"/>
      <c r="F300" s="20">
        <f t="shared" ref="F300:BK300" si="368">F232-F151</f>
        <v>-1.7228575825861683E-4</v>
      </c>
      <c r="G300" s="20">
        <f t="shared" si="368"/>
        <v>-3.7653095198742132E-4</v>
      </c>
      <c r="H300" s="20">
        <f t="shared" si="368"/>
        <v>-2.4690496948561466E-4</v>
      </c>
      <c r="I300" s="20">
        <f t="shared" si="368"/>
        <v>-1.6374582325341338E-6</v>
      </c>
      <c r="J300" s="20">
        <f t="shared" si="368"/>
        <v>-5.2766334133753993E-5</v>
      </c>
      <c r="K300" s="20">
        <f t="shared" si="368"/>
        <v>-1.3952024814186572E-4</v>
      </c>
      <c r="L300" s="20">
        <f t="shared" si="368"/>
        <v>-1.0564291079015382E-4</v>
      </c>
      <c r="M300" s="20">
        <f t="shared" si="368"/>
        <v>-9.9528515557710581E-6</v>
      </c>
      <c r="N300" s="20">
        <f t="shared" si="368"/>
        <v>-2.6438048395106785E-4</v>
      </c>
      <c r="O300" s="20">
        <f t="shared" si="368"/>
        <v>0</v>
      </c>
      <c r="P300" s="20">
        <f t="shared" si="368"/>
        <v>-8.6252793907946545E-5</v>
      </c>
      <c r="Q300" s="20">
        <f t="shared" si="368"/>
        <v>0</v>
      </c>
      <c r="R300" s="20">
        <f t="shared" si="368"/>
        <v>-2.6456373770357356E-5</v>
      </c>
      <c r="S300" s="20">
        <f t="shared" si="368"/>
        <v>-1.1382871207813128E-4</v>
      </c>
      <c r="T300" s="20">
        <f t="shared" si="368"/>
        <v>-1.4692468084092883E-5</v>
      </c>
      <c r="U300" s="20">
        <f t="shared" si="368"/>
        <v>-9.2984541383683004E-5</v>
      </c>
      <c r="V300" s="20">
        <f t="shared" si="368"/>
        <v>-1.6917195410193567E-3</v>
      </c>
      <c r="W300" s="20">
        <f t="shared" si="368"/>
        <v>-4.255636029402869E-4</v>
      </c>
      <c r="X300" s="20">
        <f t="shared" si="368"/>
        <v>-2.046177836330799E-4</v>
      </c>
      <c r="Y300" s="20">
        <f t="shared" si="368"/>
        <v>-4.6366728388870306E-5</v>
      </c>
      <c r="Z300" s="20">
        <f t="shared" si="368"/>
        <v>-6.6089689794855038E-4</v>
      </c>
      <c r="AA300" s="20">
        <f t="shared" si="368"/>
        <v>-2.1067073013625091E-5</v>
      </c>
      <c r="AB300" s="20">
        <f t="shared" si="368"/>
        <v>0</v>
      </c>
      <c r="AC300" s="20">
        <f t="shared" si="368"/>
        <v>0</v>
      </c>
      <c r="AD300" s="20">
        <f t="shared" si="368"/>
        <v>0</v>
      </c>
      <c r="AE300" s="20">
        <f t="shared" si="368"/>
        <v>0</v>
      </c>
      <c r="AF300" s="20">
        <f t="shared" si="368"/>
        <v>-1.2071027161874539E-4</v>
      </c>
      <c r="AG300" s="20">
        <f t="shared" si="368"/>
        <v>-6.5435438949472351E-5</v>
      </c>
      <c r="AH300" s="20">
        <f t="shared" si="368"/>
        <v>-1.5936970109721517E-4</v>
      </c>
      <c r="AI300" s="20">
        <f t="shared" si="368"/>
        <v>-4.4965797889979934E-4</v>
      </c>
      <c r="AJ300" s="20">
        <f t="shared" si="368"/>
        <v>-4.6662755496363489E-4</v>
      </c>
      <c r="AK300" s="20">
        <f t="shared" si="368"/>
        <v>-1.1058017343102235E-3</v>
      </c>
      <c r="AL300" s="20">
        <f t="shared" si="368"/>
        <v>-3.1599638138833929E-4</v>
      </c>
      <c r="AM300" s="20">
        <f t="shared" si="368"/>
        <v>0</v>
      </c>
      <c r="AN300" s="20">
        <f t="shared" si="368"/>
        <v>-7.7942423931441834E-6</v>
      </c>
      <c r="AO300" s="20">
        <f t="shared" si="368"/>
        <v>-1.6825849399470139E-4</v>
      </c>
      <c r="AP300" s="20">
        <f t="shared" si="368"/>
        <v>-2.0450643609108739E-4</v>
      </c>
      <c r="AQ300" s="20">
        <f t="shared" si="368"/>
        <v>-7.0066499286557452E-4</v>
      </c>
      <c r="AR300" s="20">
        <f t="shared" si="368"/>
        <v>-1.6539883135141824E-3</v>
      </c>
      <c r="AS300" s="20">
        <f t="shared" si="368"/>
        <v>-1.5862951237406832E-3</v>
      </c>
      <c r="AT300" s="20">
        <f t="shared" si="368"/>
        <v>-5.0179089572612049E-3</v>
      </c>
      <c r="AU300" s="20">
        <f t="shared" si="368"/>
        <v>-2.5439269766087485E-3</v>
      </c>
      <c r="AV300" s="20">
        <f t="shared" si="368"/>
        <v>-8.4854977376124712E-4</v>
      </c>
      <c r="AW300" s="20">
        <f t="shared" si="368"/>
        <v>-1.1732683523168973E-3</v>
      </c>
      <c r="AX300" s="20">
        <f t="shared" si="368"/>
        <v>-5.4377178984589538E-3</v>
      </c>
      <c r="AY300" s="20">
        <f t="shared" si="368"/>
        <v>-3.0775320634696086E-4</v>
      </c>
      <c r="AZ300" s="20">
        <f t="shared" si="368"/>
        <v>-8.6717670273134696E-4</v>
      </c>
      <c r="BA300" s="20">
        <f t="shared" si="368"/>
        <v>-6.31231829564737E-4</v>
      </c>
      <c r="BB300" s="20">
        <f t="shared" si="368"/>
        <v>-2.0334950743644857E-3</v>
      </c>
      <c r="BC300" s="20">
        <f t="shared" si="368"/>
        <v>-1.1004848877024761E-3</v>
      </c>
      <c r="BD300" s="20">
        <f t="shared" si="368"/>
        <v>-1.0878856165980264E-3</v>
      </c>
      <c r="BE300" s="20">
        <f t="shared" si="368"/>
        <v>-1.1482417330540753E-3</v>
      </c>
      <c r="BF300" s="20">
        <f t="shared" si="368"/>
        <v>-1.1360883693932568E-4</v>
      </c>
      <c r="BG300" s="20">
        <f t="shared" si="368"/>
        <v>-6.0349417487117938E-4</v>
      </c>
      <c r="BH300" s="20">
        <f t="shared" si="368"/>
        <v>-9.5430646733917998E-4</v>
      </c>
      <c r="BI300" s="20">
        <f t="shared" si="368"/>
        <v>-4.7125995176509755E-3</v>
      </c>
      <c r="BJ300" s="20">
        <f t="shared" si="368"/>
        <v>-1.5315917325540952E-3</v>
      </c>
      <c r="BK300" s="20">
        <f t="shared" si="368"/>
        <v>-1.04919572061264E-3</v>
      </c>
      <c r="BL300" s="20">
        <f t="shared" ref="BL300:BR300" si="369">BL232-BL151</f>
        <v>-1.7342761295272499E-3</v>
      </c>
      <c r="BM300" s="20">
        <f t="shared" si="369"/>
        <v>-2.3586793972161508E-3</v>
      </c>
      <c r="BN300" s="20">
        <f t="shared" si="369"/>
        <v>-1.2943526497980373E-3</v>
      </c>
      <c r="BO300" s="20">
        <f t="shared" si="369"/>
        <v>-1.1568521067711719E-3</v>
      </c>
      <c r="BP300" s="20">
        <f t="shared" si="369"/>
        <v>0.97339372339372343</v>
      </c>
      <c r="BQ300" s="20">
        <f t="shared" si="369"/>
        <v>-1.2480581002297514E-3</v>
      </c>
      <c r="BR300" s="20">
        <f t="shared" si="369"/>
        <v>0</v>
      </c>
    </row>
    <row r="301" spans="1:70" outlineLevel="1" x14ac:dyDescent="0.3">
      <c r="A301" s="7">
        <v>64</v>
      </c>
      <c r="B301" s="150" t="s">
        <v>169</v>
      </c>
      <c r="C301" s="150"/>
      <c r="D301" s="150"/>
      <c r="E301" s="150"/>
      <c r="F301" s="20">
        <f t="shared" ref="F301:BK302" si="370">F233-F152</f>
        <v>-5.345906698783528E-5</v>
      </c>
      <c r="G301" s="20">
        <f t="shared" si="370"/>
        <v>-2.4673375474950569E-4</v>
      </c>
      <c r="H301" s="20">
        <f t="shared" si="370"/>
        <v>-1.4646904969485615E-4</v>
      </c>
      <c r="I301" s="20">
        <f t="shared" si="370"/>
        <v>0</v>
      </c>
      <c r="J301" s="20">
        <f t="shared" si="370"/>
        <v>-8.2890398023546385E-4</v>
      </c>
      <c r="K301" s="20">
        <f t="shared" si="370"/>
        <v>-2.8169903759741032E-4</v>
      </c>
      <c r="L301" s="20">
        <f t="shared" si="370"/>
        <v>-1.6496314324385247E-4</v>
      </c>
      <c r="M301" s="20">
        <f t="shared" si="370"/>
        <v>-9.3658885153025099E-5</v>
      </c>
      <c r="N301" s="20">
        <f t="shared" si="370"/>
        <v>-8.8489703157739765E-4</v>
      </c>
      <c r="O301" s="20">
        <f t="shared" si="370"/>
        <v>-8.4440186855531398E-4</v>
      </c>
      <c r="P301" s="20">
        <f t="shared" si="370"/>
        <v>-4.167850832722118E-5</v>
      </c>
      <c r="Q301" s="20">
        <f t="shared" si="370"/>
        <v>-5.6664903758549732E-5</v>
      </c>
      <c r="R301" s="20">
        <f t="shared" si="370"/>
        <v>-2.944925105312903E-4</v>
      </c>
      <c r="S301" s="20">
        <f t="shared" si="370"/>
        <v>-4.7079364807210358E-4</v>
      </c>
      <c r="T301" s="20">
        <f t="shared" si="370"/>
        <v>-3.155014199110472E-5</v>
      </c>
      <c r="U301" s="20">
        <f t="shared" si="370"/>
        <v>-1.8520482626284258E-4</v>
      </c>
      <c r="V301" s="20">
        <f t="shared" si="370"/>
        <v>-1.4510471946560052E-4</v>
      </c>
      <c r="W301" s="20">
        <f t="shared" si="370"/>
        <v>-5.9582488859759276E-4</v>
      </c>
      <c r="X301" s="20">
        <f t="shared" si="370"/>
        <v>-3.2784130621700807E-4</v>
      </c>
      <c r="Y301" s="20">
        <f t="shared" si="370"/>
        <v>-2.9802034490359383E-4</v>
      </c>
      <c r="Z301" s="20">
        <f t="shared" si="370"/>
        <v>-6.2993403843238246E-4</v>
      </c>
      <c r="AA301" s="20">
        <f t="shared" si="370"/>
        <v>-1.6050381526207892E-4</v>
      </c>
      <c r="AB301" s="20">
        <f t="shared" si="370"/>
        <v>-1.1990850130687448E-3</v>
      </c>
      <c r="AC301" s="20">
        <f t="shared" si="370"/>
        <v>-6.9246073601037341E-5</v>
      </c>
      <c r="AD301" s="20">
        <f t="shared" si="370"/>
        <v>0</v>
      </c>
      <c r="AE301" s="20">
        <f t="shared" si="370"/>
        <v>-2.7795265212526149E-4</v>
      </c>
      <c r="AF301" s="20">
        <f t="shared" si="370"/>
        <v>-6.1902703394228406E-5</v>
      </c>
      <c r="AG301" s="20">
        <f t="shared" si="370"/>
        <v>-1.1731218334184684E-4</v>
      </c>
      <c r="AH301" s="20">
        <f t="shared" si="370"/>
        <v>-4.0936329567985108E-5</v>
      </c>
      <c r="AI301" s="20">
        <f t="shared" si="370"/>
        <v>0</v>
      </c>
      <c r="AJ301" s="20">
        <f t="shared" si="370"/>
        <v>0</v>
      </c>
      <c r="AK301" s="20">
        <f t="shared" si="370"/>
        <v>-3.3278990463174349E-4</v>
      </c>
      <c r="AL301" s="20">
        <f t="shared" si="370"/>
        <v>0</v>
      </c>
      <c r="AM301" s="20">
        <f t="shared" si="370"/>
        <v>0</v>
      </c>
      <c r="AN301" s="20">
        <f t="shared" si="370"/>
        <v>0</v>
      </c>
      <c r="AO301" s="20">
        <f t="shared" si="370"/>
        <v>0</v>
      </c>
      <c r="AP301" s="20">
        <f t="shared" si="370"/>
        <v>-6.7734615775392006E-5</v>
      </c>
      <c r="AQ301" s="20">
        <f t="shared" si="370"/>
        <v>-6.6635813835604356E-4</v>
      </c>
      <c r="AR301" s="20">
        <f t="shared" si="370"/>
        <v>0</v>
      </c>
      <c r="AS301" s="20">
        <f t="shared" si="370"/>
        <v>-1.2190834128091474E-4</v>
      </c>
      <c r="AT301" s="20">
        <f t="shared" si="370"/>
        <v>-4.4592536588770835E-5</v>
      </c>
      <c r="AU301" s="20">
        <f t="shared" si="370"/>
        <v>-1.0751357911232076E-4</v>
      </c>
      <c r="AV301" s="20">
        <f t="shared" si="370"/>
        <v>-8.8654453975055663E-5</v>
      </c>
      <c r="AW301" s="20">
        <f t="shared" si="370"/>
        <v>-2.1400524141910771E-4</v>
      </c>
      <c r="AX301" s="20">
        <f t="shared" si="370"/>
        <v>-1.09186432622337E-4</v>
      </c>
      <c r="AY301" s="20">
        <f t="shared" si="370"/>
        <v>0</v>
      </c>
      <c r="AZ301" s="20">
        <f t="shared" si="370"/>
        <v>0</v>
      </c>
      <c r="BA301" s="20">
        <f t="shared" si="370"/>
        <v>0</v>
      </c>
      <c r="BB301" s="20">
        <f t="shared" si="370"/>
        <v>-9.252741378726223E-4</v>
      </c>
      <c r="BC301" s="20">
        <f t="shared" si="370"/>
        <v>-2.8695824972685164E-4</v>
      </c>
      <c r="BD301" s="20">
        <f t="shared" si="370"/>
        <v>0</v>
      </c>
      <c r="BE301" s="20">
        <f t="shared" si="370"/>
        <v>-2.0072667534194464E-3</v>
      </c>
      <c r="BF301" s="20">
        <f t="shared" si="370"/>
        <v>0</v>
      </c>
      <c r="BG301" s="20">
        <f t="shared" si="370"/>
        <v>0</v>
      </c>
      <c r="BH301" s="20">
        <f t="shared" si="370"/>
        <v>-3.265152139086448E-4</v>
      </c>
      <c r="BI301" s="20">
        <f t="shared" si="370"/>
        <v>-1.0562103866136054E-3</v>
      </c>
      <c r="BJ301" s="20">
        <f t="shared" si="370"/>
        <v>-2.2320022566501343E-4</v>
      </c>
      <c r="BK301" s="20">
        <f t="shared" si="370"/>
        <v>-1.3561396966513986E-3</v>
      </c>
      <c r="BL301" s="20">
        <f t="shared" ref="BL301:BR301" si="371">BL233-BL152</f>
        <v>-2.5274876772488145E-3</v>
      </c>
      <c r="BM301" s="20">
        <f t="shared" si="371"/>
        <v>-1.2801104336822731E-3</v>
      </c>
      <c r="BN301" s="20">
        <f t="shared" si="371"/>
        <v>-1.8425074605048564E-3</v>
      </c>
      <c r="BO301" s="20">
        <f t="shared" si="371"/>
        <v>-6.1609100569906593E-4</v>
      </c>
      <c r="BP301" s="20">
        <f t="shared" si="371"/>
        <v>0</v>
      </c>
      <c r="BQ301" s="20">
        <f t="shared" si="371"/>
        <v>0.94228386567346245</v>
      </c>
      <c r="BR301" s="20">
        <f t="shared" si="371"/>
        <v>0</v>
      </c>
    </row>
    <row r="302" spans="1:70" outlineLevel="1" x14ac:dyDescent="0.3">
      <c r="A302" s="7">
        <v>65</v>
      </c>
      <c r="B302" s="150" t="s">
        <v>170</v>
      </c>
      <c r="C302" s="150"/>
      <c r="D302" s="150"/>
      <c r="E302" s="150"/>
      <c r="F302" s="20">
        <f t="shared" si="370"/>
        <v>0</v>
      </c>
      <c r="G302" s="20">
        <f t="shared" si="370"/>
        <v>0</v>
      </c>
      <c r="H302" s="20">
        <f t="shared" si="370"/>
        <v>0</v>
      </c>
      <c r="I302" s="20">
        <f t="shared" si="370"/>
        <v>0</v>
      </c>
      <c r="J302" s="20">
        <f t="shared" si="370"/>
        <v>0</v>
      </c>
      <c r="K302" s="20">
        <f t="shared" si="370"/>
        <v>0</v>
      </c>
      <c r="L302" s="20">
        <f t="shared" si="370"/>
        <v>0</v>
      </c>
      <c r="M302" s="20">
        <f t="shared" si="370"/>
        <v>0</v>
      </c>
      <c r="N302" s="20">
        <f t="shared" si="370"/>
        <v>0</v>
      </c>
      <c r="O302" s="20">
        <f t="shared" si="370"/>
        <v>0</v>
      </c>
      <c r="P302" s="20">
        <f t="shared" si="370"/>
        <v>0</v>
      </c>
      <c r="Q302" s="20">
        <f t="shared" si="370"/>
        <v>0</v>
      </c>
      <c r="R302" s="20">
        <f t="shared" si="370"/>
        <v>0</v>
      </c>
      <c r="S302" s="20">
        <f t="shared" si="370"/>
        <v>0</v>
      </c>
      <c r="T302" s="20">
        <f t="shared" si="370"/>
        <v>0</v>
      </c>
      <c r="U302" s="20">
        <f t="shared" si="370"/>
        <v>0</v>
      </c>
      <c r="V302" s="20">
        <f t="shared" si="370"/>
        <v>0</v>
      </c>
      <c r="W302" s="20">
        <f t="shared" si="370"/>
        <v>0</v>
      </c>
      <c r="X302" s="20">
        <f t="shared" si="370"/>
        <v>0</v>
      </c>
      <c r="Y302" s="20">
        <f t="shared" si="370"/>
        <v>0</v>
      </c>
      <c r="Z302" s="20">
        <f t="shared" si="370"/>
        <v>0</v>
      </c>
      <c r="AA302" s="20">
        <f t="shared" si="370"/>
        <v>0</v>
      </c>
      <c r="AB302" s="20">
        <f t="shared" si="370"/>
        <v>0</v>
      </c>
      <c r="AC302" s="20">
        <f t="shared" si="370"/>
        <v>0</v>
      </c>
      <c r="AD302" s="20">
        <f t="shared" si="370"/>
        <v>0</v>
      </c>
      <c r="AE302" s="20">
        <f t="shared" si="370"/>
        <v>0</v>
      </c>
      <c r="AF302" s="20">
        <f t="shared" si="370"/>
        <v>0</v>
      </c>
      <c r="AG302" s="20">
        <f t="shared" si="370"/>
        <v>0</v>
      </c>
      <c r="AH302" s="20">
        <f t="shared" si="370"/>
        <v>0</v>
      </c>
      <c r="AI302" s="20">
        <f t="shared" si="370"/>
        <v>0</v>
      </c>
      <c r="AJ302" s="20">
        <f t="shared" si="370"/>
        <v>0</v>
      </c>
      <c r="AK302" s="20">
        <f t="shared" si="370"/>
        <v>0</v>
      </c>
      <c r="AL302" s="20">
        <f t="shared" si="370"/>
        <v>0</v>
      </c>
      <c r="AM302" s="20">
        <f t="shared" si="370"/>
        <v>0</v>
      </c>
      <c r="AN302" s="20">
        <f t="shared" si="370"/>
        <v>0</v>
      </c>
      <c r="AO302" s="20">
        <f t="shared" si="370"/>
        <v>0</v>
      </c>
      <c r="AP302" s="20">
        <f t="shared" si="370"/>
        <v>0</v>
      </c>
      <c r="AQ302" s="20">
        <f t="shared" si="370"/>
        <v>0</v>
      </c>
      <c r="AR302" s="20">
        <f t="shared" si="370"/>
        <v>0</v>
      </c>
      <c r="AS302" s="20">
        <f t="shared" si="370"/>
        <v>0</v>
      </c>
      <c r="AT302" s="20">
        <f t="shared" si="370"/>
        <v>0</v>
      </c>
      <c r="AU302" s="20">
        <f t="shared" si="370"/>
        <v>0</v>
      </c>
      <c r="AV302" s="20">
        <f t="shared" si="370"/>
        <v>0</v>
      </c>
      <c r="AW302" s="20">
        <f t="shared" si="370"/>
        <v>0</v>
      </c>
      <c r="AX302" s="20">
        <f t="shared" si="370"/>
        <v>0</v>
      </c>
      <c r="AY302" s="20">
        <f t="shared" si="370"/>
        <v>0</v>
      </c>
      <c r="AZ302" s="20">
        <f t="shared" si="370"/>
        <v>0</v>
      </c>
      <c r="BA302" s="20">
        <f t="shared" si="370"/>
        <v>0</v>
      </c>
      <c r="BB302" s="20">
        <f t="shared" si="370"/>
        <v>0</v>
      </c>
      <c r="BC302" s="20">
        <f t="shared" si="370"/>
        <v>0</v>
      </c>
      <c r="BD302" s="20">
        <f t="shared" si="370"/>
        <v>0</v>
      </c>
      <c r="BE302" s="20">
        <f t="shared" si="370"/>
        <v>0</v>
      </c>
      <c r="BF302" s="20">
        <f t="shared" si="370"/>
        <v>0</v>
      </c>
      <c r="BG302" s="20">
        <f t="shared" si="370"/>
        <v>0</v>
      </c>
      <c r="BH302" s="20">
        <f t="shared" si="370"/>
        <v>0</v>
      </c>
      <c r="BI302" s="20">
        <f t="shared" si="370"/>
        <v>0</v>
      </c>
      <c r="BJ302" s="20">
        <f t="shared" si="370"/>
        <v>0</v>
      </c>
      <c r="BK302" s="20">
        <f t="shared" si="370"/>
        <v>0</v>
      </c>
      <c r="BL302" s="20">
        <f t="shared" ref="BL302:BR302" si="372">BL234-BL153</f>
        <v>0</v>
      </c>
      <c r="BM302" s="20">
        <f t="shared" si="372"/>
        <v>0</v>
      </c>
      <c r="BN302" s="20">
        <f t="shared" si="372"/>
        <v>0</v>
      </c>
      <c r="BO302" s="20">
        <f t="shared" si="372"/>
        <v>0</v>
      </c>
      <c r="BP302" s="20">
        <f t="shared" si="372"/>
        <v>0</v>
      </c>
      <c r="BQ302" s="20">
        <f t="shared" si="372"/>
        <v>0</v>
      </c>
      <c r="BR302" s="20">
        <f t="shared" si="372"/>
        <v>1</v>
      </c>
    </row>
    <row r="303" spans="1:70" outlineLevel="1" x14ac:dyDescent="0.3">
      <c r="A303" s="7"/>
      <c r="B303" s="2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</row>
    <row r="304" spans="1:70" outlineLevel="1" x14ac:dyDescent="0.3"/>
    <row r="305" spans="1:70" ht="15.6" x14ac:dyDescent="0.3">
      <c r="B305" s="77" t="s">
        <v>211</v>
      </c>
      <c r="F305" s="7">
        <v>1</v>
      </c>
      <c r="G305" s="7">
        <v>2</v>
      </c>
      <c r="H305" s="7">
        <v>3</v>
      </c>
      <c r="I305" s="7">
        <v>4</v>
      </c>
      <c r="J305" s="7">
        <v>5</v>
      </c>
      <c r="K305" s="7">
        <v>6</v>
      </c>
      <c r="L305" s="7">
        <v>7</v>
      </c>
      <c r="M305" s="7">
        <v>8</v>
      </c>
      <c r="N305" s="7">
        <v>9</v>
      </c>
      <c r="O305" s="7">
        <v>10</v>
      </c>
      <c r="P305" s="7">
        <v>11</v>
      </c>
      <c r="Q305" s="7">
        <v>12</v>
      </c>
      <c r="R305" s="7">
        <v>13</v>
      </c>
      <c r="S305" s="7">
        <v>14</v>
      </c>
      <c r="T305" s="7">
        <v>15</v>
      </c>
      <c r="U305" s="7">
        <v>16</v>
      </c>
      <c r="V305" s="7">
        <v>17</v>
      </c>
      <c r="W305" s="7">
        <v>18</v>
      </c>
      <c r="X305" s="7">
        <v>19</v>
      </c>
      <c r="Y305" s="7">
        <v>20</v>
      </c>
      <c r="Z305" s="7">
        <v>21</v>
      </c>
      <c r="AA305" s="7">
        <v>22</v>
      </c>
      <c r="AB305" s="7">
        <v>23</v>
      </c>
      <c r="AC305" s="7">
        <v>24</v>
      </c>
      <c r="AD305" s="7">
        <v>25</v>
      </c>
      <c r="AE305" s="7">
        <v>26</v>
      </c>
      <c r="AF305" s="7">
        <v>27</v>
      </c>
      <c r="AG305" s="7">
        <v>28</v>
      </c>
      <c r="AH305" s="7">
        <v>29</v>
      </c>
      <c r="AI305" s="7">
        <v>30</v>
      </c>
      <c r="AJ305" s="7">
        <v>31</v>
      </c>
      <c r="AK305" s="7">
        <v>32</v>
      </c>
      <c r="AL305" s="7">
        <v>33</v>
      </c>
      <c r="AM305" s="7">
        <v>34</v>
      </c>
      <c r="AN305" s="7">
        <v>35</v>
      </c>
      <c r="AO305" s="7">
        <v>36</v>
      </c>
      <c r="AP305" s="7">
        <v>37</v>
      </c>
      <c r="AQ305" s="7">
        <v>38</v>
      </c>
      <c r="AR305" s="7">
        <v>39</v>
      </c>
      <c r="AS305" s="7">
        <v>40</v>
      </c>
      <c r="AT305" s="7">
        <v>41</v>
      </c>
      <c r="AU305" s="7">
        <v>42</v>
      </c>
      <c r="AV305" s="7">
        <v>43</v>
      </c>
      <c r="AW305" s="7">
        <v>44</v>
      </c>
      <c r="AX305" s="7">
        <v>45</v>
      </c>
      <c r="AY305" s="7">
        <v>46</v>
      </c>
      <c r="AZ305" s="7">
        <v>47</v>
      </c>
      <c r="BA305" s="7">
        <v>48</v>
      </c>
      <c r="BB305" s="7">
        <v>49</v>
      </c>
      <c r="BC305" s="7">
        <v>50</v>
      </c>
      <c r="BD305" s="7">
        <v>51</v>
      </c>
      <c r="BE305" s="7">
        <v>52</v>
      </c>
      <c r="BF305" s="7">
        <v>53</v>
      </c>
      <c r="BG305" s="7">
        <v>54</v>
      </c>
      <c r="BH305" s="7">
        <v>55</v>
      </c>
      <c r="BI305" s="7">
        <v>56</v>
      </c>
      <c r="BJ305" s="7">
        <v>57</v>
      </c>
      <c r="BK305" s="7">
        <v>58</v>
      </c>
      <c r="BL305" s="7">
        <v>59</v>
      </c>
      <c r="BM305" s="7">
        <v>60</v>
      </c>
      <c r="BN305" s="7">
        <v>61</v>
      </c>
      <c r="BO305" s="7">
        <v>62</v>
      </c>
      <c r="BP305" s="7">
        <v>63</v>
      </c>
      <c r="BQ305" s="7">
        <v>64</v>
      </c>
      <c r="BR305" s="7">
        <v>65</v>
      </c>
    </row>
    <row r="306" spans="1:70" ht="41.25" customHeight="1" x14ac:dyDescent="0.3">
      <c r="F306" s="149" t="s">
        <v>115</v>
      </c>
      <c r="G306" s="149" t="s">
        <v>116</v>
      </c>
      <c r="H306" s="149" t="s">
        <v>117</v>
      </c>
      <c r="I306" s="149" t="s">
        <v>118</v>
      </c>
      <c r="J306" s="149" t="s">
        <v>119</v>
      </c>
      <c r="K306" s="149" t="s">
        <v>120</v>
      </c>
      <c r="L306" s="149" t="s">
        <v>121</v>
      </c>
      <c r="M306" s="149" t="s">
        <v>122</v>
      </c>
      <c r="N306" s="149" t="s">
        <v>123</v>
      </c>
      <c r="O306" s="149" t="s">
        <v>124</v>
      </c>
      <c r="P306" s="149" t="s">
        <v>125</v>
      </c>
      <c r="Q306" s="149" t="s">
        <v>126</v>
      </c>
      <c r="R306" s="149" t="s">
        <v>8</v>
      </c>
      <c r="S306" s="149" t="s">
        <v>9</v>
      </c>
      <c r="T306" s="149" t="s">
        <v>10</v>
      </c>
      <c r="U306" s="149" t="s">
        <v>127</v>
      </c>
      <c r="V306" s="149" t="s">
        <v>128</v>
      </c>
      <c r="W306" s="149" t="s">
        <v>129</v>
      </c>
      <c r="X306" s="149" t="s">
        <v>130</v>
      </c>
      <c r="Y306" s="149" t="s">
        <v>131</v>
      </c>
      <c r="Z306" s="149" t="s">
        <v>11</v>
      </c>
      <c r="AA306" s="149" t="s">
        <v>132</v>
      </c>
      <c r="AB306" s="149" t="s">
        <v>133</v>
      </c>
      <c r="AC306" s="154" t="s">
        <v>286</v>
      </c>
      <c r="AD306" s="154" t="s">
        <v>287</v>
      </c>
      <c r="AE306" s="154" t="s">
        <v>288</v>
      </c>
      <c r="AF306" s="149" t="s">
        <v>134</v>
      </c>
      <c r="AG306" s="149" t="s">
        <v>114</v>
      </c>
      <c r="AH306" s="149" t="s">
        <v>135</v>
      </c>
      <c r="AI306" s="149" t="s">
        <v>136</v>
      </c>
      <c r="AJ306" s="149" t="s">
        <v>137</v>
      </c>
      <c r="AK306" s="149" t="s">
        <v>138</v>
      </c>
      <c r="AL306" s="149" t="s">
        <v>139</v>
      </c>
      <c r="AM306" s="149" t="s">
        <v>140</v>
      </c>
      <c r="AN306" s="149" t="s">
        <v>141</v>
      </c>
      <c r="AO306" s="149" t="s">
        <v>142</v>
      </c>
      <c r="AP306" s="149" t="s">
        <v>143</v>
      </c>
      <c r="AQ306" s="149" t="s">
        <v>144</v>
      </c>
      <c r="AR306" s="149" t="s">
        <v>145</v>
      </c>
      <c r="AS306" s="149" t="s">
        <v>146</v>
      </c>
      <c r="AT306" s="149" t="s">
        <v>147</v>
      </c>
      <c r="AU306" s="149" t="s">
        <v>148</v>
      </c>
      <c r="AV306" s="149" t="s">
        <v>149</v>
      </c>
      <c r="AW306" s="149" t="s">
        <v>150</v>
      </c>
      <c r="AX306" s="149" t="s">
        <v>151</v>
      </c>
      <c r="AY306" s="149" t="s">
        <v>12</v>
      </c>
      <c r="AZ306" s="149" t="s">
        <v>152</v>
      </c>
      <c r="BA306" s="149" t="s">
        <v>153</v>
      </c>
      <c r="BB306" s="149" t="s">
        <v>154</v>
      </c>
      <c r="BC306" s="149" t="s">
        <v>155</v>
      </c>
      <c r="BD306" s="149" t="s">
        <v>156</v>
      </c>
      <c r="BE306" s="149" t="s">
        <v>157</v>
      </c>
      <c r="BF306" s="149" t="s">
        <v>158</v>
      </c>
      <c r="BG306" s="149" t="s">
        <v>159</v>
      </c>
      <c r="BH306" s="149" t="s">
        <v>160</v>
      </c>
      <c r="BI306" s="149" t="s">
        <v>161</v>
      </c>
      <c r="BJ306" s="149" t="s">
        <v>162</v>
      </c>
      <c r="BK306" s="149" t="s">
        <v>163</v>
      </c>
      <c r="BL306" s="149" t="s">
        <v>164</v>
      </c>
      <c r="BM306" s="149" t="s">
        <v>165</v>
      </c>
      <c r="BN306" s="149" t="s">
        <v>166</v>
      </c>
      <c r="BO306" s="149" t="s">
        <v>167</v>
      </c>
      <c r="BP306" s="149" t="s">
        <v>168</v>
      </c>
      <c r="BQ306" s="149" t="s">
        <v>169</v>
      </c>
      <c r="BR306" s="149" t="s">
        <v>170</v>
      </c>
    </row>
    <row r="307" spans="1:70" x14ac:dyDescent="0.3">
      <c r="A307" s="7">
        <v>1</v>
      </c>
      <c r="B307" s="150" t="s">
        <v>115</v>
      </c>
      <c r="C307" s="150"/>
      <c r="D307" s="150"/>
      <c r="E307" s="150"/>
      <c r="F307" s="20">
        <f t="array" ref="F307:BR371">MINVERSE(F238:BR302)</f>
        <v>1.2255033532943498</v>
      </c>
      <c r="G307" s="20">
        <v>9.6228385904038021E-3</v>
      </c>
      <c r="H307" s="20">
        <v>3.9198830851096865E-3</v>
      </c>
      <c r="I307" s="20">
        <v>5.3715871005915994E-4</v>
      </c>
      <c r="J307" s="20">
        <v>0.19970062940657868</v>
      </c>
      <c r="K307" s="20">
        <v>2.3377946198898204E-2</v>
      </c>
      <c r="L307" s="20">
        <v>2.3463444800511835E-3</v>
      </c>
      <c r="M307" s="20">
        <v>8.3267062994339224E-4</v>
      </c>
      <c r="N307" s="20">
        <v>9.1505624807767605E-4</v>
      </c>
      <c r="O307" s="20">
        <v>5.0456040803469927E-4</v>
      </c>
      <c r="P307" s="20">
        <v>2.8793828471480138E-3</v>
      </c>
      <c r="Q307" s="20">
        <v>4.6869896942997356E-4</v>
      </c>
      <c r="R307" s="20">
        <v>5.9598813200630247E-4</v>
      </c>
      <c r="S307" s="20">
        <v>4.5557533299852161E-4</v>
      </c>
      <c r="T307" s="20">
        <v>3.5904257700896538E-5</v>
      </c>
      <c r="U307" s="20">
        <v>3.0903387828864993E-4</v>
      </c>
      <c r="V307" s="20">
        <v>1.3841043816033765E-4</v>
      </c>
      <c r="W307" s="20">
        <v>2.5005192781384127E-4</v>
      </c>
      <c r="X307" s="20">
        <v>1.7430653969783516E-4</v>
      </c>
      <c r="Y307" s="20">
        <v>3.7729748748757685E-4</v>
      </c>
      <c r="Z307" s="20">
        <v>3.0573225013646148E-4</v>
      </c>
      <c r="AA307" s="20">
        <v>2.8068464210304249E-3</v>
      </c>
      <c r="AB307" s="20">
        <v>1.2701105097156205E-3</v>
      </c>
      <c r="AC307" s="20">
        <v>3.4812009385737217E-4</v>
      </c>
      <c r="AD307" s="20">
        <v>5.3887850929071942E-4</v>
      </c>
      <c r="AE307" s="20">
        <v>6.3900268002731089E-4</v>
      </c>
      <c r="AF307" s="20">
        <v>3.8882878064081379E-4</v>
      </c>
      <c r="AG307" s="20">
        <v>5.5594584354142071E-4</v>
      </c>
      <c r="AH307" s="20">
        <v>1.0444715169409175E-3</v>
      </c>
      <c r="AI307" s="20">
        <v>1.0860002745310818E-3</v>
      </c>
      <c r="AJ307" s="20">
        <v>1.1019039503034089E-3</v>
      </c>
      <c r="AK307" s="20">
        <v>2.2916250893460833E-3</v>
      </c>
      <c r="AL307" s="20">
        <v>8.1357447250376329E-4</v>
      </c>
      <c r="AM307" s="20">
        <v>8.5262649595772605E-4</v>
      </c>
      <c r="AN307" s="20">
        <v>1.7742323203106211E-3</v>
      </c>
      <c r="AO307" s="20">
        <v>7.4063474246750089E-4</v>
      </c>
      <c r="AP307" s="20">
        <v>6.3123695206487624E-4</v>
      </c>
      <c r="AQ307" s="20">
        <v>6.7562575189010779E-2</v>
      </c>
      <c r="AR307" s="20">
        <v>1.1686663357219425E-3</v>
      </c>
      <c r="AS307" s="20">
        <v>1.3160997857347399E-3</v>
      </c>
      <c r="AT307" s="20">
        <v>5.2982761674935598E-4</v>
      </c>
      <c r="AU307" s="20">
        <v>1.1119600722160046E-3</v>
      </c>
      <c r="AV307" s="20">
        <v>7.9113964801402422E-4</v>
      </c>
      <c r="AW307" s="20">
        <v>9.9844863044109872E-4</v>
      </c>
      <c r="AX307" s="20">
        <v>1.3042437403973717E-3</v>
      </c>
      <c r="AY307" s="20">
        <v>8.5143678841176275E-4</v>
      </c>
      <c r="AZ307" s="20">
        <v>2.1394380788943229E-3</v>
      </c>
      <c r="BA307" s="20">
        <v>8.1251632805116197E-4</v>
      </c>
      <c r="BB307" s="20">
        <v>3.4741340725289067E-3</v>
      </c>
      <c r="BC307" s="20">
        <v>9.4621529792556849E-3</v>
      </c>
      <c r="BD307" s="20">
        <v>7.6780526728650426E-3</v>
      </c>
      <c r="BE307" s="20">
        <v>1.2628388029984226E-3</v>
      </c>
      <c r="BF307" s="20">
        <v>1.6830606130945559E-3</v>
      </c>
      <c r="BG307" s="20">
        <v>1.1175840367087858E-2</v>
      </c>
      <c r="BH307" s="20">
        <v>6.6435460465983833E-3</v>
      </c>
      <c r="BI307" s="20">
        <v>2.7069937509839057E-3</v>
      </c>
      <c r="BJ307" s="20">
        <v>5.4463465132865308E-3</v>
      </c>
      <c r="BK307" s="20">
        <v>1.9955951438363896E-3</v>
      </c>
      <c r="BL307" s="20">
        <v>1.3358873924819823E-2</v>
      </c>
      <c r="BM307" s="20">
        <v>4.224980834882249E-3</v>
      </c>
      <c r="BN307" s="20">
        <v>6.8992932918104152E-3</v>
      </c>
      <c r="BO307" s="20">
        <v>2.7386660554519601E-3</v>
      </c>
      <c r="BP307" s="20">
        <v>1.6191655021237038E-3</v>
      </c>
      <c r="BQ307" s="20">
        <v>2.9923513690538793E-3</v>
      </c>
      <c r="BR307" s="20">
        <v>0</v>
      </c>
    </row>
    <row r="308" spans="1:70" x14ac:dyDescent="0.3">
      <c r="A308" s="7">
        <v>2</v>
      </c>
      <c r="B308" s="150" t="s">
        <v>116</v>
      </c>
      <c r="C308" s="150"/>
      <c r="D308" s="150"/>
      <c r="E308" s="150"/>
      <c r="F308" s="20">
        <v>8.9506968999379763E-4</v>
      </c>
      <c r="G308" s="28">
        <v>1.1558699273160966</v>
      </c>
      <c r="H308" s="20">
        <v>8.0849014994042458E-4</v>
      </c>
      <c r="I308" s="20">
        <v>3.2107074325584298E-3</v>
      </c>
      <c r="J308" s="20">
        <v>1.73047493545835E-3</v>
      </c>
      <c r="K308" s="20">
        <v>9.7751715196542051E-4</v>
      </c>
      <c r="L308" s="20">
        <v>0.23301750369984955</v>
      </c>
      <c r="M308" s="20">
        <v>5.6037862981131129E-2</v>
      </c>
      <c r="N308" s="20">
        <v>1.7786049303911849E-2</v>
      </c>
      <c r="O308" s="20">
        <v>1.7802713077490684E-3</v>
      </c>
      <c r="P308" s="20">
        <v>6.1321360393366169E-4</v>
      </c>
      <c r="Q308" s="20">
        <v>2.2522547831024098E-4</v>
      </c>
      <c r="R308" s="20">
        <v>1.5688306136065664E-3</v>
      </c>
      <c r="S308" s="20">
        <v>4.2919236281333878E-3</v>
      </c>
      <c r="T308" s="20">
        <v>9.3661734205846561E-5</v>
      </c>
      <c r="U308" s="20">
        <v>6.8063786133105866E-4</v>
      </c>
      <c r="V308" s="20">
        <v>3.4526033479477237E-4</v>
      </c>
      <c r="W308" s="20">
        <v>6.6908668681826757E-4</v>
      </c>
      <c r="X308" s="20">
        <v>5.2743858336792219E-4</v>
      </c>
      <c r="Y308" s="20">
        <v>8.6634717089283466E-4</v>
      </c>
      <c r="Z308" s="20">
        <v>1.1521983036498072E-3</v>
      </c>
      <c r="AA308" s="20">
        <v>3.9565236873140695E-2</v>
      </c>
      <c r="AB308" s="20">
        <v>8.8818648889570453E-4</v>
      </c>
      <c r="AC308" s="20">
        <v>4.6636903672822271E-3</v>
      </c>
      <c r="AD308" s="20">
        <v>2.7358723394800312E-3</v>
      </c>
      <c r="AE308" s="20">
        <v>2.4494369726756549E-2</v>
      </c>
      <c r="AF308" s="20">
        <v>1.408178458731438E-3</v>
      </c>
      <c r="AG308" s="20">
        <v>1.1807935129873107E-3</v>
      </c>
      <c r="AH308" s="20">
        <v>1.4537574043338145E-2</v>
      </c>
      <c r="AI308" s="20">
        <v>1.3413673749930726E-3</v>
      </c>
      <c r="AJ308" s="20">
        <v>2.9639847623716478E-3</v>
      </c>
      <c r="AK308" s="20">
        <v>1.8876603253176333E-3</v>
      </c>
      <c r="AL308" s="28">
        <v>1.2283704078932757E-3</v>
      </c>
      <c r="AM308" s="20">
        <v>1.0529558337850778E-3</v>
      </c>
      <c r="AN308" s="20">
        <v>9.1282616882379646E-4</v>
      </c>
      <c r="AO308" s="20">
        <v>1.988119549568396E-3</v>
      </c>
      <c r="AP308" s="20">
        <v>2.5566168251948715E-3</v>
      </c>
      <c r="AQ308" s="20">
        <v>2.6589677751948947E-3</v>
      </c>
      <c r="AR308" s="20">
        <v>5.4295492109195723E-3</v>
      </c>
      <c r="AS308" s="20">
        <v>9.3405197691596509E-4</v>
      </c>
      <c r="AT308" s="20">
        <v>8.5353276270488097E-4</v>
      </c>
      <c r="AU308" s="20">
        <v>8.0428316564121357E-4</v>
      </c>
      <c r="AV308" s="20">
        <v>9.1742138668698958E-4</v>
      </c>
      <c r="AW308" s="20">
        <v>9.2564929920951726E-4</v>
      </c>
      <c r="AX308" s="20">
        <v>1.4012046062521423E-3</v>
      </c>
      <c r="AY308" s="20">
        <v>2.7321577676151761E-3</v>
      </c>
      <c r="AZ308" s="20">
        <v>1.6338268053457576E-3</v>
      </c>
      <c r="BA308" s="20">
        <v>1.0692479960059665E-3</v>
      </c>
      <c r="BB308" s="20">
        <v>1.1333774177467177E-3</v>
      </c>
      <c r="BC308" s="20">
        <v>3.2586797972890152E-3</v>
      </c>
      <c r="BD308" s="20">
        <v>2.9942198560149198E-3</v>
      </c>
      <c r="BE308" s="20">
        <v>8.9140926261626295E-4</v>
      </c>
      <c r="BF308" s="20">
        <v>4.9115534731189849E-4</v>
      </c>
      <c r="BG308" s="20">
        <v>1.7927128117418739E-3</v>
      </c>
      <c r="BH308" s="20">
        <v>1.9152801348665915E-3</v>
      </c>
      <c r="BI308" s="20">
        <v>2.052074603894765E-3</v>
      </c>
      <c r="BJ308" s="20">
        <v>1.8129955448824831E-3</v>
      </c>
      <c r="BK308" s="20">
        <v>3.0142972136907586E-3</v>
      </c>
      <c r="BL308" s="20">
        <v>2.0388226679082205E-3</v>
      </c>
      <c r="BM308" s="20">
        <v>2.059734198077561E-3</v>
      </c>
      <c r="BN308" s="20">
        <v>2.8055104330351904E-3</v>
      </c>
      <c r="BO308" s="20">
        <v>2.0268331337595456E-3</v>
      </c>
      <c r="BP308" s="20">
        <v>2.2619577062658737E-3</v>
      </c>
      <c r="BQ308" s="20">
        <v>2.7120930303896566E-3</v>
      </c>
      <c r="BR308" s="20">
        <v>0</v>
      </c>
    </row>
    <row r="309" spans="1:70" x14ac:dyDescent="0.3">
      <c r="A309" s="7">
        <v>3</v>
      </c>
      <c r="B309" s="150" t="s">
        <v>117</v>
      </c>
      <c r="C309" s="150"/>
      <c r="D309" s="150"/>
      <c r="E309" s="150"/>
      <c r="F309" s="20">
        <v>1.5455352050888966E-3</v>
      </c>
      <c r="G309" s="20">
        <v>1.3496125825618964E-4</v>
      </c>
      <c r="H309" s="20">
        <v>1.0044196137350609</v>
      </c>
      <c r="I309" s="20">
        <v>4.5625007213180388E-5</v>
      </c>
      <c r="J309" s="20">
        <v>1.7106243147732767E-2</v>
      </c>
      <c r="K309" s="20">
        <v>9.5693172306209591E-5</v>
      </c>
      <c r="L309" s="20">
        <v>7.3772056862795395E-5</v>
      </c>
      <c r="M309" s="20">
        <v>3.9782286362734821E-5</v>
      </c>
      <c r="N309" s="20">
        <v>7.8607536261751261E-5</v>
      </c>
      <c r="O309" s="20">
        <v>4.8218990954753108E-5</v>
      </c>
      <c r="P309" s="20">
        <v>2.4474728861488678E-4</v>
      </c>
      <c r="Q309" s="20">
        <v>2.4313196005470388E-5</v>
      </c>
      <c r="R309" s="20">
        <v>4.3797597335168729E-5</v>
      </c>
      <c r="S309" s="20">
        <v>5.4578359186434398E-5</v>
      </c>
      <c r="T309" s="20">
        <v>3.9587856204508189E-6</v>
      </c>
      <c r="U309" s="20">
        <v>4.1023311300297914E-5</v>
      </c>
      <c r="V309" s="20">
        <v>1.7399918685588313E-5</v>
      </c>
      <c r="W309" s="20">
        <v>2.1739528536192931E-5</v>
      </c>
      <c r="X309" s="20">
        <v>1.6758618882765915E-5</v>
      </c>
      <c r="Y309" s="20">
        <v>2.0284960098085481E-5</v>
      </c>
      <c r="Z309" s="20">
        <v>4.3971397687999864E-5</v>
      </c>
      <c r="AA309" s="20">
        <v>1.5466688853405371E-4</v>
      </c>
      <c r="AB309" s="20">
        <v>2.069711643323162E-4</v>
      </c>
      <c r="AC309" s="20">
        <v>2.9960905061259974E-5</v>
      </c>
      <c r="AD309" s="20">
        <v>4.5323852974019927E-5</v>
      </c>
      <c r="AE309" s="20">
        <v>4.5065349934024252E-5</v>
      </c>
      <c r="AF309" s="20">
        <v>3.1544997140795248E-5</v>
      </c>
      <c r="AG309" s="20">
        <v>5.3985454816714244E-5</v>
      </c>
      <c r="AH309" s="20">
        <v>1.0257938317283872E-4</v>
      </c>
      <c r="AI309" s="20">
        <v>6.9298210784935025E-5</v>
      </c>
      <c r="AJ309" s="20">
        <v>1.172285838872027E-4</v>
      </c>
      <c r="AK309" s="20">
        <v>1.2951200832982736E-4</v>
      </c>
      <c r="AL309" s="20">
        <v>1.1782956853664749E-4</v>
      </c>
      <c r="AM309" s="20">
        <v>8.8872509718250327E-5</v>
      </c>
      <c r="AN309" s="20">
        <v>3.4288183502387254E-4</v>
      </c>
      <c r="AO309" s="20">
        <v>7.7603630871202564E-5</v>
      </c>
      <c r="AP309" s="20">
        <v>6.6568422054959209E-5</v>
      </c>
      <c r="AQ309" s="20">
        <v>1.5694914798096093E-2</v>
      </c>
      <c r="AR309" s="20">
        <v>1.3868281428372977E-4</v>
      </c>
      <c r="AS309" s="20">
        <v>1.7447976481044136E-4</v>
      </c>
      <c r="AT309" s="20">
        <v>4.9002371670142447E-5</v>
      </c>
      <c r="AU309" s="20">
        <v>2.0356792100262029E-4</v>
      </c>
      <c r="AV309" s="20">
        <v>9.01335839569429E-5</v>
      </c>
      <c r="AW309" s="20">
        <v>9.9250383002396142E-5</v>
      </c>
      <c r="AX309" s="20">
        <v>1.6298079317152218E-4</v>
      </c>
      <c r="AY309" s="20">
        <v>8.356129312898389E-5</v>
      </c>
      <c r="AZ309" s="20">
        <v>1.875407356164116E-4</v>
      </c>
      <c r="BA309" s="20">
        <v>7.9042663143068012E-5</v>
      </c>
      <c r="BB309" s="20">
        <v>2.4679814343402123E-4</v>
      </c>
      <c r="BC309" s="20">
        <v>1.4067938203484563E-4</v>
      </c>
      <c r="BD309" s="20">
        <v>1.7632889467091635E-3</v>
      </c>
      <c r="BE309" s="20">
        <v>5.9890582010106671E-5</v>
      </c>
      <c r="BF309" s="20">
        <v>3.1935291737667768E-4</v>
      </c>
      <c r="BG309" s="20">
        <v>2.4848607539032881E-3</v>
      </c>
      <c r="BH309" s="20">
        <v>2.0560517239671741E-4</v>
      </c>
      <c r="BI309" s="20">
        <v>3.275180680415958E-4</v>
      </c>
      <c r="BJ309" s="20">
        <v>5.6115045882551139E-4</v>
      </c>
      <c r="BK309" s="20">
        <v>2.5796114490748577E-4</v>
      </c>
      <c r="BL309" s="20">
        <v>1.6987927153271853E-3</v>
      </c>
      <c r="BM309" s="20">
        <v>4.7060569100075122E-4</v>
      </c>
      <c r="BN309" s="20">
        <v>7.8625892951717728E-4</v>
      </c>
      <c r="BO309" s="20">
        <v>4.1138827274247254E-4</v>
      </c>
      <c r="BP309" s="20">
        <v>1.4888316610179586E-4</v>
      </c>
      <c r="BQ309" s="20">
        <v>1.0250605575681023E-4</v>
      </c>
      <c r="BR309" s="20">
        <v>0</v>
      </c>
    </row>
    <row r="310" spans="1:70" x14ac:dyDescent="0.3">
      <c r="A310" s="7">
        <v>4</v>
      </c>
      <c r="B310" s="150" t="s">
        <v>118</v>
      </c>
      <c r="C310" s="150"/>
      <c r="D310" s="150"/>
      <c r="E310" s="150"/>
      <c r="F310" s="20">
        <v>3.941594533685866E-2</v>
      </c>
      <c r="G310" s="20">
        <v>3.0027794646811348E-2</v>
      </c>
      <c r="H310" s="20">
        <v>4.450786468632955E-2</v>
      </c>
      <c r="I310" s="20">
        <v>1.0576374536026529</v>
      </c>
      <c r="J310" s="20">
        <v>2.0596427622380526E-2</v>
      </c>
      <c r="K310" s="20">
        <v>7.145128604101901E-3</v>
      </c>
      <c r="L310" s="20">
        <v>2.2958601295646898E-2</v>
      </c>
      <c r="M310" s="20">
        <v>4.0996364586754631E-2</v>
      </c>
      <c r="N310" s="20">
        <v>2.3570463064977318E-2</v>
      </c>
      <c r="O310" s="20">
        <v>0.37282811886168121</v>
      </c>
      <c r="P310" s="20">
        <v>1.2252924871026657E-2</v>
      </c>
      <c r="Q310" s="20">
        <v>1.3240637888767726E-3</v>
      </c>
      <c r="R310" s="20">
        <v>8.6458693485150558E-3</v>
      </c>
      <c r="S310" s="20">
        <v>6.8819227736862928E-2</v>
      </c>
      <c r="T310" s="20">
        <v>3.2180783640698382E-3</v>
      </c>
      <c r="U310" s="20">
        <v>8.9860599755299461E-3</v>
      </c>
      <c r="V310" s="20">
        <v>1.5702899440988116E-3</v>
      </c>
      <c r="W310" s="20">
        <v>3.4020628662163577E-3</v>
      </c>
      <c r="X310" s="20">
        <v>4.1171432069731888E-3</v>
      </c>
      <c r="Y310" s="20">
        <v>2.8441083098778145E-3</v>
      </c>
      <c r="Z310" s="20">
        <v>3.7975861943053794E-3</v>
      </c>
      <c r="AA310" s="20">
        <v>1.5868335458754341E-2</v>
      </c>
      <c r="AB310" s="20">
        <v>1.1107535012972531E-2</v>
      </c>
      <c r="AC310" s="20">
        <v>0.25099850919646949</v>
      </c>
      <c r="AD310" s="20">
        <v>0.86262127524696308</v>
      </c>
      <c r="AE310" s="20">
        <v>0.30582474997203607</v>
      </c>
      <c r="AF310" s="20">
        <v>2.7916881505670208E-2</v>
      </c>
      <c r="AG310" s="20">
        <v>2.0599731135898778E-2</v>
      </c>
      <c r="AH310" s="20">
        <v>4.7469606616248557E-2</v>
      </c>
      <c r="AI310" s="20">
        <v>1.4971147805559167E-2</v>
      </c>
      <c r="AJ310" s="20">
        <v>1.4633739197224519E-2</v>
      </c>
      <c r="AK310" s="20">
        <v>1.9575946923632067E-2</v>
      </c>
      <c r="AL310" s="20">
        <v>4.6503000483421521E-2</v>
      </c>
      <c r="AM310" s="20">
        <v>7.7647195469454477E-2</v>
      </c>
      <c r="AN310" s="20">
        <v>5.2974928379113662E-2</v>
      </c>
      <c r="AO310" s="20">
        <v>3.0788508367947349E-2</v>
      </c>
      <c r="AP310" s="20">
        <v>2.0310298659056099E-2</v>
      </c>
      <c r="AQ310" s="20">
        <v>2.2031749799255883E-2</v>
      </c>
      <c r="AR310" s="20">
        <v>9.7115346818075383E-3</v>
      </c>
      <c r="AS310" s="20">
        <v>5.7948434320594256E-3</v>
      </c>
      <c r="AT310" s="20">
        <v>5.1775133941198729E-3</v>
      </c>
      <c r="AU310" s="20">
        <v>4.8327808454957395E-3</v>
      </c>
      <c r="AV310" s="20">
        <v>4.098486805742629E-3</v>
      </c>
      <c r="AW310" s="20">
        <v>4.5719279054736084E-3</v>
      </c>
      <c r="AX310" s="20">
        <v>4.6008810820809603E-3</v>
      </c>
      <c r="AY310" s="20">
        <v>1.3555231370419613E-2</v>
      </c>
      <c r="AZ310" s="20">
        <v>5.3024804371076826E-3</v>
      </c>
      <c r="BA310" s="20">
        <v>8.4996266303065445E-3</v>
      </c>
      <c r="BB310" s="20">
        <v>1.0925089684308904E-2</v>
      </c>
      <c r="BC310" s="20">
        <v>8.217883477973191E-3</v>
      </c>
      <c r="BD310" s="20">
        <v>8.9947511889197397E-3</v>
      </c>
      <c r="BE310" s="20">
        <v>1.1213939759546612E-2</v>
      </c>
      <c r="BF310" s="20">
        <v>3.9495235014483706E-3</v>
      </c>
      <c r="BG310" s="20">
        <v>2.3648290416529487E-2</v>
      </c>
      <c r="BH310" s="20">
        <v>1.8840855822562608E-2</v>
      </c>
      <c r="BI310" s="20">
        <v>1.3153097269565508E-2</v>
      </c>
      <c r="BJ310" s="20">
        <v>1.7736508822285904E-2</v>
      </c>
      <c r="BK310" s="20">
        <v>9.8184436346127908E-3</v>
      </c>
      <c r="BL310" s="20">
        <v>2.1569905541197875E-2</v>
      </c>
      <c r="BM310" s="20">
        <v>1.5666547633724548E-2</v>
      </c>
      <c r="BN310" s="20">
        <v>2.8855086678397934E-2</v>
      </c>
      <c r="BO310" s="20">
        <v>1.6707517155687256E-2</v>
      </c>
      <c r="BP310" s="20">
        <v>9.963876347716968E-3</v>
      </c>
      <c r="BQ310" s="20">
        <v>3.4553086807354083E-2</v>
      </c>
      <c r="BR310" s="20">
        <v>0</v>
      </c>
    </row>
    <row r="311" spans="1:70" x14ac:dyDescent="0.3">
      <c r="A311" s="7">
        <v>5</v>
      </c>
      <c r="B311" s="150" t="s">
        <v>119</v>
      </c>
      <c r="C311" s="150"/>
      <c r="D311" s="150"/>
      <c r="E311" s="150"/>
      <c r="F311" s="20">
        <v>0.10182606919261214</v>
      </c>
      <c r="G311" s="20">
        <v>3.1690043919719952E-3</v>
      </c>
      <c r="H311" s="20">
        <v>1.8071443099569009E-2</v>
      </c>
      <c r="I311" s="20">
        <v>1.7794172077860515E-3</v>
      </c>
      <c r="J311" s="20">
        <v>1.1474765545354915</v>
      </c>
      <c r="K311" s="20">
        <v>5.7586706146103995E-3</v>
      </c>
      <c r="L311" s="20">
        <v>1.9285896852566748E-3</v>
      </c>
      <c r="M311" s="20">
        <v>1.5471704204156704E-3</v>
      </c>
      <c r="N311" s="20">
        <v>2.3715968441366548E-3</v>
      </c>
      <c r="O311" s="20">
        <v>1.5744330371859204E-3</v>
      </c>
      <c r="P311" s="20">
        <v>1.5839286049633406E-2</v>
      </c>
      <c r="Q311" s="20">
        <v>1.3613154136474619E-3</v>
      </c>
      <c r="R311" s="20">
        <v>2.0478334575305844E-3</v>
      </c>
      <c r="S311" s="20">
        <v>1.2641965409269258E-3</v>
      </c>
      <c r="T311" s="20">
        <v>1.1104224880032687E-4</v>
      </c>
      <c r="U311" s="20">
        <v>8.861850348404716E-4</v>
      </c>
      <c r="V311" s="20">
        <v>3.8168106301885699E-4</v>
      </c>
      <c r="W311" s="20">
        <v>5.023956314663344E-4</v>
      </c>
      <c r="X311" s="20">
        <v>4.093877803899285E-4</v>
      </c>
      <c r="Y311" s="20">
        <v>5.2929714861891977E-4</v>
      </c>
      <c r="Z311" s="20">
        <v>8.1714964078954413E-4</v>
      </c>
      <c r="AA311" s="20">
        <v>8.2374787427757865E-3</v>
      </c>
      <c r="AB311" s="20">
        <v>3.8421051484154849E-3</v>
      </c>
      <c r="AC311" s="20">
        <v>8.9679928661393743E-4</v>
      </c>
      <c r="AD311" s="20">
        <v>1.6573344689566195E-3</v>
      </c>
      <c r="AE311" s="20">
        <v>1.3339440041527254E-3</v>
      </c>
      <c r="AF311" s="20">
        <v>1.100537840566731E-3</v>
      </c>
      <c r="AG311" s="20">
        <v>1.6551516694572298E-3</v>
      </c>
      <c r="AH311" s="20">
        <v>2.1405261266198919E-3</v>
      </c>
      <c r="AI311" s="20">
        <v>1.9281109861545756E-3</v>
      </c>
      <c r="AJ311" s="20">
        <v>2.8325631884135228E-3</v>
      </c>
      <c r="AK311" s="20">
        <v>5.4563137553193131E-3</v>
      </c>
      <c r="AL311" s="20">
        <v>2.1712933965006356E-3</v>
      </c>
      <c r="AM311" s="20">
        <v>2.0130689046887452E-3</v>
      </c>
      <c r="AN311" s="20">
        <v>5.4321962162804868E-3</v>
      </c>
      <c r="AO311" s="20">
        <v>1.5285875204846784E-3</v>
      </c>
      <c r="AP311" s="20">
        <v>1.3836063960830864E-3</v>
      </c>
      <c r="AQ311" s="20">
        <v>0.22825420188391901</v>
      </c>
      <c r="AR311" s="20">
        <v>2.8178797050116403E-3</v>
      </c>
      <c r="AS311" s="20">
        <v>2.8120080274607368E-3</v>
      </c>
      <c r="AT311" s="20">
        <v>1.0939149978220009E-3</v>
      </c>
      <c r="AU311" s="20">
        <v>3.2840304803594565E-3</v>
      </c>
      <c r="AV311" s="20">
        <v>1.9746576160524216E-3</v>
      </c>
      <c r="AW311" s="20">
        <v>2.4343554389218373E-3</v>
      </c>
      <c r="AX311" s="20">
        <v>2.9862645472132393E-3</v>
      </c>
      <c r="AY311" s="20">
        <v>1.0722286770255883E-3</v>
      </c>
      <c r="AZ311" s="20">
        <v>7.1074237976482069E-3</v>
      </c>
      <c r="BA311" s="20">
        <v>1.754532671550089E-3</v>
      </c>
      <c r="BB311" s="20">
        <v>4.7835923497254245E-3</v>
      </c>
      <c r="BC311" s="20">
        <v>3.906474074332162E-3</v>
      </c>
      <c r="BD311" s="20">
        <v>2.1289467419794001E-2</v>
      </c>
      <c r="BE311" s="20">
        <v>2.2046920516829867E-3</v>
      </c>
      <c r="BF311" s="20">
        <v>5.352556962538833E-3</v>
      </c>
      <c r="BG311" s="20">
        <v>3.6623838974597672E-2</v>
      </c>
      <c r="BH311" s="20">
        <v>9.2230886525913481E-3</v>
      </c>
      <c r="BI311" s="20">
        <v>6.7884692258990296E-3</v>
      </c>
      <c r="BJ311" s="20">
        <v>1.9600464393179053E-2</v>
      </c>
      <c r="BK311" s="20">
        <v>6.8946032784842157E-3</v>
      </c>
      <c r="BL311" s="20">
        <v>5.5335334728628914E-2</v>
      </c>
      <c r="BM311" s="20">
        <v>1.0791298110724885E-2</v>
      </c>
      <c r="BN311" s="20">
        <v>1.5898557698804536E-2</v>
      </c>
      <c r="BO311" s="20">
        <v>8.8399156232723004E-3</v>
      </c>
      <c r="BP311" s="20">
        <v>2.9037699109259203E-3</v>
      </c>
      <c r="BQ311" s="20">
        <v>3.0594735058148592E-3</v>
      </c>
      <c r="BR311" s="20">
        <v>0</v>
      </c>
    </row>
    <row r="312" spans="1:70" x14ac:dyDescent="0.3">
      <c r="A312" s="7">
        <v>6</v>
      </c>
      <c r="B312" s="150" t="s">
        <v>120</v>
      </c>
      <c r="C312" s="150"/>
      <c r="D312" s="150"/>
      <c r="E312" s="150"/>
      <c r="F312" s="20">
        <v>1.9513182338674936E-3</v>
      </c>
      <c r="G312" s="20">
        <v>4.1561464396147737E-3</v>
      </c>
      <c r="H312" s="20">
        <v>2.6179087832876667E-2</v>
      </c>
      <c r="I312" s="20">
        <v>3.897587220899789E-3</v>
      </c>
      <c r="J312" s="20">
        <v>2.4803211642788502E-3</v>
      </c>
      <c r="K312" s="20">
        <v>1.1821538742342206</v>
      </c>
      <c r="L312" s="20">
        <v>2.0471053151076856E-3</v>
      </c>
      <c r="M312" s="20">
        <v>2.6281194495456541E-3</v>
      </c>
      <c r="N312" s="20">
        <v>6.3064841740419495E-3</v>
      </c>
      <c r="O312" s="20">
        <v>3.2633525786440313E-3</v>
      </c>
      <c r="P312" s="20">
        <v>4.2986161505838223E-4</v>
      </c>
      <c r="Q312" s="20">
        <v>4.7334861351823319E-4</v>
      </c>
      <c r="R312" s="20">
        <v>5.8877278580044198E-3</v>
      </c>
      <c r="S312" s="20">
        <v>2.8013943202650259E-3</v>
      </c>
      <c r="T312" s="20">
        <v>1.5737277529696015E-4</v>
      </c>
      <c r="U312" s="20">
        <v>1.2069995931220407E-3</v>
      </c>
      <c r="V312" s="20">
        <v>6.3587692681962469E-4</v>
      </c>
      <c r="W312" s="20">
        <v>3.4186716145887894E-3</v>
      </c>
      <c r="X312" s="20">
        <v>4.1523093877740466E-4</v>
      </c>
      <c r="Y312" s="20">
        <v>1.1614923297485461E-2</v>
      </c>
      <c r="Z312" s="20">
        <v>1.9838545896837573E-3</v>
      </c>
      <c r="AA312" s="20">
        <v>4.8147269246606852E-2</v>
      </c>
      <c r="AB312" s="20">
        <v>5.8149552913326378E-3</v>
      </c>
      <c r="AC312" s="20">
        <v>1.489218547741E-3</v>
      </c>
      <c r="AD312" s="20">
        <v>4.2427140022479508E-3</v>
      </c>
      <c r="AE312" s="20">
        <v>2.5486867024420096E-3</v>
      </c>
      <c r="AF312" s="20">
        <v>1.157077990826432E-3</v>
      </c>
      <c r="AG312" s="20">
        <v>2.5123976775887884E-3</v>
      </c>
      <c r="AH312" s="20">
        <v>3.2022346771148694E-3</v>
      </c>
      <c r="AI312" s="20">
        <v>4.7764251795874273E-3</v>
      </c>
      <c r="AJ312" s="20">
        <v>4.4374455403786532E-3</v>
      </c>
      <c r="AK312" s="20">
        <v>4.0649087468686129E-3</v>
      </c>
      <c r="AL312" s="20">
        <v>2.6764624203288578E-3</v>
      </c>
      <c r="AM312" s="20">
        <v>7.6806209045652673E-3</v>
      </c>
      <c r="AN312" s="20">
        <v>3.956732568366917E-3</v>
      </c>
      <c r="AO312" s="20">
        <v>2.6339837608780649E-3</v>
      </c>
      <c r="AP312" s="20">
        <v>2.505892712698693E-3</v>
      </c>
      <c r="AQ312" s="20">
        <v>8.156644076233276E-3</v>
      </c>
      <c r="AR312" s="20">
        <v>5.4878328873900657E-3</v>
      </c>
      <c r="AS312" s="20">
        <v>5.6200870757845767E-3</v>
      </c>
      <c r="AT312" s="20">
        <v>1.2172574783908513E-3</v>
      </c>
      <c r="AU312" s="20">
        <v>1.5753586611408452E-3</v>
      </c>
      <c r="AV312" s="20">
        <v>1.3630086562372214E-3</v>
      </c>
      <c r="AW312" s="20">
        <v>1.7533443967088288E-3</v>
      </c>
      <c r="AX312" s="20">
        <v>1.5615253667636757E-3</v>
      </c>
      <c r="AY312" s="20">
        <v>1.4222516174378296E-3</v>
      </c>
      <c r="AZ312" s="20">
        <v>2.8277951017643094E-3</v>
      </c>
      <c r="BA312" s="20">
        <v>3.8031831263604151E-3</v>
      </c>
      <c r="BB312" s="20">
        <v>1.5770666946908569E-3</v>
      </c>
      <c r="BC312" s="20">
        <v>1.4961708800346965E-2</v>
      </c>
      <c r="BD312" s="20">
        <v>1.5104124649291091E-2</v>
      </c>
      <c r="BE312" s="20">
        <v>2.4184128273482618E-2</v>
      </c>
      <c r="BF312" s="20">
        <v>3.0725106442044681E-3</v>
      </c>
      <c r="BG312" s="20">
        <v>5.4355285415116214E-3</v>
      </c>
      <c r="BH312" s="20">
        <v>6.439690196518133E-3</v>
      </c>
      <c r="BI312" s="20">
        <v>3.2114158949355814E-3</v>
      </c>
      <c r="BJ312" s="20">
        <v>2.2034412476789893E-3</v>
      </c>
      <c r="BK312" s="20">
        <v>6.7742089154917253E-3</v>
      </c>
      <c r="BL312" s="20">
        <v>6.3300553725348678E-3</v>
      </c>
      <c r="BM312" s="20">
        <v>1.2148422948702799E-2</v>
      </c>
      <c r="BN312" s="20">
        <v>9.0682692967029282E-3</v>
      </c>
      <c r="BO312" s="20">
        <v>3.7853331063531031E-3</v>
      </c>
      <c r="BP312" s="20">
        <v>3.0778017189703227E-2</v>
      </c>
      <c r="BQ312" s="20">
        <v>2.3172430224364899E-2</v>
      </c>
      <c r="BR312" s="20">
        <v>0</v>
      </c>
    </row>
    <row r="313" spans="1:70" x14ac:dyDescent="0.3">
      <c r="A313" s="7">
        <v>7</v>
      </c>
      <c r="B313" s="150" t="s">
        <v>121</v>
      </c>
      <c r="C313" s="150"/>
      <c r="D313" s="150"/>
      <c r="E313" s="150"/>
      <c r="F313" s="20">
        <v>3.083971043065899E-3</v>
      </c>
      <c r="G313" s="20">
        <v>3.5574233335648213E-3</v>
      </c>
      <c r="H313" s="20">
        <v>2.6492258604966889E-3</v>
      </c>
      <c r="I313" s="20">
        <v>7.1977382922480274E-3</v>
      </c>
      <c r="J313" s="20">
        <v>3.6944398835142916E-3</v>
      </c>
      <c r="K313" s="20">
        <v>3.0627149834686796E-3</v>
      </c>
      <c r="L313" s="20">
        <v>1.2670902847466605</v>
      </c>
      <c r="M313" s="20">
        <v>3.2305601923570113E-3</v>
      </c>
      <c r="N313" s="20">
        <v>5.7151167524695859E-3</v>
      </c>
      <c r="O313" s="20">
        <v>5.3771962625171026E-3</v>
      </c>
      <c r="P313" s="20">
        <v>2.2955226941925445E-3</v>
      </c>
      <c r="Q313" s="20">
        <v>3.5355676993007763E-4</v>
      </c>
      <c r="R313" s="20">
        <v>6.3943550885394839E-3</v>
      </c>
      <c r="S313" s="20">
        <v>2.0429645262996825E-2</v>
      </c>
      <c r="T313" s="20">
        <v>3.2701637416108819E-4</v>
      </c>
      <c r="U313" s="20">
        <v>2.611056036998783E-3</v>
      </c>
      <c r="V313" s="20">
        <v>1.1091303588041347E-3</v>
      </c>
      <c r="W313" s="20">
        <v>2.6900053122445107E-3</v>
      </c>
      <c r="X313" s="20">
        <v>1.5897136178297825E-3</v>
      </c>
      <c r="Y313" s="20">
        <v>4.1819091818631063E-3</v>
      </c>
      <c r="Z313" s="20">
        <v>4.8670434872360819E-3</v>
      </c>
      <c r="AA313" s="20">
        <v>0.13672567078892939</v>
      </c>
      <c r="AB313" s="20">
        <v>2.9708343702242366E-3</v>
      </c>
      <c r="AC313" s="20">
        <v>2.230387474604097E-2</v>
      </c>
      <c r="AD313" s="20">
        <v>6.1932617337609004E-3</v>
      </c>
      <c r="AE313" s="20">
        <v>0.1240676830500205</v>
      </c>
      <c r="AF313" s="20">
        <v>6.2460514506627405E-3</v>
      </c>
      <c r="AG313" s="20">
        <v>3.6252243520932172E-3</v>
      </c>
      <c r="AH313" s="20">
        <v>7.6715322189003357E-2</v>
      </c>
      <c r="AI313" s="20">
        <v>4.6557265532929425E-3</v>
      </c>
      <c r="AJ313" s="20">
        <v>9.3552070699128177E-3</v>
      </c>
      <c r="AK313" s="20">
        <v>6.6846985981729497E-3</v>
      </c>
      <c r="AL313" s="20">
        <v>4.672612254169416E-3</v>
      </c>
      <c r="AM313" s="20">
        <v>3.7550397240659122E-3</v>
      </c>
      <c r="AN313" s="20">
        <v>3.3178719409460342E-3</v>
      </c>
      <c r="AO313" s="20">
        <v>8.4372108833007022E-3</v>
      </c>
      <c r="AP313" s="20">
        <v>2.821684670427497E-3</v>
      </c>
      <c r="AQ313" s="20">
        <v>6.4440916617424767E-3</v>
      </c>
      <c r="AR313" s="20">
        <v>3.8044550403099793E-3</v>
      </c>
      <c r="AS313" s="20">
        <v>2.4993029661682319E-3</v>
      </c>
      <c r="AT313" s="20">
        <v>2.5271503749149642E-3</v>
      </c>
      <c r="AU313" s="20">
        <v>1.9806387504712531E-3</v>
      </c>
      <c r="AV313" s="20">
        <v>2.1645619795110948E-3</v>
      </c>
      <c r="AW313" s="20">
        <v>1.5007527744752827E-3</v>
      </c>
      <c r="AX313" s="20">
        <v>1.9575605499310678E-3</v>
      </c>
      <c r="AY313" s="20">
        <v>1.1855228549723569E-2</v>
      </c>
      <c r="AZ313" s="20">
        <v>4.2381241870553931E-3</v>
      </c>
      <c r="BA313" s="20">
        <v>3.2939179364421109E-3</v>
      </c>
      <c r="BB313" s="20">
        <v>3.7877832793546994E-3</v>
      </c>
      <c r="BC313" s="20">
        <v>5.3859629221947912E-3</v>
      </c>
      <c r="BD313" s="20">
        <v>6.9944974867504547E-3</v>
      </c>
      <c r="BE313" s="20">
        <v>3.0015693656653391E-3</v>
      </c>
      <c r="BF313" s="20">
        <v>1.6445485774342521E-3</v>
      </c>
      <c r="BG313" s="20">
        <v>3.3950863201337501E-3</v>
      </c>
      <c r="BH313" s="20">
        <v>3.0233024685776019E-3</v>
      </c>
      <c r="BI313" s="20">
        <v>7.3528977023549855E-3</v>
      </c>
      <c r="BJ313" s="20">
        <v>6.0764305820081447E-3</v>
      </c>
      <c r="BK313" s="20">
        <v>9.9120579031321682E-3</v>
      </c>
      <c r="BL313" s="20">
        <v>7.0905119643002628E-3</v>
      </c>
      <c r="BM313" s="20">
        <v>7.5659463126891736E-3</v>
      </c>
      <c r="BN313" s="20">
        <v>1.0309698567586919E-2</v>
      </c>
      <c r="BO313" s="20">
        <v>4.6314194721519472E-3</v>
      </c>
      <c r="BP313" s="20">
        <v>5.7973165816627287E-3</v>
      </c>
      <c r="BQ313" s="20">
        <v>9.9732552045233708E-3</v>
      </c>
      <c r="BR313" s="20">
        <v>0</v>
      </c>
    </row>
    <row r="314" spans="1:70" x14ac:dyDescent="0.3">
      <c r="A314" s="7">
        <v>8</v>
      </c>
      <c r="B314" s="150" t="s">
        <v>122</v>
      </c>
      <c r="C314" s="150"/>
      <c r="D314" s="150"/>
      <c r="E314" s="150"/>
      <c r="F314" s="20">
        <v>3.9629167130035428E-3</v>
      </c>
      <c r="G314" s="20">
        <v>3.8496544344254063E-3</v>
      </c>
      <c r="H314" s="20">
        <v>2.9715919967612148E-3</v>
      </c>
      <c r="I314" s="20">
        <v>2.7676235755147087E-3</v>
      </c>
      <c r="J314" s="20">
        <v>1.7749285711043172E-2</v>
      </c>
      <c r="K314" s="20">
        <v>5.6682924540966259E-3</v>
      </c>
      <c r="L314" s="20">
        <v>1.0731028456448131E-2</v>
      </c>
      <c r="M314" s="20">
        <v>1.0736820966964009</v>
      </c>
      <c r="N314" s="20">
        <v>0.32140970553735937</v>
      </c>
      <c r="O314" s="20">
        <v>2.2985906547452304E-3</v>
      </c>
      <c r="P314" s="20">
        <v>2.3373608427366402E-3</v>
      </c>
      <c r="Q314" s="20">
        <v>2.5088044701496027E-3</v>
      </c>
      <c r="R314" s="20">
        <v>6.4966281743554155E-3</v>
      </c>
      <c r="S314" s="20">
        <v>5.9603753725616477E-3</v>
      </c>
      <c r="T314" s="20">
        <v>3.3803247637734105E-4</v>
      </c>
      <c r="U314" s="20">
        <v>1.1512440085303473E-3</v>
      </c>
      <c r="V314" s="20">
        <v>2.184786053532561E-3</v>
      </c>
      <c r="W314" s="20">
        <v>2.7495769344922818E-3</v>
      </c>
      <c r="X314" s="20">
        <v>1.3411276634852109E-3</v>
      </c>
      <c r="Y314" s="20">
        <v>1.3139170794261002E-3</v>
      </c>
      <c r="Z314" s="20">
        <v>1.0659499184291032E-3</v>
      </c>
      <c r="AA314" s="20">
        <v>1.2575110183302738E-2</v>
      </c>
      <c r="AB314" s="20">
        <v>3.0682409437699106E-3</v>
      </c>
      <c r="AC314" s="20">
        <v>2.1163455665232402E-3</v>
      </c>
      <c r="AD314" s="20">
        <v>3.0629346166062524E-3</v>
      </c>
      <c r="AE314" s="20">
        <v>5.7221336202800529E-3</v>
      </c>
      <c r="AF314" s="20">
        <v>1.4497406981684453E-3</v>
      </c>
      <c r="AG314" s="20">
        <v>6.2367699756172611E-3</v>
      </c>
      <c r="AH314" s="20">
        <v>3.6658442911018849E-3</v>
      </c>
      <c r="AI314" s="20">
        <v>5.0383332119185121E-3</v>
      </c>
      <c r="AJ314" s="20">
        <v>1.5909192024145646E-2</v>
      </c>
      <c r="AK314" s="20">
        <v>8.4451926622225518E-3</v>
      </c>
      <c r="AL314" s="20">
        <v>2.1760864962042954E-3</v>
      </c>
      <c r="AM314" s="20">
        <v>2.1678253486133664E-3</v>
      </c>
      <c r="AN314" s="20">
        <v>1.8742786585713351E-3</v>
      </c>
      <c r="AO314" s="20">
        <v>2.3341899387317911E-3</v>
      </c>
      <c r="AP314" s="20">
        <v>9.7839207246800206E-3</v>
      </c>
      <c r="AQ314" s="20">
        <v>1.1765710631240772E-2</v>
      </c>
      <c r="AR314" s="20">
        <v>8.7870795619754097E-2</v>
      </c>
      <c r="AS314" s="20">
        <v>6.3993276267066941E-3</v>
      </c>
      <c r="AT314" s="20">
        <v>4.4292187918558434E-3</v>
      </c>
      <c r="AU314" s="20">
        <v>6.9359301081076095E-3</v>
      </c>
      <c r="AV314" s="20">
        <v>6.5976712472740869E-3</v>
      </c>
      <c r="AW314" s="20">
        <v>8.7651574793726553E-3</v>
      </c>
      <c r="AX314" s="20">
        <v>9.7165556887918777E-3</v>
      </c>
      <c r="AY314" s="20">
        <v>2.1991392029328603E-3</v>
      </c>
      <c r="AZ314" s="20">
        <v>3.0663811567716429E-3</v>
      </c>
      <c r="BA314" s="20">
        <v>6.6847492354883886E-3</v>
      </c>
      <c r="BB314" s="20">
        <v>4.9042631802195353E-3</v>
      </c>
      <c r="BC314" s="20">
        <v>3.0947204329193768E-2</v>
      </c>
      <c r="BD314" s="20">
        <v>2.8017053951583215E-2</v>
      </c>
      <c r="BE314" s="20">
        <v>3.0649678033322471E-3</v>
      </c>
      <c r="BF314" s="20">
        <v>1.9438987123296557E-3</v>
      </c>
      <c r="BG314" s="20">
        <v>1.4044285275114171E-2</v>
      </c>
      <c r="BH314" s="20">
        <v>2.2066863560787082E-2</v>
      </c>
      <c r="BI314" s="20">
        <v>3.3032222043216063E-3</v>
      </c>
      <c r="BJ314" s="20">
        <v>7.9323751569586511E-3</v>
      </c>
      <c r="BK314" s="20">
        <v>5.8048670633631012E-3</v>
      </c>
      <c r="BL314" s="20">
        <v>6.9594975251041332E-3</v>
      </c>
      <c r="BM314" s="20">
        <v>6.9212253861756111E-3</v>
      </c>
      <c r="BN314" s="20">
        <v>6.9126581200496936E-3</v>
      </c>
      <c r="BO314" s="20">
        <v>1.8371579772299442E-2</v>
      </c>
      <c r="BP314" s="20">
        <v>1.4691340143732388E-2</v>
      </c>
      <c r="BQ314" s="20">
        <v>9.5030285848398365E-3</v>
      </c>
      <c r="BR314" s="20">
        <v>0</v>
      </c>
    </row>
    <row r="315" spans="1:70" x14ac:dyDescent="0.3">
      <c r="A315" s="7">
        <v>9</v>
      </c>
      <c r="B315" s="150" t="s">
        <v>123</v>
      </c>
      <c r="C315" s="150"/>
      <c r="D315" s="150"/>
      <c r="E315" s="150"/>
      <c r="F315" s="20">
        <v>1.9752815300963966E-3</v>
      </c>
      <c r="G315" s="20">
        <v>4.473659440119699E-3</v>
      </c>
      <c r="H315" s="20">
        <v>2.2473708934876097E-3</v>
      </c>
      <c r="I315" s="20">
        <v>9.4322213178358639E-4</v>
      </c>
      <c r="J315" s="20">
        <v>5.2300088197433413E-3</v>
      </c>
      <c r="K315" s="20">
        <v>3.1973896633201333E-3</v>
      </c>
      <c r="L315" s="20">
        <v>4.9316966882178058E-3</v>
      </c>
      <c r="M315" s="20">
        <v>1.992515618190104E-3</v>
      </c>
      <c r="N315" s="20">
        <v>1.0704559483265277</v>
      </c>
      <c r="O315" s="20">
        <v>1.4471970668644902E-3</v>
      </c>
      <c r="P315" s="20">
        <v>9.0898809922437427E-4</v>
      </c>
      <c r="Q315" s="20">
        <v>2.0202143409314447E-3</v>
      </c>
      <c r="R315" s="20">
        <v>7.0008663076104262E-4</v>
      </c>
      <c r="S315" s="20">
        <v>1.6503274719178768E-3</v>
      </c>
      <c r="T315" s="20">
        <v>7.519282585107643E-5</v>
      </c>
      <c r="U315" s="20">
        <v>9.1864986750059415E-4</v>
      </c>
      <c r="V315" s="20">
        <v>7.0814298367619197E-4</v>
      </c>
      <c r="W315" s="20">
        <v>3.3953720096882865E-4</v>
      </c>
      <c r="X315" s="20">
        <v>1.0520267074633867E-3</v>
      </c>
      <c r="Y315" s="20">
        <v>3.237942454051751E-4</v>
      </c>
      <c r="Z315" s="20">
        <v>5.9584652583739601E-4</v>
      </c>
      <c r="AA315" s="20">
        <v>1.7558364213949502E-3</v>
      </c>
      <c r="AB315" s="20">
        <v>1.3417920872215469E-3</v>
      </c>
      <c r="AC315" s="20">
        <v>1.158351903886748E-3</v>
      </c>
      <c r="AD315" s="20">
        <v>1.0511431845227283E-3</v>
      </c>
      <c r="AE315" s="20">
        <v>1.6476505049743109E-3</v>
      </c>
      <c r="AF315" s="20">
        <v>9.9162129197657729E-4</v>
      </c>
      <c r="AG315" s="20">
        <v>1.9501671202646529E-3</v>
      </c>
      <c r="AH315" s="20">
        <v>2.2763707069158442E-3</v>
      </c>
      <c r="AI315" s="20">
        <v>9.104210659452364E-3</v>
      </c>
      <c r="AJ315" s="20">
        <v>1.0607119011104879E-2</v>
      </c>
      <c r="AK315" s="20">
        <v>5.6927296150152823E-3</v>
      </c>
      <c r="AL315" s="20">
        <v>2.0273679612128116E-3</v>
      </c>
      <c r="AM315" s="20">
        <v>1.42470004441945E-3</v>
      </c>
      <c r="AN315" s="20">
        <v>1.4652806129378773E-3</v>
      </c>
      <c r="AO315" s="20">
        <v>1.8190443127159598E-3</v>
      </c>
      <c r="AP315" s="20">
        <v>1.246014077628366E-2</v>
      </c>
      <c r="AQ315" s="20">
        <v>4.9337139912416323E-3</v>
      </c>
      <c r="AR315" s="20">
        <v>0.20369835107880882</v>
      </c>
      <c r="AS315" s="20">
        <v>1.4927043393434354E-2</v>
      </c>
      <c r="AT315" s="20">
        <v>1.180749972766509E-2</v>
      </c>
      <c r="AU315" s="20">
        <v>1.4914522371477206E-2</v>
      </c>
      <c r="AV315" s="20">
        <v>6.6334487008296427E-3</v>
      </c>
      <c r="AW315" s="20">
        <v>7.7486437057748591E-3</v>
      </c>
      <c r="AX315" s="20">
        <v>9.5130173229606482E-3</v>
      </c>
      <c r="AY315" s="20">
        <v>1.1310542429448865E-3</v>
      </c>
      <c r="AZ315" s="20">
        <v>3.1795823484843189E-3</v>
      </c>
      <c r="BA315" s="20">
        <v>7.3714735610574669E-3</v>
      </c>
      <c r="BB315" s="20">
        <v>8.4842728022224666E-3</v>
      </c>
      <c r="BC315" s="20">
        <v>7.8829994181425903E-2</v>
      </c>
      <c r="BD315" s="20">
        <v>3.2625276451428382E-2</v>
      </c>
      <c r="BE315" s="20">
        <v>1.3907781180199864E-3</v>
      </c>
      <c r="BF315" s="20">
        <v>1.6342876595685869E-3</v>
      </c>
      <c r="BG315" s="20">
        <v>1.785914260629012E-2</v>
      </c>
      <c r="BH315" s="20">
        <v>5.936697590070276E-3</v>
      </c>
      <c r="BI315" s="20">
        <v>2.7936795618754514E-3</v>
      </c>
      <c r="BJ315" s="20">
        <v>5.246455258742737E-3</v>
      </c>
      <c r="BK315" s="20">
        <v>1.6983356938726211E-3</v>
      </c>
      <c r="BL315" s="20">
        <v>1.7759014708041124E-3</v>
      </c>
      <c r="BM315" s="20">
        <v>9.1426530513190746E-3</v>
      </c>
      <c r="BN315" s="20">
        <v>9.1631815625657451E-3</v>
      </c>
      <c r="BO315" s="20">
        <v>4.8418299349053694E-2</v>
      </c>
      <c r="BP315" s="20">
        <v>8.0842843510599491E-3</v>
      </c>
      <c r="BQ315" s="20">
        <v>5.9076835254790443E-3</v>
      </c>
      <c r="BR315" s="20">
        <v>0</v>
      </c>
    </row>
    <row r="316" spans="1:70" x14ac:dyDescent="0.3">
      <c r="A316" s="7">
        <v>10</v>
      </c>
      <c r="B316" s="150" t="s">
        <v>124</v>
      </c>
      <c r="C316" s="150"/>
      <c r="D316" s="150"/>
      <c r="E316" s="150"/>
      <c r="F316" s="20">
        <v>4.9659744897999805E-2</v>
      </c>
      <c r="G316" s="20">
        <v>6.6805351312040975E-2</v>
      </c>
      <c r="H316" s="20">
        <v>0.10748224923746574</v>
      </c>
      <c r="I316" s="20">
        <v>5.833110680356126E-2</v>
      </c>
      <c r="J316" s="20">
        <v>2.1162980710345641E-2</v>
      </c>
      <c r="K316" s="20">
        <v>5.330141745304163E-3</v>
      </c>
      <c r="L316" s="20">
        <v>3.018419474108236E-2</v>
      </c>
      <c r="M316" s="20">
        <v>1.2125933078655286E-2</v>
      </c>
      <c r="N316" s="20">
        <v>1.4023310714946162E-2</v>
      </c>
      <c r="O316" s="20">
        <v>1.0354558914448357</v>
      </c>
      <c r="P316" s="20">
        <v>9.0390056228236825E-3</v>
      </c>
      <c r="Q316" s="20">
        <v>6.0340174959596748E-4</v>
      </c>
      <c r="R316" s="20">
        <v>6.8490752132141439E-3</v>
      </c>
      <c r="S316" s="20">
        <v>2.0643554174058765E-2</v>
      </c>
      <c r="T316" s="20">
        <v>2.4874674181712868E-3</v>
      </c>
      <c r="U316" s="20">
        <v>8.01937297913379E-3</v>
      </c>
      <c r="V316" s="20">
        <v>1.3063522768393101E-3</v>
      </c>
      <c r="W316" s="20">
        <v>2.3478909227859141E-3</v>
      </c>
      <c r="X316" s="20">
        <v>3.5163264495041086E-3</v>
      </c>
      <c r="Y316" s="20">
        <v>2.5901567655723457E-3</v>
      </c>
      <c r="Z316" s="20">
        <v>4.9199054102712827E-3</v>
      </c>
      <c r="AA316" s="20">
        <v>2.0867793096520426E-2</v>
      </c>
      <c r="AB316" s="20">
        <v>1.4344232353961506E-2</v>
      </c>
      <c r="AC316" s="20">
        <v>2.0189864581501391E-2</v>
      </c>
      <c r="AD316" s="20">
        <v>4.8817275858536104E-2</v>
      </c>
      <c r="AE316" s="20">
        <v>0.10753260644514506</v>
      </c>
      <c r="AF316" s="20">
        <v>1.093200350452443E-2</v>
      </c>
      <c r="AG316" s="20">
        <v>2.6065174273892894E-2</v>
      </c>
      <c r="AH316" s="20">
        <v>4.0535761266966404E-2</v>
      </c>
      <c r="AI316" s="20">
        <v>1.6198486723802429E-2</v>
      </c>
      <c r="AJ316" s="20">
        <v>2.3713720749382525E-2</v>
      </c>
      <c r="AK316" s="20">
        <v>1.1994333915787095E-2</v>
      </c>
      <c r="AL316" s="20">
        <v>0.11272929329329921</v>
      </c>
      <c r="AM316" s="20">
        <v>0.2018379236227614</v>
      </c>
      <c r="AN316" s="20">
        <v>0.13270804368274727</v>
      </c>
      <c r="AO316" s="20">
        <v>4.0159791045508632E-2</v>
      </c>
      <c r="AP316" s="20">
        <v>2.4748314750337414E-2</v>
      </c>
      <c r="AQ316" s="20">
        <v>1.4195923959006446E-2</v>
      </c>
      <c r="AR316" s="20">
        <v>8.3014234160211156E-3</v>
      </c>
      <c r="AS316" s="20">
        <v>5.0399345084956946E-3</v>
      </c>
      <c r="AT316" s="20">
        <v>3.3368700542681074E-3</v>
      </c>
      <c r="AU316" s="20">
        <v>5.4961974728831194E-3</v>
      </c>
      <c r="AV316" s="20">
        <v>3.6354543812866496E-3</v>
      </c>
      <c r="AW316" s="20">
        <v>4.6106439593962788E-3</v>
      </c>
      <c r="AX316" s="20">
        <v>6.0433809838523747E-3</v>
      </c>
      <c r="AY316" s="20">
        <v>6.6095602235730702E-3</v>
      </c>
      <c r="AZ316" s="20">
        <v>5.6890665421761447E-3</v>
      </c>
      <c r="BA316" s="20">
        <v>1.1749537091404151E-2</v>
      </c>
      <c r="BB316" s="20">
        <v>8.539830225570642E-3</v>
      </c>
      <c r="BC316" s="20">
        <v>8.8995009155698052E-3</v>
      </c>
      <c r="BD316" s="20">
        <v>1.0991768060548151E-2</v>
      </c>
      <c r="BE316" s="20">
        <v>1.6479660086630699E-2</v>
      </c>
      <c r="BF316" s="20">
        <v>7.270094111893383E-3</v>
      </c>
      <c r="BG316" s="20">
        <v>4.8360195179339482E-2</v>
      </c>
      <c r="BH316" s="20">
        <v>1.810937766114936E-2</v>
      </c>
      <c r="BI316" s="20">
        <v>1.2898389002146711E-2</v>
      </c>
      <c r="BJ316" s="20">
        <v>1.120368618327674E-2</v>
      </c>
      <c r="BK316" s="20">
        <v>7.5394798996266709E-3</v>
      </c>
      <c r="BL316" s="20">
        <v>1.4924635425887242E-2</v>
      </c>
      <c r="BM316" s="20">
        <v>1.0384164067224371E-2</v>
      </c>
      <c r="BN316" s="20">
        <v>2.123554638736962E-2</v>
      </c>
      <c r="BO316" s="20">
        <v>1.7357670153984591E-2</v>
      </c>
      <c r="BP316" s="20">
        <v>1.5173579411299995E-2</v>
      </c>
      <c r="BQ316" s="20">
        <v>1.225487945850952E-2</v>
      </c>
      <c r="BR316" s="20">
        <v>0</v>
      </c>
    </row>
    <row r="317" spans="1:70" x14ac:dyDescent="0.3">
      <c r="A317" s="7">
        <v>11</v>
      </c>
      <c r="B317" s="150" t="s">
        <v>125</v>
      </c>
      <c r="C317" s="150"/>
      <c r="D317" s="150"/>
      <c r="E317" s="150"/>
      <c r="F317" s="20">
        <v>7.5912473024374857E-2</v>
      </c>
      <c r="G317" s="20">
        <v>2.6044101349308069E-2</v>
      </c>
      <c r="H317" s="20">
        <v>1.6021624762632546E-2</v>
      </c>
      <c r="I317" s="20">
        <v>7.7084156748950333E-2</v>
      </c>
      <c r="J317" s="20">
        <v>3.4652373326586813E-2</v>
      </c>
      <c r="K317" s="20">
        <v>5.008305381877292E-2</v>
      </c>
      <c r="L317" s="20">
        <v>4.1436896839600196E-2</v>
      </c>
      <c r="M317" s="20">
        <v>3.6444004454972083E-2</v>
      </c>
      <c r="N317" s="20">
        <v>6.8581478008926555E-2</v>
      </c>
      <c r="O317" s="20">
        <v>5.1895744580060202E-2</v>
      </c>
      <c r="P317" s="20">
        <v>1.1856730206981865</v>
      </c>
      <c r="Q317" s="20">
        <v>9.6224957680679669E-3</v>
      </c>
      <c r="R317" s="20">
        <v>0.12461976779045845</v>
      </c>
      <c r="S317" s="20">
        <v>3.9756251611515143E-2</v>
      </c>
      <c r="T317" s="20">
        <v>2.5101906060374926E-3</v>
      </c>
      <c r="U317" s="20">
        <v>1.4472255830514508E-2</v>
      </c>
      <c r="V317" s="20">
        <v>4.2241171134312387E-3</v>
      </c>
      <c r="W317" s="20">
        <v>7.5727918710936587E-3</v>
      </c>
      <c r="X317" s="20">
        <v>5.7590965430896948E-3</v>
      </c>
      <c r="Y317" s="20">
        <v>1.2489537976835453E-2</v>
      </c>
      <c r="Z317" s="20">
        <v>7.3778031909466453E-3</v>
      </c>
      <c r="AA317" s="20">
        <v>3.1723166253390479E-2</v>
      </c>
      <c r="AB317" s="20">
        <v>2.572354417232366E-2</v>
      </c>
      <c r="AC317" s="20">
        <v>2.0701770122054423E-2</v>
      </c>
      <c r="AD317" s="20">
        <v>6.3622382397092767E-2</v>
      </c>
      <c r="AE317" s="20">
        <v>3.0022030285480675E-2</v>
      </c>
      <c r="AF317" s="20">
        <v>3.6333445980806005E-2</v>
      </c>
      <c r="AG317" s="20">
        <v>2.53994866349205E-2</v>
      </c>
      <c r="AH317" s="20">
        <v>2.6330578653543057E-2</v>
      </c>
      <c r="AI317" s="20">
        <v>2.4427592298869431E-2</v>
      </c>
      <c r="AJ317" s="20">
        <v>7.7176221660410754E-3</v>
      </c>
      <c r="AK317" s="20">
        <v>1.0211644325786671E-2</v>
      </c>
      <c r="AL317" s="20">
        <v>1.1170998694014592E-2</v>
      </c>
      <c r="AM317" s="20">
        <v>1.4733880859600824E-2</v>
      </c>
      <c r="AN317" s="20">
        <v>1.073172332698627E-2</v>
      </c>
      <c r="AO317" s="20">
        <v>9.0731702164391654E-3</v>
      </c>
      <c r="AP317" s="20">
        <v>5.5378881986453653E-3</v>
      </c>
      <c r="AQ317" s="20">
        <v>1.8233050335820858E-2</v>
      </c>
      <c r="AR317" s="20">
        <v>1.8643734481924412E-2</v>
      </c>
      <c r="AS317" s="20">
        <v>7.3837190009948279E-3</v>
      </c>
      <c r="AT317" s="20">
        <v>3.0564507111031126E-3</v>
      </c>
      <c r="AU317" s="20">
        <v>3.6725593931998929E-3</v>
      </c>
      <c r="AV317" s="20">
        <v>3.3917493210653634E-3</v>
      </c>
      <c r="AW317" s="20">
        <v>3.950757106887897E-3</v>
      </c>
      <c r="AX317" s="20">
        <v>4.8830819555918999E-3</v>
      </c>
      <c r="AY317" s="20">
        <v>1.222421288998554E-2</v>
      </c>
      <c r="AZ317" s="20">
        <v>3.4050741941114592E-3</v>
      </c>
      <c r="BA317" s="20">
        <v>1.6278880581859986E-2</v>
      </c>
      <c r="BB317" s="20">
        <v>2.5664441694939758E-2</v>
      </c>
      <c r="BC317" s="20">
        <v>1.298990992589698E-2</v>
      </c>
      <c r="BD317" s="20">
        <v>3.1069766868509742E-2</v>
      </c>
      <c r="BE317" s="20">
        <v>1.1506097940173829E-2</v>
      </c>
      <c r="BF317" s="20">
        <v>1.9547417894493734E-3</v>
      </c>
      <c r="BG317" s="20">
        <v>1.0141195136979286E-2</v>
      </c>
      <c r="BH317" s="20">
        <v>2.1362679361434749E-2</v>
      </c>
      <c r="BI317" s="20">
        <v>7.7227740631857977E-3</v>
      </c>
      <c r="BJ317" s="20">
        <v>9.6820876234583828E-3</v>
      </c>
      <c r="BK317" s="20">
        <v>9.6594418162193295E-3</v>
      </c>
      <c r="BL317" s="20">
        <v>1.4013367227529272E-2</v>
      </c>
      <c r="BM317" s="20">
        <v>1.082268149854523E-2</v>
      </c>
      <c r="BN317" s="20">
        <v>2.0183430339454866E-2</v>
      </c>
      <c r="BO317" s="20">
        <v>1.0763466999570049E-2</v>
      </c>
      <c r="BP317" s="20">
        <v>8.231825061965483E-3</v>
      </c>
      <c r="BQ317" s="20">
        <v>8.4676991114758543E-2</v>
      </c>
      <c r="BR317" s="20">
        <v>0</v>
      </c>
    </row>
    <row r="318" spans="1:70" x14ac:dyDescent="0.3">
      <c r="A318" s="7">
        <v>12</v>
      </c>
      <c r="B318" s="150" t="s">
        <v>126</v>
      </c>
      <c r="C318" s="150"/>
      <c r="D318" s="150"/>
      <c r="E318" s="150"/>
      <c r="F318" s="20">
        <v>4.3844888566286514E-3</v>
      </c>
      <c r="G318" s="20">
        <v>2.2821084855638611E-4</v>
      </c>
      <c r="H318" s="20">
        <v>2.1462413775898869E-4</v>
      </c>
      <c r="I318" s="20">
        <v>1.7533236855965862E-4</v>
      </c>
      <c r="J318" s="20">
        <v>1.6853496292896578E-3</v>
      </c>
      <c r="K318" s="20">
        <v>1.7765073650558282E-4</v>
      </c>
      <c r="L318" s="20">
        <v>1.8441302042600268E-4</v>
      </c>
      <c r="M318" s="20">
        <v>8.5491054070043431E-5</v>
      </c>
      <c r="N318" s="20">
        <v>2.7024544297857587E-4</v>
      </c>
      <c r="O318" s="20">
        <v>1.7127529479779756E-4</v>
      </c>
      <c r="P318" s="20">
        <v>5.1262456029769511E-4</v>
      </c>
      <c r="Q318" s="20">
        <v>1.0412805161913603</v>
      </c>
      <c r="R318" s="20">
        <v>1.3356051960889762E-4</v>
      </c>
      <c r="S318" s="20">
        <v>1.5398790270594178E-4</v>
      </c>
      <c r="T318" s="20">
        <v>9.8782585680597205E-6</v>
      </c>
      <c r="U318" s="20">
        <v>6.7263353877283742E-5</v>
      </c>
      <c r="V318" s="20">
        <v>3.5396436181898852E-5</v>
      </c>
      <c r="W318" s="20">
        <v>5.2280654937495798E-5</v>
      </c>
      <c r="X318" s="20">
        <v>1.160229680304925E-4</v>
      </c>
      <c r="Y318" s="20">
        <v>4.7916935535725806E-5</v>
      </c>
      <c r="Z318" s="20">
        <v>5.9001423945311602E-5</v>
      </c>
      <c r="AA318" s="20">
        <v>6.4131562338527021E-4</v>
      </c>
      <c r="AB318" s="20">
        <v>1.8454941871849678E-4</v>
      </c>
      <c r="AC318" s="20">
        <v>1.8598964919823389E-4</v>
      </c>
      <c r="AD318" s="20">
        <v>1.6098953399697834E-4</v>
      </c>
      <c r="AE318" s="20">
        <v>1.5188646679406526E-4</v>
      </c>
      <c r="AF318" s="20">
        <v>1.1433205463983614E-4</v>
      </c>
      <c r="AG318" s="20">
        <v>1.9989733466075599E-4</v>
      </c>
      <c r="AH318" s="20">
        <v>2.1717453745034206E-4</v>
      </c>
      <c r="AI318" s="20">
        <v>8.2499087624846739E-4</v>
      </c>
      <c r="AJ318" s="20">
        <v>5.4941009932324577E-4</v>
      </c>
      <c r="AK318" s="20">
        <v>7.5386668715649941E-4</v>
      </c>
      <c r="AL318" s="20">
        <v>2.0056196774253081E-4</v>
      </c>
      <c r="AM318" s="20">
        <v>1.7469084240413519E-4</v>
      </c>
      <c r="AN318" s="20">
        <v>2.0530513106571246E-4</v>
      </c>
      <c r="AO318" s="20">
        <v>1.7451331349428511E-4</v>
      </c>
      <c r="AP318" s="20">
        <v>4.8256858288514906E-4</v>
      </c>
      <c r="AQ318" s="20">
        <v>9.0897875377807323E-4</v>
      </c>
      <c r="AR318" s="20">
        <v>6.5848367723215086E-4</v>
      </c>
      <c r="AS318" s="20">
        <v>2.9332232583160448E-4</v>
      </c>
      <c r="AT318" s="20">
        <v>3.639158370507748E-4</v>
      </c>
      <c r="AU318" s="20">
        <v>2.4389176132786491E-4</v>
      </c>
      <c r="AV318" s="20">
        <v>2.4758131988312652E-4</v>
      </c>
      <c r="AW318" s="20">
        <v>5.0147071742755146E-4</v>
      </c>
      <c r="AX318" s="20">
        <v>1.1198193227239053E-3</v>
      </c>
      <c r="AY318" s="20">
        <v>1.1058699118484004E-4</v>
      </c>
      <c r="AZ318" s="20">
        <v>4.3234192513077872E-4</v>
      </c>
      <c r="BA318" s="20">
        <v>3.9497917964983125E-4</v>
      </c>
      <c r="BB318" s="20">
        <v>2.579071453166749E-3</v>
      </c>
      <c r="BC318" s="20">
        <v>1.9082575120108504E-2</v>
      </c>
      <c r="BD318" s="20">
        <v>9.825470112481765E-4</v>
      </c>
      <c r="BE318" s="20">
        <v>1.9833098462025301E-4</v>
      </c>
      <c r="BF318" s="20">
        <v>3.5783482842283897E-4</v>
      </c>
      <c r="BG318" s="20">
        <v>6.4564447571602746E-4</v>
      </c>
      <c r="BH318" s="20">
        <v>5.0077871394041352E-4</v>
      </c>
      <c r="BI318" s="20">
        <v>1.0527234762097075E-3</v>
      </c>
      <c r="BJ318" s="20">
        <v>1.0884823399267161E-3</v>
      </c>
      <c r="BK318" s="20">
        <v>0.12651400836313942</v>
      </c>
      <c r="BL318" s="20">
        <v>2.3067658011698751E-2</v>
      </c>
      <c r="BM318" s="20">
        <v>7.622330365314188E-4</v>
      </c>
      <c r="BN318" s="20">
        <v>1.2784223091282442E-3</v>
      </c>
      <c r="BO318" s="20">
        <v>7.9512042416647665E-4</v>
      </c>
      <c r="BP318" s="20">
        <v>3.3327575916130994E-4</v>
      </c>
      <c r="BQ318" s="20">
        <v>3.391646216651416E-4</v>
      </c>
      <c r="BR318" s="20">
        <v>0</v>
      </c>
    </row>
    <row r="319" spans="1:70" x14ac:dyDescent="0.3">
      <c r="A319" s="7">
        <v>13</v>
      </c>
      <c r="B319" s="150" t="s">
        <v>8</v>
      </c>
      <c r="C319" s="150"/>
      <c r="D319" s="150"/>
      <c r="E319" s="150"/>
      <c r="F319" s="20">
        <v>7.3266704653697492E-3</v>
      </c>
      <c r="G319" s="20">
        <v>1.1885640187603182E-2</v>
      </c>
      <c r="H319" s="20">
        <v>1.4478767012183742E-2</v>
      </c>
      <c r="I319" s="20">
        <v>1.7008767052428968E-2</v>
      </c>
      <c r="J319" s="20">
        <v>2.5613820745045496E-2</v>
      </c>
      <c r="K319" s="20">
        <v>1.4752586073374006E-2</v>
      </c>
      <c r="L319" s="20">
        <v>1.4417568901827039E-2</v>
      </c>
      <c r="M319" s="20">
        <v>1.4138648320446727E-2</v>
      </c>
      <c r="N319" s="20">
        <v>1.8257839203690313E-2</v>
      </c>
      <c r="O319" s="20">
        <v>8.3608611899706788E-3</v>
      </c>
      <c r="P319" s="20">
        <v>7.6829112124581298E-3</v>
      </c>
      <c r="Q319" s="20">
        <v>2.7807086785767532E-3</v>
      </c>
      <c r="R319" s="20">
        <v>1.0964801701342275</v>
      </c>
      <c r="S319" s="20">
        <v>3.503426012136495E-2</v>
      </c>
      <c r="T319" s="20">
        <v>1.2001461305782566E-3</v>
      </c>
      <c r="U319" s="20">
        <v>3.9101692291230649E-3</v>
      </c>
      <c r="V319" s="20">
        <v>6.3295694026038064E-3</v>
      </c>
      <c r="W319" s="20">
        <v>3.2372266478095907E-2</v>
      </c>
      <c r="X319" s="20">
        <v>5.3652409641655957E-3</v>
      </c>
      <c r="Y319" s="20">
        <v>1.5514001687722757E-2</v>
      </c>
      <c r="Z319" s="20">
        <v>1.0779955562669861E-2</v>
      </c>
      <c r="AA319" s="20">
        <v>2.9807705710229757E-2</v>
      </c>
      <c r="AB319" s="20">
        <v>9.7985056252495959E-3</v>
      </c>
      <c r="AC319" s="20">
        <v>6.0063800162168989E-3</v>
      </c>
      <c r="AD319" s="20">
        <v>1.417554388945288E-2</v>
      </c>
      <c r="AE319" s="20">
        <v>8.174981663366554E-3</v>
      </c>
      <c r="AF319" s="20">
        <v>6.8556731518020757E-3</v>
      </c>
      <c r="AG319" s="20">
        <v>3.477772283170201E-2</v>
      </c>
      <c r="AH319" s="20">
        <v>4.048650993299862E-2</v>
      </c>
      <c r="AI319" s="20">
        <v>5.5464022687921222E-2</v>
      </c>
      <c r="AJ319" s="20">
        <v>1.8342023377551704E-2</v>
      </c>
      <c r="AK319" s="20">
        <v>1.5367113426225636E-2</v>
      </c>
      <c r="AL319" s="20">
        <v>1.4614376158215691E-2</v>
      </c>
      <c r="AM319" s="20">
        <v>4.0072205315609469E-3</v>
      </c>
      <c r="AN319" s="20">
        <v>3.9001492359960681E-3</v>
      </c>
      <c r="AO319" s="20">
        <v>5.440784562378829E-3</v>
      </c>
      <c r="AP319" s="20">
        <v>4.4582436790765456E-3</v>
      </c>
      <c r="AQ319" s="20">
        <v>1.1350116968713582E-2</v>
      </c>
      <c r="AR319" s="20">
        <v>6.3167190727528889E-3</v>
      </c>
      <c r="AS319" s="20">
        <v>1.9339149426923061E-3</v>
      </c>
      <c r="AT319" s="20">
        <v>1.8775620779719069E-3</v>
      </c>
      <c r="AU319" s="20">
        <v>3.2461978776638133E-3</v>
      </c>
      <c r="AV319" s="20">
        <v>2.4016784806348036E-3</v>
      </c>
      <c r="AW319" s="20">
        <v>2.7610403168407344E-3</v>
      </c>
      <c r="AX319" s="20">
        <v>6.0722071477339644E-3</v>
      </c>
      <c r="AY319" s="20">
        <v>1.0109535372665105E-2</v>
      </c>
      <c r="AZ319" s="20">
        <v>3.5651604994503434E-3</v>
      </c>
      <c r="BA319" s="20">
        <v>4.3812779303928082E-3</v>
      </c>
      <c r="BB319" s="20">
        <v>5.9467015361827332E-3</v>
      </c>
      <c r="BC319" s="20">
        <v>1.2227901616544251E-2</v>
      </c>
      <c r="BD319" s="20">
        <v>9.5708373737670455E-3</v>
      </c>
      <c r="BE319" s="20">
        <v>3.6898408410497665E-3</v>
      </c>
      <c r="BF319" s="20">
        <v>1.0378301739821731E-3</v>
      </c>
      <c r="BG319" s="20">
        <v>7.2148380047690978E-3</v>
      </c>
      <c r="BH319" s="20">
        <v>4.9792500220405137E-3</v>
      </c>
      <c r="BI319" s="20">
        <v>5.7334797814931771E-3</v>
      </c>
      <c r="BJ319" s="20">
        <v>3.4433372621985761E-3</v>
      </c>
      <c r="BK319" s="20">
        <v>6.3197402627922609E-3</v>
      </c>
      <c r="BL319" s="20">
        <v>8.7864630637641203E-3</v>
      </c>
      <c r="BM319" s="20">
        <v>5.9851090062502874E-3</v>
      </c>
      <c r="BN319" s="20">
        <v>7.9032925034511151E-3</v>
      </c>
      <c r="BO319" s="20">
        <v>7.7425665438003869E-3</v>
      </c>
      <c r="BP319" s="20">
        <v>8.4723641669259345E-3</v>
      </c>
      <c r="BQ319" s="20">
        <v>1.728546908008264E-2</v>
      </c>
      <c r="BR319" s="20">
        <v>0</v>
      </c>
    </row>
    <row r="320" spans="1:70" x14ac:dyDescent="0.3">
      <c r="A320" s="7">
        <v>14</v>
      </c>
      <c r="B320" s="150" t="s">
        <v>9</v>
      </c>
      <c r="C320" s="150"/>
      <c r="D320" s="150"/>
      <c r="E320" s="150"/>
      <c r="F320" s="20">
        <v>4.7721102552445924E-3</v>
      </c>
      <c r="G320" s="20">
        <v>3.7114632621155813E-3</v>
      </c>
      <c r="H320" s="20">
        <v>2.2436329969661457E-3</v>
      </c>
      <c r="I320" s="20">
        <v>1.834715485756784E-3</v>
      </c>
      <c r="J320" s="20">
        <v>5.4539104103726215E-3</v>
      </c>
      <c r="K320" s="20">
        <v>9.0912957924386203E-4</v>
      </c>
      <c r="L320" s="20">
        <v>1.4022958304346704E-2</v>
      </c>
      <c r="M320" s="20">
        <v>1.0239920056812248E-3</v>
      </c>
      <c r="N320" s="20">
        <v>3.2898324479923094E-3</v>
      </c>
      <c r="O320" s="20">
        <v>3.4050845564984182E-3</v>
      </c>
      <c r="P320" s="20">
        <v>9.7081601942024113E-4</v>
      </c>
      <c r="Q320" s="20">
        <v>2.0370544462224812E-3</v>
      </c>
      <c r="R320" s="20">
        <v>2.0726769183973523E-2</v>
      </c>
      <c r="S320" s="20">
        <v>1.1166447475647274</v>
      </c>
      <c r="T320" s="20">
        <v>5.5138074554850517E-4</v>
      </c>
      <c r="U320" s="20">
        <v>5.8231026929179081E-3</v>
      </c>
      <c r="V320" s="20">
        <v>7.5774909572048888E-4</v>
      </c>
      <c r="W320" s="20">
        <v>5.7926825901390491E-3</v>
      </c>
      <c r="X320" s="20">
        <v>7.576989592118688E-4</v>
      </c>
      <c r="Y320" s="20">
        <v>1.348789007708791E-3</v>
      </c>
      <c r="Z320" s="20">
        <v>7.2725989040058944E-3</v>
      </c>
      <c r="AA320" s="20">
        <v>6.1136704681172454E-3</v>
      </c>
      <c r="AB320" s="20">
        <v>6.9107036333437696E-3</v>
      </c>
      <c r="AC320" s="20">
        <v>1.5179857771368428E-3</v>
      </c>
      <c r="AD320" s="20">
        <v>1.6605200080686995E-3</v>
      </c>
      <c r="AE320" s="20">
        <v>3.5748432257595056E-3</v>
      </c>
      <c r="AF320" s="20">
        <v>8.6532822455128965E-3</v>
      </c>
      <c r="AG320" s="20">
        <v>2.883931325605073E-3</v>
      </c>
      <c r="AH320" s="20">
        <v>9.5289351070163342E-2</v>
      </c>
      <c r="AI320" s="20">
        <v>1.5949174873853226E-2</v>
      </c>
      <c r="AJ320" s="20">
        <v>8.9693576030658115E-3</v>
      </c>
      <c r="AK320" s="20">
        <v>3.7171533122709898E-3</v>
      </c>
      <c r="AL320" s="20">
        <v>3.5201881158817587E-3</v>
      </c>
      <c r="AM320" s="20">
        <v>1.862991004766954E-3</v>
      </c>
      <c r="AN320" s="20">
        <v>1.9149693883745427E-3</v>
      </c>
      <c r="AO320" s="20">
        <v>3.3688718640470495E-3</v>
      </c>
      <c r="AP320" s="20">
        <v>2.1698356439958581E-3</v>
      </c>
      <c r="AQ320" s="20">
        <v>5.7606385138070145E-3</v>
      </c>
      <c r="AR320" s="20">
        <v>3.4283900997999039E-3</v>
      </c>
      <c r="AS320" s="20">
        <v>1.2384314472474406E-3</v>
      </c>
      <c r="AT320" s="20">
        <v>2.1572592219960963E-3</v>
      </c>
      <c r="AU320" s="20">
        <v>1.9716364642268793E-3</v>
      </c>
      <c r="AV320" s="20">
        <v>1.3518608896427931E-3</v>
      </c>
      <c r="AW320" s="20">
        <v>1.1112617049804116E-3</v>
      </c>
      <c r="AX320" s="20">
        <v>1.4537828109614447E-3</v>
      </c>
      <c r="AY320" s="20">
        <v>1.1203469770583212E-2</v>
      </c>
      <c r="AZ320" s="20">
        <v>2.1789871004348374E-3</v>
      </c>
      <c r="BA320" s="20">
        <v>2.2445900807920843E-3</v>
      </c>
      <c r="BB320" s="20">
        <v>1.9160054994138947E-3</v>
      </c>
      <c r="BC320" s="20">
        <v>5.5720136200159672E-3</v>
      </c>
      <c r="BD320" s="20">
        <v>3.4602331881071207E-3</v>
      </c>
      <c r="BE320" s="20">
        <v>1.407132514924396E-3</v>
      </c>
      <c r="BF320" s="20">
        <v>5.8612619952761185E-4</v>
      </c>
      <c r="BG320" s="20">
        <v>2.5350630009622799E-3</v>
      </c>
      <c r="BH320" s="20">
        <v>5.3959706542336871E-3</v>
      </c>
      <c r="BI320" s="20">
        <v>7.6811193493698735E-3</v>
      </c>
      <c r="BJ320" s="20">
        <v>1.901628615794221E-3</v>
      </c>
      <c r="BK320" s="20">
        <v>2.1822159211622059E-3</v>
      </c>
      <c r="BL320" s="20">
        <v>4.804716783449136E-3</v>
      </c>
      <c r="BM320" s="20">
        <v>3.0760132671427366E-3</v>
      </c>
      <c r="BN320" s="20">
        <v>5.0867372745154148E-3</v>
      </c>
      <c r="BO320" s="20">
        <v>4.2248399764909985E-3</v>
      </c>
      <c r="BP320" s="20">
        <v>2.3965332172905512E-3</v>
      </c>
      <c r="BQ320" s="20">
        <v>3.0230707379408977E-3</v>
      </c>
      <c r="BR320" s="20">
        <v>0</v>
      </c>
    </row>
    <row r="321" spans="1:70" x14ac:dyDescent="0.3">
      <c r="A321" s="7">
        <v>15</v>
      </c>
      <c r="B321" s="150" t="s">
        <v>10</v>
      </c>
      <c r="C321" s="150"/>
      <c r="D321" s="150"/>
      <c r="E321" s="150"/>
      <c r="F321" s="20">
        <v>8.0256823416535294E-3</v>
      </c>
      <c r="G321" s="20">
        <v>1.3155937303374195E-2</v>
      </c>
      <c r="H321" s="20">
        <v>1.0967365973011378E-2</v>
      </c>
      <c r="I321" s="20">
        <v>1.3422431570286332E-2</v>
      </c>
      <c r="J321" s="20">
        <v>7.7048870326793745E-3</v>
      </c>
      <c r="K321" s="20">
        <v>3.7238826659639025E-3</v>
      </c>
      <c r="L321" s="20">
        <v>1.2471083307360258E-2</v>
      </c>
      <c r="M321" s="20">
        <v>5.6844368324503172E-3</v>
      </c>
      <c r="N321" s="20">
        <v>2.0517373707307447E-2</v>
      </c>
      <c r="O321" s="20">
        <v>1.5436549469639032E-2</v>
      </c>
      <c r="P321" s="20">
        <v>3.8090463115135384E-3</v>
      </c>
      <c r="Q321" s="20">
        <v>1.5927503171425772E-3</v>
      </c>
      <c r="R321" s="20">
        <v>5.5503779271599777E-3</v>
      </c>
      <c r="S321" s="20">
        <v>2.2345737265804539E-2</v>
      </c>
      <c r="T321" s="20">
        <v>1.0454260894669594</v>
      </c>
      <c r="U321" s="20">
        <v>0.30051931322663744</v>
      </c>
      <c r="V321" s="20">
        <v>7.7929508197095146E-3</v>
      </c>
      <c r="W321" s="20">
        <v>5.942888135153012E-2</v>
      </c>
      <c r="X321" s="20">
        <v>7.0614874123214322E-2</v>
      </c>
      <c r="Y321" s="20">
        <v>2.5992983783403888E-2</v>
      </c>
      <c r="Z321" s="20">
        <v>1.478453655705449E-2</v>
      </c>
      <c r="AA321" s="20">
        <v>3.1649013402799839E-2</v>
      </c>
      <c r="AB321" s="20">
        <v>8.2798733819409082E-2</v>
      </c>
      <c r="AC321" s="20">
        <v>1.0465205585418032E-2</v>
      </c>
      <c r="AD321" s="20">
        <v>1.175185673650656E-2</v>
      </c>
      <c r="AE321" s="20">
        <v>9.3846145932846969E-3</v>
      </c>
      <c r="AF321" s="20">
        <v>1.2356874817732306E-2</v>
      </c>
      <c r="AG321" s="20">
        <v>4.0473237471369924E-2</v>
      </c>
      <c r="AH321" s="20">
        <v>3.8447648704630709E-2</v>
      </c>
      <c r="AI321" s="20">
        <v>1.3718287404861338E-2</v>
      </c>
      <c r="AJ321" s="20">
        <v>7.0049163454483313E-3</v>
      </c>
      <c r="AK321" s="20">
        <v>4.1814369104992231E-3</v>
      </c>
      <c r="AL321" s="20">
        <v>7.6775336296871334E-3</v>
      </c>
      <c r="AM321" s="20">
        <v>7.6348639930568828E-3</v>
      </c>
      <c r="AN321" s="20">
        <v>9.1860653396963789E-3</v>
      </c>
      <c r="AO321" s="20">
        <v>8.5691467355559544E-3</v>
      </c>
      <c r="AP321" s="20">
        <v>4.2464994515977956E-3</v>
      </c>
      <c r="AQ321" s="20">
        <v>5.2440740054962281E-3</v>
      </c>
      <c r="AR321" s="20">
        <v>5.5185824688879538E-3</v>
      </c>
      <c r="AS321" s="20">
        <v>3.849728935218379E-3</v>
      </c>
      <c r="AT321" s="20">
        <v>1.977501778841186E-3</v>
      </c>
      <c r="AU321" s="20">
        <v>1.8803509372099672E-3</v>
      </c>
      <c r="AV321" s="20">
        <v>2.8614630099091662E-3</v>
      </c>
      <c r="AW321" s="20">
        <v>3.3714725667897223E-3</v>
      </c>
      <c r="AX321" s="20">
        <v>9.4460928331807168E-3</v>
      </c>
      <c r="AY321" s="20">
        <v>8.688161367670446E-3</v>
      </c>
      <c r="AZ321" s="20">
        <v>1.6546038182176654E-3</v>
      </c>
      <c r="BA321" s="20">
        <v>1.2392011374789159E-2</v>
      </c>
      <c r="BB321" s="20">
        <v>2.4992714771986603E-3</v>
      </c>
      <c r="BC321" s="20">
        <v>8.2449231940196471E-3</v>
      </c>
      <c r="BD321" s="20">
        <v>6.1957307564235098E-3</v>
      </c>
      <c r="BE321" s="20">
        <v>1.0649750204185321E-2</v>
      </c>
      <c r="BF321" s="20">
        <v>8.7137860166999791E-4</v>
      </c>
      <c r="BG321" s="20">
        <v>5.0343840099831188E-3</v>
      </c>
      <c r="BH321" s="20">
        <v>5.7883674422336412E-3</v>
      </c>
      <c r="BI321" s="20">
        <v>1.280676403189266E-2</v>
      </c>
      <c r="BJ321" s="20">
        <v>2.5714651720876924E-3</v>
      </c>
      <c r="BK321" s="20">
        <v>3.7534707640881366E-3</v>
      </c>
      <c r="BL321" s="20">
        <v>3.186722076839496E-3</v>
      </c>
      <c r="BM321" s="20">
        <v>4.3047331822035333E-3</v>
      </c>
      <c r="BN321" s="20">
        <v>7.1789051778287562E-3</v>
      </c>
      <c r="BO321" s="20">
        <v>5.3828707276711478E-3</v>
      </c>
      <c r="BP321" s="20">
        <v>2.4266412478179976E-2</v>
      </c>
      <c r="BQ321" s="20">
        <v>6.3964027073778592E-3</v>
      </c>
      <c r="BR321" s="20">
        <v>0</v>
      </c>
    </row>
    <row r="322" spans="1:70" x14ac:dyDescent="0.3">
      <c r="A322" s="7">
        <v>16</v>
      </c>
      <c r="B322" s="150" t="s">
        <v>127</v>
      </c>
      <c r="C322" s="150"/>
      <c r="D322" s="150"/>
      <c r="E322" s="150"/>
      <c r="F322" s="20">
        <v>1.6434641288971708E-2</v>
      </c>
      <c r="G322" s="20">
        <v>2.9679974404651827E-2</v>
      </c>
      <c r="H322" s="20">
        <v>1.9796343508263699E-2</v>
      </c>
      <c r="I322" s="20">
        <v>3.1508875396180518E-2</v>
      </c>
      <c r="J322" s="20">
        <v>2.1257998539959296E-2</v>
      </c>
      <c r="K322" s="20">
        <v>9.3224316252377704E-3</v>
      </c>
      <c r="L322" s="20">
        <v>2.9350882792324413E-2</v>
      </c>
      <c r="M322" s="20">
        <v>1.1153533588740947E-2</v>
      </c>
      <c r="N322" s="20">
        <v>2.3606696051073864E-2</v>
      </c>
      <c r="O322" s="20">
        <v>3.4512199328337739E-2</v>
      </c>
      <c r="P322" s="20">
        <v>1.1827839919901832E-2</v>
      </c>
      <c r="Q322" s="20">
        <v>4.2246682619811547E-3</v>
      </c>
      <c r="R322" s="20">
        <v>1.6109336086497388E-2</v>
      </c>
      <c r="S322" s="20">
        <v>4.2565904032489763E-2</v>
      </c>
      <c r="T322" s="20">
        <v>1.3030000769843283E-3</v>
      </c>
      <c r="U322" s="20">
        <v>1.1452520961379875</v>
      </c>
      <c r="V322" s="20">
        <v>1.4167252920804641E-2</v>
      </c>
      <c r="W322" s="20">
        <v>5.135043605045618E-2</v>
      </c>
      <c r="X322" s="20">
        <v>5.4563242645221742E-2</v>
      </c>
      <c r="Y322" s="20">
        <v>2.2377582599155409E-2</v>
      </c>
      <c r="Z322" s="20">
        <v>3.4096746239991926E-2</v>
      </c>
      <c r="AA322" s="20">
        <v>4.0480547984725057E-2</v>
      </c>
      <c r="AB322" s="20">
        <v>7.630298787228991E-2</v>
      </c>
      <c r="AC322" s="20">
        <v>2.5493289100407046E-2</v>
      </c>
      <c r="AD322" s="20">
        <v>2.7154816747852095E-2</v>
      </c>
      <c r="AE322" s="20">
        <v>1.8520198830900777E-2</v>
      </c>
      <c r="AF322" s="20">
        <v>7.211688648945949E-3</v>
      </c>
      <c r="AG322" s="20">
        <v>2.6559057106723603E-2</v>
      </c>
      <c r="AH322" s="20">
        <v>8.5510338102953706E-2</v>
      </c>
      <c r="AI322" s="20">
        <v>2.6357667252684035E-2</v>
      </c>
      <c r="AJ322" s="20">
        <v>1.5333230800086122E-2</v>
      </c>
      <c r="AK322" s="20">
        <v>7.3452584197607577E-3</v>
      </c>
      <c r="AL322" s="20">
        <v>1.2966747001780268E-2</v>
      </c>
      <c r="AM322" s="20">
        <v>1.6426477309836481E-2</v>
      </c>
      <c r="AN322" s="20">
        <v>1.4083064767969186E-2</v>
      </c>
      <c r="AO322" s="20">
        <v>1.8467721235921067E-2</v>
      </c>
      <c r="AP322" s="20">
        <v>6.8299509387915814E-3</v>
      </c>
      <c r="AQ322" s="20">
        <v>1.0807377143622602E-2</v>
      </c>
      <c r="AR322" s="20">
        <v>7.549229446944538E-3</v>
      </c>
      <c r="AS322" s="20">
        <v>3.5433160666216374E-3</v>
      </c>
      <c r="AT322" s="20">
        <v>3.5122402004984432E-3</v>
      </c>
      <c r="AU322" s="20">
        <v>3.4884268076354171E-3</v>
      </c>
      <c r="AV322" s="20">
        <v>3.3640052274241969E-3</v>
      </c>
      <c r="AW322" s="20">
        <v>3.3721155911693012E-3</v>
      </c>
      <c r="AX322" s="20">
        <v>4.6848981666569658E-3</v>
      </c>
      <c r="AY322" s="20">
        <v>1.4966461628126348E-2</v>
      </c>
      <c r="AZ322" s="20">
        <v>2.8655496433390819E-3</v>
      </c>
      <c r="BA322" s="20">
        <v>1.859903766867986E-2</v>
      </c>
      <c r="BB322" s="20">
        <v>4.5539934485694777E-3</v>
      </c>
      <c r="BC322" s="20">
        <v>1.2975263087719355E-2</v>
      </c>
      <c r="BD322" s="20">
        <v>1.2234430335314539E-2</v>
      </c>
      <c r="BE322" s="20">
        <v>2.3431312382861925E-2</v>
      </c>
      <c r="BF322" s="20">
        <v>1.5277574482955515E-3</v>
      </c>
      <c r="BG322" s="20">
        <v>8.4593589807926122E-3</v>
      </c>
      <c r="BH322" s="20">
        <v>1.3394890456682108E-2</v>
      </c>
      <c r="BI322" s="20">
        <v>3.9151407389533377E-2</v>
      </c>
      <c r="BJ322" s="20">
        <v>5.3492985354536898E-3</v>
      </c>
      <c r="BK322" s="20">
        <v>6.1892461145080443E-3</v>
      </c>
      <c r="BL322" s="20">
        <v>6.1800159670705509E-3</v>
      </c>
      <c r="BM322" s="20">
        <v>7.8696697644838592E-3</v>
      </c>
      <c r="BN322" s="20">
        <v>1.3175607622747111E-2</v>
      </c>
      <c r="BO322" s="20">
        <v>7.7059895177893634E-3</v>
      </c>
      <c r="BP322" s="20">
        <v>2.289910861674541E-2</v>
      </c>
      <c r="BQ322" s="20">
        <v>1.018394820597519E-2</v>
      </c>
      <c r="BR322" s="20">
        <v>0</v>
      </c>
    </row>
    <row r="323" spans="1:70" x14ac:dyDescent="0.3">
      <c r="A323" s="7">
        <v>17</v>
      </c>
      <c r="B323" s="150" t="s">
        <v>128</v>
      </c>
      <c r="C323" s="150"/>
      <c r="D323" s="150"/>
      <c r="E323" s="150"/>
      <c r="F323" s="20">
        <v>2.8114511784080756E-3</v>
      </c>
      <c r="G323" s="20">
        <v>3.8011995944146901E-3</v>
      </c>
      <c r="H323" s="20">
        <v>6.6573181461581825E-3</v>
      </c>
      <c r="I323" s="20">
        <v>1.8933846285646141E-3</v>
      </c>
      <c r="J323" s="20">
        <v>1.7385658568112227E-3</v>
      </c>
      <c r="K323" s="20">
        <v>1.788884613616943E-3</v>
      </c>
      <c r="L323" s="20">
        <v>2.6521331520580039E-3</v>
      </c>
      <c r="M323" s="20">
        <v>1.695610948319539E-3</v>
      </c>
      <c r="N323" s="20">
        <v>1.8773989092015695E-2</v>
      </c>
      <c r="O323" s="20">
        <v>3.1108311954713779E-3</v>
      </c>
      <c r="P323" s="20">
        <v>5.0477047311482486E-4</v>
      </c>
      <c r="Q323" s="20">
        <v>3.2434027976678477E-4</v>
      </c>
      <c r="R323" s="20">
        <v>1.6334996607329537E-3</v>
      </c>
      <c r="S323" s="20">
        <v>2.5448334855133542E-3</v>
      </c>
      <c r="T323" s="20">
        <v>1.1457967996404792E-4</v>
      </c>
      <c r="U323" s="20">
        <v>9.2432753819033449E-4</v>
      </c>
      <c r="V323" s="20">
        <v>1.3883345742160744</v>
      </c>
      <c r="W323" s="20">
        <v>2.2119701714757904E-2</v>
      </c>
      <c r="X323" s="20">
        <v>3.4893283204035252E-3</v>
      </c>
      <c r="Y323" s="20">
        <v>1.2024991184070218E-2</v>
      </c>
      <c r="Z323" s="20">
        <v>3.6643959670947948E-3</v>
      </c>
      <c r="AA323" s="20">
        <v>3.5268922927158951E-3</v>
      </c>
      <c r="AB323" s="20">
        <v>6.5506896889157094E-3</v>
      </c>
      <c r="AC323" s="20">
        <v>2.7715291732458317E-3</v>
      </c>
      <c r="AD323" s="20">
        <v>1.9940387276715581E-3</v>
      </c>
      <c r="AE323" s="20">
        <v>2.0823932076905762E-3</v>
      </c>
      <c r="AF323" s="20">
        <v>1.9431791124206975E-3</v>
      </c>
      <c r="AG323" s="20">
        <v>2.0632874745815442E-3</v>
      </c>
      <c r="AH323" s="20">
        <v>8.6953237902990151E-3</v>
      </c>
      <c r="AI323" s="20">
        <v>1.8021675048840516E-2</v>
      </c>
      <c r="AJ323" s="20">
        <v>6.7954933185164403E-3</v>
      </c>
      <c r="AK323" s="20">
        <v>5.2382079178936369E-3</v>
      </c>
      <c r="AL323" s="20">
        <v>3.5889638616373475E-3</v>
      </c>
      <c r="AM323" s="20">
        <v>2.4099438367733554E-3</v>
      </c>
      <c r="AN323" s="20">
        <v>2.2802661974512736E-3</v>
      </c>
      <c r="AO323" s="20">
        <v>3.466296774804715E-3</v>
      </c>
      <c r="AP323" s="20">
        <v>6.0004635680078553E-3</v>
      </c>
      <c r="AQ323" s="20">
        <v>3.9895911844360287E-3</v>
      </c>
      <c r="AR323" s="20">
        <v>8.5154848855444921E-3</v>
      </c>
      <c r="AS323" s="20">
        <v>1.4267411106321376E-2</v>
      </c>
      <c r="AT323" s="20">
        <v>4.482788803234946E-2</v>
      </c>
      <c r="AU323" s="20">
        <v>1.2619396744103928E-2</v>
      </c>
      <c r="AV323" s="20">
        <v>6.83741660355502E-3</v>
      </c>
      <c r="AW323" s="20">
        <v>4.0636487851266404E-3</v>
      </c>
      <c r="AX323" s="20">
        <v>6.1004607728645877E-3</v>
      </c>
      <c r="AY323" s="20">
        <v>3.139923952153895E-3</v>
      </c>
      <c r="AZ323" s="20">
        <v>4.6624416414738868E-3</v>
      </c>
      <c r="BA323" s="20">
        <v>8.6584725678754866E-3</v>
      </c>
      <c r="BB323" s="20">
        <v>9.3880239152061302E-3</v>
      </c>
      <c r="BC323" s="20">
        <v>9.8277970846437218E-3</v>
      </c>
      <c r="BD323" s="20">
        <v>3.5203381958165851E-2</v>
      </c>
      <c r="BE323" s="20">
        <v>3.1914959278403158E-3</v>
      </c>
      <c r="BF323" s="20">
        <v>1.8205321209700356E-3</v>
      </c>
      <c r="BG323" s="20">
        <v>1.1884442809524132E-2</v>
      </c>
      <c r="BH323" s="20">
        <v>2.1804089467816958E-2</v>
      </c>
      <c r="BI323" s="20">
        <v>6.686582599571245E-3</v>
      </c>
      <c r="BJ323" s="20">
        <v>4.9396828784135467E-3</v>
      </c>
      <c r="BK323" s="20">
        <v>9.7420175067942909E-3</v>
      </c>
      <c r="BL323" s="20">
        <v>4.3233771579323302E-3</v>
      </c>
      <c r="BM323" s="20">
        <v>9.1796492370245179E-3</v>
      </c>
      <c r="BN323" s="20">
        <v>4.3748732641321359E-3</v>
      </c>
      <c r="BO323" s="20">
        <v>9.4298984874417076E-3</v>
      </c>
      <c r="BP323" s="20">
        <v>0.18721657203048539</v>
      </c>
      <c r="BQ323" s="20">
        <v>7.0677468968432773E-3</v>
      </c>
      <c r="BR323" s="20">
        <v>0</v>
      </c>
    </row>
    <row r="324" spans="1:70" x14ac:dyDescent="0.3">
      <c r="A324" s="7">
        <v>18</v>
      </c>
      <c r="B324" s="150" t="s">
        <v>129</v>
      </c>
      <c r="C324" s="150"/>
      <c r="D324" s="150"/>
      <c r="E324" s="150"/>
      <c r="F324" s="20">
        <v>4.8189366000270049E-3</v>
      </c>
      <c r="G324" s="20">
        <v>7.249451373929656E-3</v>
      </c>
      <c r="H324" s="20">
        <v>6.7990034128709229E-3</v>
      </c>
      <c r="I324" s="20">
        <v>9.1093293836232124E-3</v>
      </c>
      <c r="J324" s="20">
        <v>2.7682589196050713E-3</v>
      </c>
      <c r="K324" s="20">
        <v>1.9943153843508415E-3</v>
      </c>
      <c r="L324" s="20">
        <v>4.950101460922297E-3</v>
      </c>
      <c r="M324" s="20">
        <v>2.945559184875345E-3</v>
      </c>
      <c r="N324" s="20">
        <v>4.781748986485302E-3</v>
      </c>
      <c r="O324" s="20">
        <v>6.8094969350492402E-3</v>
      </c>
      <c r="P324" s="20">
        <v>7.8670879881385079E-4</v>
      </c>
      <c r="Q324" s="20">
        <v>3.1101469796217598E-4</v>
      </c>
      <c r="R324" s="20">
        <v>4.0109853330433844E-3</v>
      </c>
      <c r="S324" s="20">
        <v>3.4305188488810458E-3</v>
      </c>
      <c r="T324" s="20">
        <v>7.8049470379630277E-4</v>
      </c>
      <c r="U324" s="20">
        <v>3.2020304907149286E-3</v>
      </c>
      <c r="V324" s="20">
        <v>9.7651197813441559E-2</v>
      </c>
      <c r="W324" s="20">
        <v>1.2212340464486244</v>
      </c>
      <c r="X324" s="20">
        <v>1.9006328362674966E-3</v>
      </c>
      <c r="Y324" s="20">
        <v>4.0592854460752906E-2</v>
      </c>
      <c r="Z324" s="20">
        <v>3.9888135743706534E-3</v>
      </c>
      <c r="AA324" s="20">
        <v>7.2986608816517085E-3</v>
      </c>
      <c r="AB324" s="20">
        <v>1.9473147910704206E-2</v>
      </c>
      <c r="AC324" s="20">
        <v>2.9247619058270891E-2</v>
      </c>
      <c r="AD324" s="20">
        <v>8.076738759833408E-3</v>
      </c>
      <c r="AE324" s="20">
        <v>6.0001314667325863E-3</v>
      </c>
      <c r="AF324" s="20">
        <v>3.9712179224614813E-3</v>
      </c>
      <c r="AG324" s="20">
        <v>3.625889556268923E-3</v>
      </c>
      <c r="AH324" s="20">
        <v>2.4032076811929461E-2</v>
      </c>
      <c r="AI324" s="20">
        <v>3.4595449372699129E-2</v>
      </c>
      <c r="AJ324" s="20">
        <v>1.4443657118331643E-2</v>
      </c>
      <c r="AK324" s="20">
        <v>4.3612096105815944E-3</v>
      </c>
      <c r="AL324" s="20">
        <v>7.9675050306570669E-3</v>
      </c>
      <c r="AM324" s="20">
        <v>5.7567860882733798E-3</v>
      </c>
      <c r="AN324" s="20">
        <v>4.4803840529529983E-3</v>
      </c>
      <c r="AO324" s="20">
        <v>6.9420342649316579E-3</v>
      </c>
      <c r="AP324" s="20">
        <v>7.8191485019121227E-3</v>
      </c>
      <c r="AQ324" s="20">
        <v>5.4081985809426598E-3</v>
      </c>
      <c r="AR324" s="20">
        <v>3.0141126583086548E-3</v>
      </c>
      <c r="AS324" s="20">
        <v>3.1849511468660004E-3</v>
      </c>
      <c r="AT324" s="20">
        <v>6.2973211959302111E-3</v>
      </c>
      <c r="AU324" s="20">
        <v>3.3753445990131305E-3</v>
      </c>
      <c r="AV324" s="20">
        <v>2.8135547653505896E-3</v>
      </c>
      <c r="AW324" s="20">
        <v>2.3546811220144077E-3</v>
      </c>
      <c r="AX324" s="20">
        <v>2.5552586158238176E-3</v>
      </c>
      <c r="AY324" s="20">
        <v>7.769680250851797E-3</v>
      </c>
      <c r="AZ324" s="20">
        <v>3.7375752734050329E-3</v>
      </c>
      <c r="BA324" s="20">
        <v>7.8053209377569001E-3</v>
      </c>
      <c r="BB324" s="20">
        <v>4.6050918023535139E-3</v>
      </c>
      <c r="BC324" s="20">
        <v>8.7606057195933253E-3</v>
      </c>
      <c r="BD324" s="20">
        <v>1.7379630181706258E-2</v>
      </c>
      <c r="BE324" s="20">
        <v>1.0948811036636292E-2</v>
      </c>
      <c r="BF324" s="20">
        <v>1.5364076152941347E-3</v>
      </c>
      <c r="BG324" s="20">
        <v>6.007648785681434E-3</v>
      </c>
      <c r="BH324" s="20">
        <v>1.2705270191442283E-2</v>
      </c>
      <c r="BI324" s="20">
        <v>4.3157382702277702E-3</v>
      </c>
      <c r="BJ324" s="20">
        <v>3.4896377357627921E-3</v>
      </c>
      <c r="BK324" s="20">
        <v>3.3100345379985488E-3</v>
      </c>
      <c r="BL324" s="20">
        <v>5.2310658915726629E-3</v>
      </c>
      <c r="BM324" s="20">
        <v>5.1071713041837222E-3</v>
      </c>
      <c r="BN324" s="20">
        <v>5.0858481914537856E-3</v>
      </c>
      <c r="BO324" s="20">
        <v>6.7572085027577901E-3</v>
      </c>
      <c r="BP324" s="20">
        <v>5.3233856550705075E-2</v>
      </c>
      <c r="BQ324" s="20">
        <v>2.6643954693695834E-2</v>
      </c>
      <c r="BR324" s="20">
        <v>0</v>
      </c>
    </row>
    <row r="325" spans="1:70" x14ac:dyDescent="0.3">
      <c r="A325" s="7">
        <v>19</v>
      </c>
      <c r="B325" s="150" t="s">
        <v>130</v>
      </c>
      <c r="C325" s="150"/>
      <c r="D325" s="150"/>
      <c r="E325" s="150"/>
      <c r="F325" s="20">
        <v>2.6516129756161015E-2</v>
      </c>
      <c r="G325" s="20">
        <v>3.2092109668131731E-2</v>
      </c>
      <c r="H325" s="20">
        <v>1.2062019233824236E-2</v>
      </c>
      <c r="I325" s="20">
        <v>4.9368945905348273E-2</v>
      </c>
      <c r="J325" s="20">
        <v>1.2056009190460173E-2</v>
      </c>
      <c r="K325" s="20">
        <v>4.639800486430895E-3</v>
      </c>
      <c r="L325" s="20">
        <v>2.3234422030385449E-2</v>
      </c>
      <c r="M325" s="20">
        <v>1.0132314700200724E-2</v>
      </c>
      <c r="N325" s="20">
        <v>1.5928450541805597E-2</v>
      </c>
      <c r="O325" s="20">
        <v>3.1711916789142175E-2</v>
      </c>
      <c r="P325" s="20">
        <v>5.0299419855643207E-3</v>
      </c>
      <c r="Q325" s="20">
        <v>5.4699030596714129E-4</v>
      </c>
      <c r="R325" s="20">
        <v>7.2768982146892746E-3</v>
      </c>
      <c r="S325" s="20">
        <v>2.0904523334635623E-2</v>
      </c>
      <c r="T325" s="20">
        <v>1.2778788595825892E-3</v>
      </c>
      <c r="U325" s="20">
        <v>6.2432315155905712E-3</v>
      </c>
      <c r="V325" s="20">
        <v>4.6748158530712123E-3</v>
      </c>
      <c r="W325" s="20">
        <v>1.4584553915401687E-2</v>
      </c>
      <c r="X325" s="20">
        <v>1.0437618127215702</v>
      </c>
      <c r="Y325" s="20">
        <v>6.0579884288919864E-3</v>
      </c>
      <c r="Z325" s="20">
        <v>2.1197481004717075E-2</v>
      </c>
      <c r="AA325" s="20">
        <v>9.7789005657711505E-3</v>
      </c>
      <c r="AB325" s="20">
        <v>8.2144387942160654E-2</v>
      </c>
      <c r="AC325" s="20">
        <v>2.4610649558838196E-2</v>
      </c>
      <c r="AD325" s="20">
        <v>4.3472974739579139E-2</v>
      </c>
      <c r="AE325" s="20">
        <v>3.0091166853434416E-2</v>
      </c>
      <c r="AF325" s="20">
        <v>1.5335385510125971E-2</v>
      </c>
      <c r="AG325" s="20">
        <v>1.4656863871678581E-2</v>
      </c>
      <c r="AH325" s="20">
        <v>1.5321866344547526E-2</v>
      </c>
      <c r="AI325" s="20">
        <v>3.4739224409884993E-2</v>
      </c>
      <c r="AJ325" s="20">
        <v>1.6436412927383875E-2</v>
      </c>
      <c r="AK325" s="20">
        <v>5.9684413846713196E-3</v>
      </c>
      <c r="AL325" s="20">
        <v>1.1363466868762741E-2</v>
      </c>
      <c r="AM325" s="20">
        <v>1.1096263085288792E-2</v>
      </c>
      <c r="AN325" s="20">
        <v>1.0648669874368168E-2</v>
      </c>
      <c r="AO325" s="20">
        <v>1.0838391684780522E-2</v>
      </c>
      <c r="AP325" s="20">
        <v>1.0886968745411042E-2</v>
      </c>
      <c r="AQ325" s="20">
        <v>7.5848553004673157E-3</v>
      </c>
      <c r="AR325" s="20">
        <v>5.2322995787078266E-3</v>
      </c>
      <c r="AS325" s="20">
        <v>1.9962649394693059E-3</v>
      </c>
      <c r="AT325" s="20">
        <v>1.5899828351836948E-3</v>
      </c>
      <c r="AU325" s="20">
        <v>3.1870083877572047E-3</v>
      </c>
      <c r="AV325" s="20">
        <v>3.5670234324021955E-3</v>
      </c>
      <c r="AW325" s="20">
        <v>2.8912291482498685E-3</v>
      </c>
      <c r="AX325" s="20">
        <v>4.9147743871727169E-3</v>
      </c>
      <c r="AY325" s="20">
        <v>4.8530260530776905E-3</v>
      </c>
      <c r="AZ325" s="20">
        <v>2.0336441726433005E-3</v>
      </c>
      <c r="BA325" s="20">
        <v>1.936487024082172E-2</v>
      </c>
      <c r="BB325" s="20">
        <v>4.2754345436784294E-3</v>
      </c>
      <c r="BC325" s="20">
        <v>4.5721884567044672E-3</v>
      </c>
      <c r="BD325" s="20">
        <v>5.9018798101153564E-3</v>
      </c>
      <c r="BE325" s="20">
        <v>1.0389258697287363E-2</v>
      </c>
      <c r="BF325" s="20">
        <v>1.4844470182146399E-3</v>
      </c>
      <c r="BG325" s="20">
        <v>6.1630698892172252E-3</v>
      </c>
      <c r="BH325" s="20">
        <v>9.889618614267192E-3</v>
      </c>
      <c r="BI325" s="20">
        <v>3.8382901629669865E-3</v>
      </c>
      <c r="BJ325" s="20">
        <v>3.7933983309965417E-3</v>
      </c>
      <c r="BK325" s="20">
        <v>2.8921285306034738E-3</v>
      </c>
      <c r="BL325" s="20">
        <v>4.3208914128824343E-3</v>
      </c>
      <c r="BM325" s="20">
        <v>5.0094658681043751E-3</v>
      </c>
      <c r="BN325" s="20">
        <v>7.182298286804471E-3</v>
      </c>
      <c r="BO325" s="20">
        <v>4.8026930771333494E-3</v>
      </c>
      <c r="BP325" s="20">
        <v>2.9567406394904506E-2</v>
      </c>
      <c r="BQ325" s="20">
        <v>1.1306850702083593E-2</v>
      </c>
      <c r="BR325" s="20">
        <v>0</v>
      </c>
    </row>
    <row r="326" spans="1:70" x14ac:dyDescent="0.3">
      <c r="A326" s="7">
        <v>20</v>
      </c>
      <c r="B326" s="150" t="s">
        <v>131</v>
      </c>
      <c r="C326" s="150"/>
      <c r="D326" s="150"/>
      <c r="E326" s="150"/>
      <c r="F326" s="20">
        <v>4.3999372747321784E-3</v>
      </c>
      <c r="G326" s="20">
        <v>1.2259779044753932E-2</v>
      </c>
      <c r="H326" s="20">
        <v>3.3365280535542032E-3</v>
      </c>
      <c r="I326" s="20">
        <v>1.4019936595860247E-2</v>
      </c>
      <c r="J326" s="20">
        <v>3.6412981643561362E-3</v>
      </c>
      <c r="K326" s="20">
        <v>1.2218990508663333E-3</v>
      </c>
      <c r="L326" s="20">
        <v>7.458211855442454E-3</v>
      </c>
      <c r="M326" s="20">
        <v>2.6759729087355868E-3</v>
      </c>
      <c r="N326" s="20">
        <v>4.1359625744871687E-3</v>
      </c>
      <c r="O326" s="20">
        <v>7.4458015222511609E-3</v>
      </c>
      <c r="P326" s="20">
        <v>1.0618452608275135E-3</v>
      </c>
      <c r="Q326" s="20">
        <v>1.1332370140075598E-4</v>
      </c>
      <c r="R326" s="20">
        <v>4.7315129916062721E-3</v>
      </c>
      <c r="S326" s="20">
        <v>9.159227281037588E-3</v>
      </c>
      <c r="T326" s="20">
        <v>4.6168945382215162E-4</v>
      </c>
      <c r="U326" s="20">
        <v>1.9001588946847522E-3</v>
      </c>
      <c r="V326" s="20">
        <v>1.347439539385011E-3</v>
      </c>
      <c r="W326" s="20">
        <v>1.0068827088959595E-3</v>
      </c>
      <c r="X326" s="20">
        <v>4.3855479496997191E-3</v>
      </c>
      <c r="Y326" s="20">
        <v>1.0791596768323626</v>
      </c>
      <c r="Z326" s="20">
        <v>7.270787793299623E-3</v>
      </c>
      <c r="AA326" s="20">
        <v>4.1157431805390289E-3</v>
      </c>
      <c r="AB326" s="20">
        <v>3.9166076567194773E-3</v>
      </c>
      <c r="AC326" s="20">
        <v>4.2287986877717933E-3</v>
      </c>
      <c r="AD326" s="20">
        <v>1.2232754361372123E-2</v>
      </c>
      <c r="AE326" s="20">
        <v>6.4271692149637065E-3</v>
      </c>
      <c r="AF326" s="20">
        <v>1.8548444009453052E-3</v>
      </c>
      <c r="AG326" s="20">
        <v>6.4784694396880591E-3</v>
      </c>
      <c r="AH326" s="20">
        <v>7.4200539181650624E-3</v>
      </c>
      <c r="AI326" s="20">
        <v>0.12010383866750975</v>
      </c>
      <c r="AJ326" s="20">
        <v>8.6776887169213602E-3</v>
      </c>
      <c r="AK326" s="20">
        <v>2.5742612889343435E-3</v>
      </c>
      <c r="AL326" s="20">
        <v>4.7610558213578555E-2</v>
      </c>
      <c r="AM326" s="20">
        <v>7.3585937296722385E-3</v>
      </c>
      <c r="AN326" s="20">
        <v>4.4640028054027279E-3</v>
      </c>
      <c r="AO326" s="20">
        <v>8.6634658519631324E-3</v>
      </c>
      <c r="AP326" s="20">
        <v>6.6998338818601531E-3</v>
      </c>
      <c r="AQ326" s="20">
        <v>2.5555587135039082E-3</v>
      </c>
      <c r="AR326" s="20">
        <v>2.8379461732631101E-3</v>
      </c>
      <c r="AS326" s="20">
        <v>1.8519262848622777E-3</v>
      </c>
      <c r="AT326" s="20">
        <v>6.1780376182337684E-4</v>
      </c>
      <c r="AU326" s="20">
        <v>9.7523880476804085E-4</v>
      </c>
      <c r="AV326" s="20">
        <v>1.45865732436432E-3</v>
      </c>
      <c r="AW326" s="20">
        <v>1.7605869433787707E-3</v>
      </c>
      <c r="AX326" s="20">
        <v>2.8085663021531052E-3</v>
      </c>
      <c r="AY326" s="20">
        <v>1.393675500270918E-3</v>
      </c>
      <c r="AZ326" s="20">
        <v>8.4635932451058516E-4</v>
      </c>
      <c r="BA326" s="20">
        <v>2.4795079185556531E-3</v>
      </c>
      <c r="BB326" s="20">
        <v>1.4024158145591991E-3</v>
      </c>
      <c r="BC326" s="20">
        <v>1.6380337977984335E-3</v>
      </c>
      <c r="BD326" s="20">
        <v>1.8737024815470959E-3</v>
      </c>
      <c r="BE326" s="20">
        <v>1.6368375123225771E-2</v>
      </c>
      <c r="BF326" s="20">
        <v>5.743791772557425E-4</v>
      </c>
      <c r="BG326" s="20">
        <v>3.4627259374768126E-3</v>
      </c>
      <c r="BH326" s="20">
        <v>1.9768194289423902E-3</v>
      </c>
      <c r="BI326" s="20">
        <v>3.4830006254418563E-3</v>
      </c>
      <c r="BJ326" s="20">
        <v>1.5951630521114956E-3</v>
      </c>
      <c r="BK326" s="20">
        <v>1.3449873783361543E-3</v>
      </c>
      <c r="BL326" s="20">
        <v>2.1323004846120954E-3</v>
      </c>
      <c r="BM326" s="20">
        <v>2.1051339266258671E-3</v>
      </c>
      <c r="BN326" s="20">
        <v>4.0893748589061639E-3</v>
      </c>
      <c r="BO326" s="20">
        <v>3.0920384721062179E-3</v>
      </c>
      <c r="BP326" s="20">
        <v>3.0144216480160434E-3</v>
      </c>
      <c r="BQ326" s="20">
        <v>3.2400423555127207E-3</v>
      </c>
      <c r="BR326" s="20">
        <v>0</v>
      </c>
    </row>
    <row r="327" spans="1:70" x14ac:dyDescent="0.3">
      <c r="A327" s="7">
        <v>21</v>
      </c>
      <c r="B327" s="150" t="s">
        <v>11</v>
      </c>
      <c r="C327" s="150"/>
      <c r="D327" s="150"/>
      <c r="E327" s="150"/>
      <c r="F327" s="20">
        <v>2.8024253915868931E-4</v>
      </c>
      <c r="G327" s="20">
        <v>4.6107891441016328E-4</v>
      </c>
      <c r="H327" s="20">
        <v>1.3714056170530987E-3</v>
      </c>
      <c r="I327" s="20">
        <v>5.0877050132263116E-4</v>
      </c>
      <c r="J327" s="20">
        <v>2.3477560934231828E-4</v>
      </c>
      <c r="K327" s="20">
        <v>1.4482608531263765E-4</v>
      </c>
      <c r="L327" s="20">
        <v>4.5134826795385904E-4</v>
      </c>
      <c r="M327" s="20">
        <v>1.7134226505459627E-4</v>
      </c>
      <c r="N327" s="20">
        <v>2.9808415788164103E-4</v>
      </c>
      <c r="O327" s="20">
        <v>6.0330548601849753E-4</v>
      </c>
      <c r="P327" s="20">
        <v>1.0266050114262802E-4</v>
      </c>
      <c r="Q327" s="20">
        <v>9.4262607274147685E-6</v>
      </c>
      <c r="R327" s="20">
        <v>1.2610591558871422E-4</v>
      </c>
      <c r="S327" s="20">
        <v>4.1300256019948889E-4</v>
      </c>
      <c r="T327" s="20">
        <v>1.8631676962741125E-5</v>
      </c>
      <c r="U327" s="20">
        <v>1.8226855675337463E-4</v>
      </c>
      <c r="V327" s="20">
        <v>1.7973298451391239E-4</v>
      </c>
      <c r="W327" s="20">
        <v>7.902936588995621E-5</v>
      </c>
      <c r="X327" s="20">
        <v>5.7875617802132359E-5</v>
      </c>
      <c r="Y327" s="20">
        <v>9.06514270254588E-5</v>
      </c>
      <c r="Z327" s="20">
        <v>1.0304604813732994</v>
      </c>
      <c r="AA327" s="20">
        <v>3.3172668694927726E-4</v>
      </c>
      <c r="AB327" s="20">
        <v>1.3931650512885198E-2</v>
      </c>
      <c r="AC327" s="20">
        <v>3.0340302719451627E-4</v>
      </c>
      <c r="AD327" s="20">
        <v>4.8923512626610377E-4</v>
      </c>
      <c r="AE327" s="20">
        <v>5.6231548117312822E-4</v>
      </c>
      <c r="AF327" s="20">
        <v>1.367468328611566E-4</v>
      </c>
      <c r="AG327" s="20">
        <v>3.3617535366551411E-4</v>
      </c>
      <c r="AH327" s="20">
        <v>5.2572578478671912E-4</v>
      </c>
      <c r="AI327" s="20">
        <v>5.553671708425887E-3</v>
      </c>
      <c r="AJ327" s="20">
        <v>3.4565727215228598E-4</v>
      </c>
      <c r="AK327" s="20">
        <v>2.1354638398376596E-4</v>
      </c>
      <c r="AL327" s="20">
        <v>1.7691146317446004E-3</v>
      </c>
      <c r="AM327" s="20">
        <v>7.0742116391258475E-4</v>
      </c>
      <c r="AN327" s="20">
        <v>2.1372857587365303E-3</v>
      </c>
      <c r="AO327" s="20">
        <v>7.5676560952966986E-4</v>
      </c>
      <c r="AP327" s="20">
        <v>5.2534162119837054E-4</v>
      </c>
      <c r="AQ327" s="20">
        <v>2.3276102507528107E-4</v>
      </c>
      <c r="AR327" s="20">
        <v>1.5227395722491109E-4</v>
      </c>
      <c r="AS327" s="20">
        <v>3.1267451169860263E-4</v>
      </c>
      <c r="AT327" s="20">
        <v>1.4660482856089204E-4</v>
      </c>
      <c r="AU327" s="20">
        <v>2.3011474218996781E-4</v>
      </c>
      <c r="AV327" s="20">
        <v>9.2678615650921501E-5</v>
      </c>
      <c r="AW327" s="20">
        <v>1.491827114077218E-4</v>
      </c>
      <c r="AX327" s="20">
        <v>1.2958669522606029E-4</v>
      </c>
      <c r="AY327" s="20">
        <v>1.2079021237912476E-4</v>
      </c>
      <c r="AZ327" s="20">
        <v>1.1550553716720056E-4</v>
      </c>
      <c r="BA327" s="20">
        <v>1.7549622141483769E-4</v>
      </c>
      <c r="BB327" s="20">
        <v>1.3818986615858535E-4</v>
      </c>
      <c r="BC327" s="20">
        <v>1.6229696392996472E-4</v>
      </c>
      <c r="BD327" s="20">
        <v>4.7590631150172302E-4</v>
      </c>
      <c r="BE327" s="20">
        <v>1.5049154616400909E-3</v>
      </c>
      <c r="BF327" s="20">
        <v>1.8306704964991528E-4</v>
      </c>
      <c r="BG327" s="20">
        <v>7.5462984893639507E-4</v>
      </c>
      <c r="BH327" s="20">
        <v>1.4582141908521434E-4</v>
      </c>
      <c r="BI327" s="20">
        <v>3.5047554184559587E-3</v>
      </c>
      <c r="BJ327" s="20">
        <v>1.3559938340688551E-4</v>
      </c>
      <c r="BK327" s="20">
        <v>1.4691075299913672E-4</v>
      </c>
      <c r="BL327" s="20">
        <v>4.8879529880916674E-4</v>
      </c>
      <c r="BM327" s="20">
        <v>2.1254130711523459E-4</v>
      </c>
      <c r="BN327" s="20">
        <v>1.5089742533733318E-3</v>
      </c>
      <c r="BO327" s="20">
        <v>4.3550905491079102E-4</v>
      </c>
      <c r="BP327" s="20">
        <v>1.8603422606936661E-4</v>
      </c>
      <c r="BQ327" s="20">
        <v>3.8341467331344569E-4</v>
      </c>
      <c r="BR327" s="20">
        <v>0</v>
      </c>
    </row>
    <row r="328" spans="1:70" x14ac:dyDescent="0.3">
      <c r="A328" s="7">
        <v>22</v>
      </c>
      <c r="B328" s="150" t="s">
        <v>132</v>
      </c>
      <c r="C328" s="150"/>
      <c r="D328" s="150"/>
      <c r="E328" s="150"/>
      <c r="F328" s="20">
        <v>9.2770435043970168E-4</v>
      </c>
      <c r="G328" s="20">
        <v>2.3065851018793477E-3</v>
      </c>
      <c r="H328" s="20">
        <v>1.2316162676026406E-3</v>
      </c>
      <c r="I328" s="20">
        <v>1.6803616001250794E-3</v>
      </c>
      <c r="J328" s="20">
        <v>7.7229521763492093E-4</v>
      </c>
      <c r="K328" s="20">
        <v>6.3962443990507609E-3</v>
      </c>
      <c r="L328" s="20">
        <v>3.0056208397548187E-3</v>
      </c>
      <c r="M328" s="20">
        <v>7.1301658963229396E-4</v>
      </c>
      <c r="N328" s="20">
        <v>3.7242223350748235E-3</v>
      </c>
      <c r="O328" s="20">
        <v>1.205514830679093E-3</v>
      </c>
      <c r="P328" s="20">
        <v>4.1398130515397707E-4</v>
      </c>
      <c r="Q328" s="20">
        <v>1.0428503768603115E-3</v>
      </c>
      <c r="R328" s="20">
        <v>1.0394896872927138E-3</v>
      </c>
      <c r="S328" s="20">
        <v>1.6083256090938659E-3</v>
      </c>
      <c r="T328" s="20">
        <v>9.6612071453201323E-5</v>
      </c>
      <c r="U328" s="20">
        <v>1.134327787604745E-3</v>
      </c>
      <c r="V328" s="20">
        <v>7.5779416226070563E-4</v>
      </c>
      <c r="W328" s="20">
        <v>4.1412848420424808E-4</v>
      </c>
      <c r="X328" s="20">
        <v>6.7144525202875161E-4</v>
      </c>
      <c r="Y328" s="20">
        <v>6.3288223814606719E-4</v>
      </c>
      <c r="Z328" s="20">
        <v>1.8214522537740164E-3</v>
      </c>
      <c r="AA328" s="20">
        <v>1.0493177416751924</v>
      </c>
      <c r="AB328" s="20">
        <v>2.5488645049613645E-3</v>
      </c>
      <c r="AC328" s="20">
        <v>1.4387866482889272E-3</v>
      </c>
      <c r="AD328" s="20">
        <v>1.922850024117074E-3</v>
      </c>
      <c r="AE328" s="20">
        <v>1.4786572678449855E-3</v>
      </c>
      <c r="AF328" s="20">
        <v>1.7017374450508113E-3</v>
      </c>
      <c r="AG328" s="20">
        <v>2.4164561899142362E-3</v>
      </c>
      <c r="AH328" s="20">
        <v>1.6949140661188669E-3</v>
      </c>
      <c r="AI328" s="20">
        <v>1.8147758964436218E-3</v>
      </c>
      <c r="AJ328" s="20">
        <v>3.6844813875154866E-3</v>
      </c>
      <c r="AK328" s="20">
        <v>2.6204276314066993E-3</v>
      </c>
      <c r="AL328" s="20">
        <v>1.0564782560139219E-3</v>
      </c>
      <c r="AM328" s="20">
        <v>2.8240141256699693E-3</v>
      </c>
      <c r="AN328" s="20">
        <v>1.3795739759102047E-3</v>
      </c>
      <c r="AO328" s="20">
        <v>1.2167060034549062E-3</v>
      </c>
      <c r="AP328" s="20">
        <v>1.0419778938741482E-3</v>
      </c>
      <c r="AQ328" s="20">
        <v>5.5881185086391416E-3</v>
      </c>
      <c r="AR328" s="20">
        <v>2.6843957697019333E-3</v>
      </c>
      <c r="AS328" s="20">
        <v>3.5406657174097498E-3</v>
      </c>
      <c r="AT328" s="20">
        <v>1.2746480634301615E-3</v>
      </c>
      <c r="AU328" s="20">
        <v>9.3606353394749136E-4</v>
      </c>
      <c r="AV328" s="20">
        <v>5.5079931097166829E-3</v>
      </c>
      <c r="AW328" s="20">
        <v>1.9738606811867654E-3</v>
      </c>
      <c r="AX328" s="20">
        <v>3.6513118167197317E-3</v>
      </c>
      <c r="AY328" s="20">
        <v>2.582638802523587E-3</v>
      </c>
      <c r="AZ328" s="20">
        <v>2.3612149554370593E-3</v>
      </c>
      <c r="BA328" s="20">
        <v>2.7187667748906608E-3</v>
      </c>
      <c r="BB328" s="20">
        <v>7.7279871878653652E-3</v>
      </c>
      <c r="BC328" s="20">
        <v>1.187478953357435E-2</v>
      </c>
      <c r="BD328" s="20">
        <v>5.8911759286979452E-3</v>
      </c>
      <c r="BE328" s="20">
        <v>7.8797926205120931E-3</v>
      </c>
      <c r="BF328" s="20">
        <v>9.8746626916842908E-4</v>
      </c>
      <c r="BG328" s="20">
        <v>2.3097796852417315E-3</v>
      </c>
      <c r="BH328" s="20">
        <v>3.2558597680372187E-3</v>
      </c>
      <c r="BI328" s="20">
        <v>3.7564546951208825E-3</v>
      </c>
      <c r="BJ328" s="20">
        <v>8.7711411036554415E-3</v>
      </c>
      <c r="BK328" s="20">
        <v>5.7020877881235783E-2</v>
      </c>
      <c r="BL328" s="20">
        <v>6.5553571960049045E-3</v>
      </c>
      <c r="BM328" s="20">
        <v>1.4899715422843671E-2</v>
      </c>
      <c r="BN328" s="20">
        <v>1.9955863992332866E-2</v>
      </c>
      <c r="BO328" s="20">
        <v>4.8057448894157466E-3</v>
      </c>
      <c r="BP328" s="20">
        <v>2.6266603593945514E-2</v>
      </c>
      <c r="BQ328" s="20">
        <v>6.4937234273263252E-3</v>
      </c>
      <c r="BR328" s="20">
        <v>0</v>
      </c>
    </row>
    <row r="329" spans="1:70" x14ac:dyDescent="0.3">
      <c r="A329" s="7">
        <v>23</v>
      </c>
      <c r="B329" s="150" t="s">
        <v>133</v>
      </c>
      <c r="C329" s="150"/>
      <c r="D329" s="150"/>
      <c r="E329" s="150"/>
      <c r="F329" s="20">
        <v>1.6957039357154303E-2</v>
      </c>
      <c r="G329" s="20">
        <v>1.9428206336291467E-2</v>
      </c>
      <c r="H329" s="20">
        <v>8.1303026299149372E-2</v>
      </c>
      <c r="I329" s="20">
        <v>3.0006258687956627E-2</v>
      </c>
      <c r="J329" s="20">
        <v>1.0293620868402976E-2</v>
      </c>
      <c r="K329" s="20">
        <v>3.726532698182908E-3</v>
      </c>
      <c r="L329" s="20">
        <v>2.0371386321259538E-2</v>
      </c>
      <c r="M329" s="20">
        <v>8.0230462388615857E-3</v>
      </c>
      <c r="N329" s="20">
        <v>1.2475371581693548E-2</v>
      </c>
      <c r="O329" s="20">
        <v>3.9050594026458579E-2</v>
      </c>
      <c r="P329" s="20">
        <v>5.281420417727398E-3</v>
      </c>
      <c r="Q329" s="20">
        <v>3.0833974256067167E-4</v>
      </c>
      <c r="R329" s="20">
        <v>5.6885804485231322E-3</v>
      </c>
      <c r="S329" s="20">
        <v>2.1002313400664763E-2</v>
      </c>
      <c r="T329" s="20">
        <v>7.1880958779048268E-4</v>
      </c>
      <c r="U329" s="20">
        <v>9.6785592057188428E-3</v>
      </c>
      <c r="V329" s="20">
        <v>1.8262624606783676E-3</v>
      </c>
      <c r="W329" s="20">
        <v>3.4091696111224075E-3</v>
      </c>
      <c r="X329" s="20">
        <v>2.2264265413426496E-3</v>
      </c>
      <c r="Y329" s="20">
        <v>3.9639939982861099E-3</v>
      </c>
      <c r="Z329" s="20">
        <v>3.1923442185641603E-2</v>
      </c>
      <c r="AA329" s="20">
        <v>8.824584059164458E-3</v>
      </c>
      <c r="AB329" s="20">
        <v>1.1119050893533782</v>
      </c>
      <c r="AC329" s="20">
        <v>1.8727405042081716E-2</v>
      </c>
      <c r="AD329" s="20">
        <v>2.625677261735097E-2</v>
      </c>
      <c r="AE329" s="20">
        <v>3.4506178485887044E-2</v>
      </c>
      <c r="AF329" s="20">
        <v>4.7363575823713075E-3</v>
      </c>
      <c r="AG329" s="20">
        <v>1.1167781337936437E-2</v>
      </c>
      <c r="AH329" s="20">
        <v>1.256317820936512E-2</v>
      </c>
      <c r="AI329" s="20">
        <v>6.3598399095035479E-3</v>
      </c>
      <c r="AJ329" s="20">
        <v>8.3125920484103076E-3</v>
      </c>
      <c r="AK329" s="20">
        <v>8.7929522242911548E-3</v>
      </c>
      <c r="AL329" s="20">
        <v>2.0496384864777898E-2</v>
      </c>
      <c r="AM329" s="20">
        <v>2.2656088966732654E-2</v>
      </c>
      <c r="AN329" s="20">
        <v>5.3351351919664419E-2</v>
      </c>
      <c r="AO329" s="20">
        <v>1.5316526448422001E-2</v>
      </c>
      <c r="AP329" s="20">
        <v>1.4850024547831939E-2</v>
      </c>
      <c r="AQ329" s="20">
        <v>1.078884481212004E-2</v>
      </c>
      <c r="AR329" s="20">
        <v>5.0314966776178766E-3</v>
      </c>
      <c r="AS329" s="20">
        <v>3.9150306367896253E-3</v>
      </c>
      <c r="AT329" s="20">
        <v>1.2314532623375774E-3</v>
      </c>
      <c r="AU329" s="20">
        <v>1.9386286130658192E-3</v>
      </c>
      <c r="AV329" s="20">
        <v>2.9869521816393318E-3</v>
      </c>
      <c r="AW329" s="20">
        <v>5.2081457721615126E-3</v>
      </c>
      <c r="AX329" s="20">
        <v>4.5874954687039025E-3</v>
      </c>
      <c r="AY329" s="20">
        <v>3.8572120392659465E-3</v>
      </c>
      <c r="AZ329" s="20">
        <v>1.648962449389184E-3</v>
      </c>
      <c r="BA329" s="20">
        <v>3.0953393949057612E-3</v>
      </c>
      <c r="BB329" s="20">
        <v>3.9053410788732301E-3</v>
      </c>
      <c r="BC329" s="20">
        <v>3.8058332097612823E-3</v>
      </c>
      <c r="BD329" s="20">
        <v>6.6691809476496552E-3</v>
      </c>
      <c r="BE329" s="20">
        <v>3.8210421091689671E-2</v>
      </c>
      <c r="BF329" s="20">
        <v>1.6319059069664949E-3</v>
      </c>
      <c r="BG329" s="20">
        <v>1.708385134330891E-2</v>
      </c>
      <c r="BH329" s="20">
        <v>4.0059892784046255E-3</v>
      </c>
      <c r="BI329" s="20">
        <v>6.8023483466732567E-3</v>
      </c>
      <c r="BJ329" s="20">
        <v>3.9504491866276942E-3</v>
      </c>
      <c r="BK329" s="20">
        <v>7.9849272484791914E-3</v>
      </c>
      <c r="BL329" s="20">
        <v>6.4885525354977606E-3</v>
      </c>
      <c r="BM329" s="20">
        <v>3.7957033431640455E-3</v>
      </c>
      <c r="BN329" s="20">
        <v>6.7987637882764443E-3</v>
      </c>
      <c r="BO329" s="20">
        <v>6.5622174808273254E-3</v>
      </c>
      <c r="BP329" s="20">
        <v>3.5362720136878764E-3</v>
      </c>
      <c r="BQ329" s="20">
        <v>2.1016077342815253E-2</v>
      </c>
      <c r="BR329" s="20">
        <v>0</v>
      </c>
    </row>
    <row r="330" spans="1:70" x14ac:dyDescent="0.3">
      <c r="A330" s="7">
        <v>24</v>
      </c>
      <c r="B330" s="152" t="s">
        <v>286</v>
      </c>
      <c r="C330" s="151"/>
      <c r="D330" s="151"/>
      <c r="E330" s="153"/>
      <c r="F330" s="20">
        <v>2.9091411252775666E-2</v>
      </c>
      <c r="G330" s="20">
        <v>1.2386527388787479E-2</v>
      </c>
      <c r="H330" s="20">
        <v>2.1788708791868755E-2</v>
      </c>
      <c r="I330" s="20">
        <v>6.7284010907195435E-2</v>
      </c>
      <c r="J330" s="20">
        <v>2.0037774701313259E-2</v>
      </c>
      <c r="K330" s="20">
        <v>9.3202777960978856E-3</v>
      </c>
      <c r="L330" s="20">
        <v>2.8305560707762797E-2</v>
      </c>
      <c r="M330" s="20">
        <v>5.2776246387331693E-2</v>
      </c>
      <c r="N330" s="20">
        <v>3.1464910857772296E-2</v>
      </c>
      <c r="O330" s="20">
        <v>6.3112080683826094E-2</v>
      </c>
      <c r="P330" s="20">
        <v>6.9855780316685056E-3</v>
      </c>
      <c r="Q330" s="20">
        <v>1.2963329583594639E-3</v>
      </c>
      <c r="R330" s="20">
        <v>1.4087339317309796E-2</v>
      </c>
      <c r="S330" s="20">
        <v>3.6717330577524618E-2</v>
      </c>
      <c r="T330" s="20">
        <v>3.1882130831150509E-3</v>
      </c>
      <c r="U330" s="20">
        <v>1.2390550594432042E-2</v>
      </c>
      <c r="V330" s="20">
        <v>1.762967266297261E-3</v>
      </c>
      <c r="W330" s="20">
        <v>5.5422179911812294E-3</v>
      </c>
      <c r="X330" s="20">
        <v>6.3248246659832136E-3</v>
      </c>
      <c r="Y330" s="20">
        <v>4.1824179775555833E-3</v>
      </c>
      <c r="Z330" s="20">
        <v>3.8255774189271648E-3</v>
      </c>
      <c r="AA330" s="20">
        <v>1.8340929182290661E-2</v>
      </c>
      <c r="AB330" s="20">
        <v>1.2096271489111058E-2</v>
      </c>
      <c r="AC330" s="20">
        <v>1.0193442161425701</v>
      </c>
      <c r="AD330" s="20">
        <v>5.6037561600249565E-2</v>
      </c>
      <c r="AE330" s="20">
        <v>6.2478646949275407E-2</v>
      </c>
      <c r="AF330" s="20">
        <v>7.8841955552514914E-2</v>
      </c>
      <c r="AG330" s="20">
        <v>1.2398372087477662E-2</v>
      </c>
      <c r="AH330" s="20">
        <v>1.4717712154006536E-2</v>
      </c>
      <c r="AI330" s="20">
        <v>1.9464002349481424E-2</v>
      </c>
      <c r="AJ330" s="20">
        <v>1.2188597862812964E-2</v>
      </c>
      <c r="AK330" s="20">
        <v>4.3707433946436676E-2</v>
      </c>
      <c r="AL330" s="20">
        <v>1.640874729791331E-2</v>
      </c>
      <c r="AM330" s="20">
        <v>1.7571971118998542E-2</v>
      </c>
      <c r="AN330" s="20">
        <v>1.3882839109740542E-2</v>
      </c>
      <c r="AO330" s="20">
        <v>1.7964624061860442E-2</v>
      </c>
      <c r="AP330" s="20">
        <v>1.4283212846315995E-2</v>
      </c>
      <c r="AQ330" s="20">
        <v>3.8298982528705096E-2</v>
      </c>
      <c r="AR330" s="20">
        <v>1.1703503506439252E-2</v>
      </c>
      <c r="AS330" s="20">
        <v>7.8097816167878205E-3</v>
      </c>
      <c r="AT330" s="20">
        <v>1.1628437761115117E-2</v>
      </c>
      <c r="AU330" s="20">
        <v>6.3498180971084846E-3</v>
      </c>
      <c r="AV330" s="20">
        <v>5.5790763133260635E-3</v>
      </c>
      <c r="AW330" s="20">
        <v>6.3217808247755707E-3</v>
      </c>
      <c r="AX330" s="20">
        <v>4.6217156003853978E-3</v>
      </c>
      <c r="AY330" s="20">
        <v>1.5763507070115056E-2</v>
      </c>
      <c r="AZ330" s="20">
        <v>4.7827333875564279E-3</v>
      </c>
      <c r="BA330" s="20">
        <v>8.1994087309517939E-3</v>
      </c>
      <c r="BB330" s="20">
        <v>1.531397141682459E-2</v>
      </c>
      <c r="BC330" s="20">
        <v>9.2467735628976675E-3</v>
      </c>
      <c r="BD330" s="20">
        <v>8.6256074978705646E-3</v>
      </c>
      <c r="BE330" s="20">
        <v>6.1071203470407665E-3</v>
      </c>
      <c r="BF330" s="20">
        <v>2.7960737697186539E-3</v>
      </c>
      <c r="BG330" s="20">
        <v>1.3897524271610803E-2</v>
      </c>
      <c r="BH330" s="20">
        <v>1.0136647396760366E-2</v>
      </c>
      <c r="BI330" s="20">
        <v>1.5263182974502855E-2</v>
      </c>
      <c r="BJ330" s="20">
        <v>1.8436034840007366E-2</v>
      </c>
      <c r="BK330" s="20">
        <v>1.3362874868622261E-2</v>
      </c>
      <c r="BL330" s="20">
        <v>2.6964431133794729E-2</v>
      </c>
      <c r="BM330" s="20">
        <v>2.5213390143454285E-2</v>
      </c>
      <c r="BN330" s="20">
        <v>4.0051671483108446E-2</v>
      </c>
      <c r="BO330" s="20">
        <v>2.0031354725422473E-2</v>
      </c>
      <c r="BP330" s="20">
        <v>8.3775249549370816E-3</v>
      </c>
      <c r="BQ330" s="20">
        <v>3.0071953608588498E-2</v>
      </c>
      <c r="BR330" s="20">
        <v>0</v>
      </c>
    </row>
    <row r="331" spans="1:70" x14ac:dyDescent="0.3">
      <c r="A331" s="7">
        <v>25</v>
      </c>
      <c r="B331" s="152" t="s">
        <v>287</v>
      </c>
      <c r="C331" s="151"/>
      <c r="D331" s="151"/>
      <c r="E331" s="153"/>
      <c r="F331" s="20">
        <v>8.6988876070065897E-3</v>
      </c>
      <c r="G331" s="20">
        <v>4.3301088756903259E-3</v>
      </c>
      <c r="H331" s="20">
        <v>4.9933754435532657E-3</v>
      </c>
      <c r="I331" s="20">
        <v>6.6760642777697887E-3</v>
      </c>
      <c r="J331" s="20">
        <v>9.0256115413394917E-3</v>
      </c>
      <c r="K331" s="20">
        <v>3.6321548022858474E-3</v>
      </c>
      <c r="L331" s="20">
        <v>7.1303029801577135E-3</v>
      </c>
      <c r="M331" s="20">
        <v>3.1735085123148501E-2</v>
      </c>
      <c r="N331" s="20">
        <v>1.4402540642571415E-2</v>
      </c>
      <c r="O331" s="20">
        <v>2.2051051247319067E-2</v>
      </c>
      <c r="P331" s="20">
        <v>4.3045538915171726E-3</v>
      </c>
      <c r="Q331" s="20">
        <v>8.970972216706814E-4</v>
      </c>
      <c r="R331" s="20">
        <v>2.4025374022511722E-3</v>
      </c>
      <c r="S331" s="20">
        <v>1.7024938355183455E-2</v>
      </c>
      <c r="T331" s="20">
        <v>1.8532493203501923E-3</v>
      </c>
      <c r="U331" s="20">
        <v>3.9352749142759005E-3</v>
      </c>
      <c r="V331" s="20">
        <v>8.3367313577882996E-4</v>
      </c>
      <c r="W331" s="20">
        <v>1.4032813566633561E-3</v>
      </c>
      <c r="X331" s="20">
        <v>1.8278128109023382E-3</v>
      </c>
      <c r="Y331" s="20">
        <v>1.152643750220029E-3</v>
      </c>
      <c r="Z331" s="20">
        <v>1.1975115923299566E-3</v>
      </c>
      <c r="AA331" s="20">
        <v>5.5817132179005052E-3</v>
      </c>
      <c r="AB331" s="20">
        <v>3.4139791201526189E-3</v>
      </c>
      <c r="AC331" s="20">
        <v>2.8768440059365664E-2</v>
      </c>
      <c r="AD331" s="20">
        <v>1.0496483521990148</v>
      </c>
      <c r="AE331" s="20">
        <v>0.32249458498726058</v>
      </c>
      <c r="AF331" s="20">
        <v>7.5372890993946574E-3</v>
      </c>
      <c r="AG331" s="20">
        <v>6.9656775434642874E-3</v>
      </c>
      <c r="AH331" s="20">
        <v>6.9300423190199623E-3</v>
      </c>
      <c r="AI331" s="20">
        <v>5.4068093956833371E-3</v>
      </c>
      <c r="AJ331" s="20">
        <v>4.1762931151622818E-3</v>
      </c>
      <c r="AK331" s="20">
        <v>6.4056963675631993E-3</v>
      </c>
      <c r="AL331" s="20">
        <v>5.9974882000620221E-3</v>
      </c>
      <c r="AM331" s="20">
        <v>8.7911947264223602E-3</v>
      </c>
      <c r="AN331" s="20">
        <v>7.4267840922793678E-3</v>
      </c>
      <c r="AO331" s="20">
        <v>1.6342590108238242E-2</v>
      </c>
      <c r="AP331" s="20">
        <v>1.0771972584350222E-2</v>
      </c>
      <c r="AQ331" s="20">
        <v>9.5883201055666032E-3</v>
      </c>
      <c r="AR331" s="20">
        <v>5.0053692375943088E-3</v>
      </c>
      <c r="AS331" s="20">
        <v>2.688404626137935E-3</v>
      </c>
      <c r="AT331" s="20">
        <v>1.2820452523268481E-3</v>
      </c>
      <c r="AU331" s="20">
        <v>1.5487177796641401E-3</v>
      </c>
      <c r="AV331" s="20">
        <v>1.6671815381577447E-3</v>
      </c>
      <c r="AW331" s="20">
        <v>1.713736292151062E-3</v>
      </c>
      <c r="AX331" s="20">
        <v>1.5405557261285482E-3</v>
      </c>
      <c r="AY331" s="20">
        <v>5.6306316578072944E-3</v>
      </c>
      <c r="AZ331" s="20">
        <v>1.8245449574521846E-3</v>
      </c>
      <c r="BA331" s="20">
        <v>2.7264954247365482E-3</v>
      </c>
      <c r="BB331" s="20">
        <v>5.374750182016011E-3</v>
      </c>
      <c r="BC331" s="20">
        <v>3.1033072780934385E-3</v>
      </c>
      <c r="BD331" s="20">
        <v>3.0230227748700399E-3</v>
      </c>
      <c r="BE331" s="20">
        <v>5.2512497783946078E-3</v>
      </c>
      <c r="BF331" s="20">
        <v>9.5253199210268338E-4</v>
      </c>
      <c r="BG331" s="20">
        <v>5.1374729612242787E-3</v>
      </c>
      <c r="BH331" s="20">
        <v>8.6239195688253452E-3</v>
      </c>
      <c r="BI331" s="20">
        <v>4.0277522896911763E-3</v>
      </c>
      <c r="BJ331" s="20">
        <v>1.1848941121435154E-2</v>
      </c>
      <c r="BK331" s="20">
        <v>4.8887892519991162E-3</v>
      </c>
      <c r="BL331" s="20">
        <v>1.2380669480845973E-2</v>
      </c>
      <c r="BM331" s="20">
        <v>7.6423498587067235E-3</v>
      </c>
      <c r="BN331" s="20">
        <v>1.3726623052042966E-2</v>
      </c>
      <c r="BO331" s="20">
        <v>7.3818502989551641E-3</v>
      </c>
      <c r="BP331" s="20">
        <v>3.4230768673392913E-3</v>
      </c>
      <c r="BQ331" s="20">
        <v>2.5498552888870662E-2</v>
      </c>
      <c r="BR331" s="20">
        <v>0</v>
      </c>
    </row>
    <row r="332" spans="1:70" x14ac:dyDescent="0.3">
      <c r="A332" s="7">
        <v>26</v>
      </c>
      <c r="B332" s="152" t="s">
        <v>288</v>
      </c>
      <c r="C332" s="151"/>
      <c r="D332" s="151"/>
      <c r="E332" s="153"/>
      <c r="F332" s="20">
        <v>3.0089162276514701E-3</v>
      </c>
      <c r="G332" s="20">
        <v>2.6904741411393519E-3</v>
      </c>
      <c r="H332" s="20">
        <v>3.6705677526378054E-3</v>
      </c>
      <c r="I332" s="20">
        <v>2.6808095410144929E-3</v>
      </c>
      <c r="J332" s="20">
        <v>3.1976996029618107E-3</v>
      </c>
      <c r="K332" s="20">
        <v>4.0865690948418227E-3</v>
      </c>
      <c r="L332" s="20">
        <v>2.5465531680094185E-3</v>
      </c>
      <c r="M332" s="20">
        <v>9.2724683750938374E-4</v>
      </c>
      <c r="N332" s="20">
        <v>4.6453422828491757E-3</v>
      </c>
      <c r="O332" s="20">
        <v>9.7789399060407758E-3</v>
      </c>
      <c r="P332" s="20">
        <v>7.7579540635346594E-3</v>
      </c>
      <c r="Q332" s="20">
        <v>1.9671094723763233E-4</v>
      </c>
      <c r="R332" s="20">
        <v>2.2682417658407006E-3</v>
      </c>
      <c r="S332" s="20">
        <v>3.0516477658505919E-3</v>
      </c>
      <c r="T332" s="20">
        <v>2.540434335907021E-4</v>
      </c>
      <c r="U332" s="20">
        <v>3.1632841398940483E-3</v>
      </c>
      <c r="V332" s="20">
        <v>5.505696373829202E-4</v>
      </c>
      <c r="W332" s="20">
        <v>1.9070831769501361E-3</v>
      </c>
      <c r="X332" s="20">
        <v>2.1398818103006392E-3</v>
      </c>
      <c r="Y332" s="20">
        <v>9.9202294073992342E-4</v>
      </c>
      <c r="Z332" s="20">
        <v>1.2649337300744328E-3</v>
      </c>
      <c r="AA332" s="20">
        <v>4.6104101970059546E-3</v>
      </c>
      <c r="AB332" s="20">
        <v>4.2895714758771136E-3</v>
      </c>
      <c r="AC332" s="20">
        <v>1.295748864149348E-3</v>
      </c>
      <c r="AD332" s="20">
        <v>2.429110639797599E-3</v>
      </c>
      <c r="AE332" s="20">
        <v>1.0035343176779856</v>
      </c>
      <c r="AF332" s="20">
        <v>4.7229177834964787E-3</v>
      </c>
      <c r="AG332" s="20">
        <v>2.6026803341702553E-3</v>
      </c>
      <c r="AH332" s="20">
        <v>2.8357704872993971E-3</v>
      </c>
      <c r="AI332" s="20">
        <v>6.7173245770825894E-3</v>
      </c>
      <c r="AJ332" s="20">
        <v>3.8155695831300781E-3</v>
      </c>
      <c r="AK332" s="20">
        <v>1.0467167624926152E-2</v>
      </c>
      <c r="AL332" s="20">
        <v>3.8456627615386227E-3</v>
      </c>
      <c r="AM332" s="20">
        <v>4.2204701689257532E-3</v>
      </c>
      <c r="AN332" s="20">
        <v>3.7670828269666134E-3</v>
      </c>
      <c r="AO332" s="20">
        <v>7.7671257402295536E-3</v>
      </c>
      <c r="AP332" s="20">
        <v>6.0619003359375714E-3</v>
      </c>
      <c r="AQ332" s="20">
        <v>1.3509274472727846E-2</v>
      </c>
      <c r="AR332" s="20">
        <v>2.8770540680274439E-3</v>
      </c>
      <c r="AS332" s="20">
        <v>4.2987997322748448E-3</v>
      </c>
      <c r="AT332" s="20">
        <v>1.3208441816901781E-3</v>
      </c>
      <c r="AU332" s="20">
        <v>1.8075396338834398E-3</v>
      </c>
      <c r="AV332" s="20">
        <v>2.569667201209404E-3</v>
      </c>
      <c r="AW332" s="20">
        <v>1.790569526733026E-3</v>
      </c>
      <c r="AX332" s="20">
        <v>1.4487989913077543E-3</v>
      </c>
      <c r="AY332" s="20">
        <v>7.1652933017899998E-3</v>
      </c>
      <c r="AZ332" s="20">
        <v>1.3589124599000624E-3</v>
      </c>
      <c r="BA332" s="20">
        <v>3.7974341005352174E-3</v>
      </c>
      <c r="BB332" s="20">
        <v>1.0181926418493055E-2</v>
      </c>
      <c r="BC332" s="20">
        <v>2.0417876527190548E-3</v>
      </c>
      <c r="BD332" s="20">
        <v>2.4907280667317263E-3</v>
      </c>
      <c r="BE332" s="20">
        <v>1.6920935463089872E-3</v>
      </c>
      <c r="BF332" s="20">
        <v>9.3686317287621748E-4</v>
      </c>
      <c r="BG332" s="20">
        <v>4.5633458632855393E-3</v>
      </c>
      <c r="BH332" s="20">
        <v>3.2714618569032738E-3</v>
      </c>
      <c r="BI332" s="20">
        <v>5.8966695049060608E-3</v>
      </c>
      <c r="BJ332" s="20">
        <v>2.6444502398333219E-2</v>
      </c>
      <c r="BK332" s="20">
        <v>9.5826344128063512E-3</v>
      </c>
      <c r="BL332" s="20">
        <v>2.6791880898914693E-2</v>
      </c>
      <c r="BM332" s="20">
        <v>1.580171782065342E-2</v>
      </c>
      <c r="BN332" s="20">
        <v>3.0285971398219109E-2</v>
      </c>
      <c r="BO332" s="20">
        <v>1.4871203460347855E-2</v>
      </c>
      <c r="BP332" s="20">
        <v>5.4026984718710492E-3</v>
      </c>
      <c r="BQ332" s="20">
        <v>8.3290233077718302E-3</v>
      </c>
      <c r="BR332" s="20">
        <v>0</v>
      </c>
    </row>
    <row r="333" spans="1:70" x14ac:dyDescent="0.3">
      <c r="A333" s="7">
        <v>27</v>
      </c>
      <c r="B333" s="150" t="s">
        <v>134</v>
      </c>
      <c r="C333" s="150"/>
      <c r="D333" s="150"/>
      <c r="E333" s="150"/>
      <c r="F333" s="20">
        <v>2.3593176549148382E-3</v>
      </c>
      <c r="G333" s="20">
        <v>1.1573036871477026E-3</v>
      </c>
      <c r="H333" s="20">
        <v>2.537218644330928E-3</v>
      </c>
      <c r="I333" s="20">
        <v>7.3756460705330998E-4</v>
      </c>
      <c r="J333" s="20">
        <v>3.6760024438518999E-3</v>
      </c>
      <c r="K333" s="20">
        <v>1.23996770253767E-3</v>
      </c>
      <c r="L333" s="20">
        <v>8.742056385009191E-4</v>
      </c>
      <c r="M333" s="20">
        <v>3.8605176539489259E-4</v>
      </c>
      <c r="N333" s="20">
        <v>1.1075894778275342E-3</v>
      </c>
      <c r="O333" s="20">
        <v>7.9964289597301078E-3</v>
      </c>
      <c r="P333" s="20">
        <v>8.0741476643235389E-4</v>
      </c>
      <c r="Q333" s="20">
        <v>2.4586836387322647E-4</v>
      </c>
      <c r="R333" s="20">
        <v>4.8531215297846025E-4</v>
      </c>
      <c r="S333" s="20">
        <v>1.0675626200712691E-3</v>
      </c>
      <c r="T333" s="20">
        <v>9.4752147022980735E-5</v>
      </c>
      <c r="U333" s="20">
        <v>9.6200810337051525E-4</v>
      </c>
      <c r="V333" s="20">
        <v>3.2825651845013788E-4</v>
      </c>
      <c r="W333" s="20">
        <v>2.9891672582330579E-4</v>
      </c>
      <c r="X333" s="20">
        <v>4.8759585497037901E-4</v>
      </c>
      <c r="Y333" s="20">
        <v>2.9919823519258321E-4</v>
      </c>
      <c r="Z333" s="20">
        <v>2.6221956198340312E-4</v>
      </c>
      <c r="AA333" s="20">
        <v>1.0443149043464594E-3</v>
      </c>
      <c r="AB333" s="20">
        <v>1.7272610369934655E-3</v>
      </c>
      <c r="AC333" s="20">
        <v>3.7636609786243755E-4</v>
      </c>
      <c r="AD333" s="20">
        <v>7.1002608768302338E-4</v>
      </c>
      <c r="AE333" s="20">
        <v>4.1141080793042949E-3</v>
      </c>
      <c r="AF333" s="20">
        <v>1.0003210575536181</v>
      </c>
      <c r="AG333" s="20">
        <v>1.6495990700205385E-3</v>
      </c>
      <c r="AH333" s="20">
        <v>9.8581892930158345E-4</v>
      </c>
      <c r="AI333" s="20">
        <v>1.9663298040887124E-3</v>
      </c>
      <c r="AJ333" s="20">
        <v>8.4221333031719316E-4</v>
      </c>
      <c r="AK333" s="20">
        <v>3.2532706777530056E-3</v>
      </c>
      <c r="AL333" s="20">
        <v>1.8318051825881477E-3</v>
      </c>
      <c r="AM333" s="20">
        <v>2.2214607430688983E-3</v>
      </c>
      <c r="AN333" s="20">
        <v>1.63901112772326E-3</v>
      </c>
      <c r="AO333" s="20">
        <v>1.087910585415757E-3</v>
      </c>
      <c r="AP333" s="20">
        <v>1.346540962658724E-3</v>
      </c>
      <c r="AQ333" s="20">
        <v>8.0383626910601851E-3</v>
      </c>
      <c r="AR333" s="20">
        <v>5.891492410959832E-4</v>
      </c>
      <c r="AS333" s="20">
        <v>5.5915255495755608E-4</v>
      </c>
      <c r="AT333" s="20">
        <v>2.8369216084220023E-4</v>
      </c>
      <c r="AU333" s="20">
        <v>4.0819923597494557E-4</v>
      </c>
      <c r="AV333" s="20">
        <v>9.8774482103538815E-4</v>
      </c>
      <c r="AW333" s="20">
        <v>6.2046082194406953E-4</v>
      </c>
      <c r="AX333" s="20">
        <v>6.245579001680835E-4</v>
      </c>
      <c r="AY333" s="20">
        <v>2.3197769801166354E-3</v>
      </c>
      <c r="AZ333" s="20">
        <v>5.0570019492520823E-4</v>
      </c>
      <c r="BA333" s="20">
        <v>1.0200196474121188E-3</v>
      </c>
      <c r="BB333" s="20">
        <v>1.9253238035150271E-3</v>
      </c>
      <c r="BC333" s="20">
        <v>6.0601879990897483E-4</v>
      </c>
      <c r="BD333" s="20">
        <v>7.9348621283866785E-4</v>
      </c>
      <c r="BE333" s="20">
        <v>1.4392784023460833E-3</v>
      </c>
      <c r="BF333" s="20">
        <v>3.7062198902551916E-4</v>
      </c>
      <c r="BG333" s="20">
        <v>2.0658127924201267E-3</v>
      </c>
      <c r="BH333" s="20">
        <v>1.2378392788453616E-3</v>
      </c>
      <c r="BI333" s="20">
        <v>6.6630614136505137E-3</v>
      </c>
      <c r="BJ333" s="20">
        <v>4.6779461611928868E-3</v>
      </c>
      <c r="BK333" s="20">
        <v>2.9645263047799512E-3</v>
      </c>
      <c r="BL333" s="20">
        <v>7.8800706098668995E-3</v>
      </c>
      <c r="BM333" s="20">
        <v>2.4675776049988152E-3</v>
      </c>
      <c r="BN333" s="20">
        <v>1.1079999063678929E-2</v>
      </c>
      <c r="BO333" s="20">
        <v>3.4818115614296285E-3</v>
      </c>
      <c r="BP333" s="20">
        <v>6.0991590910273205E-4</v>
      </c>
      <c r="BQ333" s="20">
        <v>1.1955569618326905E-2</v>
      </c>
      <c r="BR333" s="20">
        <v>0</v>
      </c>
    </row>
    <row r="334" spans="1:70" x14ac:dyDescent="0.3">
      <c r="A334" s="7">
        <v>28</v>
      </c>
      <c r="B334" s="150" t="s">
        <v>114</v>
      </c>
      <c r="C334" s="150"/>
      <c r="D334" s="150"/>
      <c r="E334" s="150"/>
      <c r="F334" s="20">
        <v>4.7026365351068673E-3</v>
      </c>
      <c r="G334" s="20">
        <v>6.2370940892380235E-3</v>
      </c>
      <c r="H334" s="20">
        <v>4.3836209258924716E-3</v>
      </c>
      <c r="I334" s="20">
        <v>1.4850160450597513E-3</v>
      </c>
      <c r="J334" s="20">
        <v>1.0055392020422394E-2</v>
      </c>
      <c r="K334" s="20">
        <v>1.7935973015081022E-3</v>
      </c>
      <c r="L334" s="20">
        <v>4.5804757623502008E-3</v>
      </c>
      <c r="M334" s="20">
        <v>8.9582589717425313E-4</v>
      </c>
      <c r="N334" s="20">
        <v>4.814217323114045E-3</v>
      </c>
      <c r="O334" s="20">
        <v>8.7275668338005312E-3</v>
      </c>
      <c r="P334" s="20">
        <v>4.9298066648791787E-4</v>
      </c>
      <c r="Q334" s="20">
        <v>2.662908980981034E-4</v>
      </c>
      <c r="R334" s="20">
        <v>1.1722934638041052E-3</v>
      </c>
      <c r="S334" s="20">
        <v>5.7832957078888438E-3</v>
      </c>
      <c r="T334" s="20">
        <v>3.3479483692705925E-2</v>
      </c>
      <c r="U334" s="20">
        <v>1.0035567960196464E-2</v>
      </c>
      <c r="V334" s="20">
        <v>4.5204081868083489E-4</v>
      </c>
      <c r="W334" s="20">
        <v>2.4518112119131987E-3</v>
      </c>
      <c r="X334" s="20">
        <v>2.4922318335736924E-3</v>
      </c>
      <c r="Y334" s="20">
        <v>1.2179917098663487E-3</v>
      </c>
      <c r="Z334" s="20">
        <v>5.2381764492106554E-3</v>
      </c>
      <c r="AA334" s="20">
        <v>3.2030933414808364E-3</v>
      </c>
      <c r="AB334" s="20">
        <v>5.9853594528213273E-3</v>
      </c>
      <c r="AC334" s="20">
        <v>1.0166773952469874E-3</v>
      </c>
      <c r="AD334" s="20">
        <v>1.4039964500068033E-3</v>
      </c>
      <c r="AE334" s="20">
        <v>2.0880693330065266E-3</v>
      </c>
      <c r="AF334" s="20">
        <v>6.9666853668603063E-3</v>
      </c>
      <c r="AG334" s="20">
        <v>1.4603611361396212</v>
      </c>
      <c r="AH334" s="20">
        <v>6.5262558311910534E-3</v>
      </c>
      <c r="AI334" s="20">
        <v>2.4076971584354213E-3</v>
      </c>
      <c r="AJ334" s="20">
        <v>1.9271081113944708E-3</v>
      </c>
      <c r="AK334" s="20">
        <v>4.0366875488968054E-3</v>
      </c>
      <c r="AL334" s="20">
        <v>3.0730943819662687E-3</v>
      </c>
      <c r="AM334" s="20">
        <v>4.7617582310492792E-3</v>
      </c>
      <c r="AN334" s="20">
        <v>3.5772195603525907E-3</v>
      </c>
      <c r="AO334" s="20">
        <v>6.3528629564077498E-3</v>
      </c>
      <c r="AP334" s="20">
        <v>1.149732220346075E-3</v>
      </c>
      <c r="AQ334" s="20">
        <v>8.1683931363250844E-3</v>
      </c>
      <c r="AR334" s="20">
        <v>1.7524828852526709E-3</v>
      </c>
      <c r="AS334" s="20">
        <v>1.1338686328466335E-3</v>
      </c>
      <c r="AT334" s="20">
        <v>7.5449110182915387E-4</v>
      </c>
      <c r="AU334" s="20">
        <v>1.063605946285195E-3</v>
      </c>
      <c r="AV334" s="20">
        <v>8.4668484374543821E-4</v>
      </c>
      <c r="AW334" s="20">
        <v>9.0034921540321593E-4</v>
      </c>
      <c r="AX334" s="20">
        <v>1.3466408483805007E-3</v>
      </c>
      <c r="AY334" s="20">
        <v>6.5625325970912422E-3</v>
      </c>
      <c r="AZ334" s="20">
        <v>4.7755557039031414E-3</v>
      </c>
      <c r="BA334" s="20">
        <v>1.7352270124305848E-3</v>
      </c>
      <c r="BB334" s="20">
        <v>1.1772246567348101E-3</v>
      </c>
      <c r="BC334" s="20">
        <v>2.3786197806950613E-3</v>
      </c>
      <c r="BD334" s="20">
        <v>1.7422259627514558E-3</v>
      </c>
      <c r="BE334" s="20">
        <v>1.5448788644085265E-3</v>
      </c>
      <c r="BF334" s="20">
        <v>8.8141275802927112E-4</v>
      </c>
      <c r="BG334" s="20">
        <v>3.6338383504071628E-3</v>
      </c>
      <c r="BH334" s="20">
        <v>4.1046420736089145E-3</v>
      </c>
      <c r="BI334" s="20">
        <v>1.2207194917619468E-2</v>
      </c>
      <c r="BJ334" s="20">
        <v>8.8926202666965437E-4</v>
      </c>
      <c r="BK334" s="20">
        <v>9.8323717711341538E-4</v>
      </c>
      <c r="BL334" s="20">
        <v>3.0879204064050082E-3</v>
      </c>
      <c r="BM334" s="20">
        <v>1.2672659559251657E-3</v>
      </c>
      <c r="BN334" s="20">
        <v>3.5761856004223936E-3</v>
      </c>
      <c r="BO334" s="20">
        <v>5.2640991013801638E-2</v>
      </c>
      <c r="BP334" s="20">
        <v>4.9148849723652825E-3</v>
      </c>
      <c r="BQ334" s="20">
        <v>2.9948147997034976E-3</v>
      </c>
      <c r="BR334" s="20">
        <v>0</v>
      </c>
    </row>
    <row r="335" spans="1:70" x14ac:dyDescent="0.3">
      <c r="A335" s="7">
        <v>29</v>
      </c>
      <c r="B335" s="150" t="s">
        <v>135</v>
      </c>
      <c r="C335" s="150"/>
      <c r="D335" s="150"/>
      <c r="E335" s="150"/>
      <c r="F335" s="20">
        <v>1.2564459933450694E-2</v>
      </c>
      <c r="G335" s="20">
        <v>1.3392544848351751E-2</v>
      </c>
      <c r="H335" s="20">
        <v>4.6327628433325621E-3</v>
      </c>
      <c r="I335" s="20">
        <v>5.4624277404301726E-3</v>
      </c>
      <c r="J335" s="20">
        <v>4.4965252310749486E-3</v>
      </c>
      <c r="K335" s="20">
        <v>1.8767768025847694E-3</v>
      </c>
      <c r="L335" s="20">
        <v>6.9918289998085366E-3</v>
      </c>
      <c r="M335" s="20">
        <v>2.1183182169116151E-3</v>
      </c>
      <c r="N335" s="20">
        <v>5.6702861370099772E-3</v>
      </c>
      <c r="O335" s="20">
        <v>7.5881571221428469E-3</v>
      </c>
      <c r="P335" s="20">
        <v>9.3952863730150716E-4</v>
      </c>
      <c r="Q335" s="20">
        <v>3.4431269626635278E-4</v>
      </c>
      <c r="R335" s="20">
        <v>8.1335060457228478E-3</v>
      </c>
      <c r="S335" s="20">
        <v>6.8125045716734816E-3</v>
      </c>
      <c r="T335" s="20">
        <v>2.9639503833551979E-4</v>
      </c>
      <c r="U335" s="20">
        <v>6.5522977552222176E-3</v>
      </c>
      <c r="V335" s="20">
        <v>8.5756924742359027E-4</v>
      </c>
      <c r="W335" s="20">
        <v>1.2017952774831908E-3</v>
      </c>
      <c r="X335" s="20">
        <v>1.4769194942530074E-3</v>
      </c>
      <c r="Y335" s="20">
        <v>1.1682879390476171E-3</v>
      </c>
      <c r="Z335" s="20">
        <v>1.6608571803699559E-3</v>
      </c>
      <c r="AA335" s="20">
        <v>3.377237441035894E-3</v>
      </c>
      <c r="AB335" s="20">
        <v>5.2634766792562298E-3</v>
      </c>
      <c r="AC335" s="20">
        <v>4.3889469187744119E-3</v>
      </c>
      <c r="AD335" s="20">
        <v>5.079444102634386E-3</v>
      </c>
      <c r="AE335" s="20">
        <v>1.2576236258094418E-2</v>
      </c>
      <c r="AF335" s="20">
        <v>3.1864504150110995E-2</v>
      </c>
      <c r="AG335" s="20">
        <v>5.032442627076022E-3</v>
      </c>
      <c r="AH335" s="20">
        <v>1.0455474415173183</v>
      </c>
      <c r="AI335" s="20">
        <v>8.48687193004251E-3</v>
      </c>
      <c r="AJ335" s="20">
        <v>8.8817459956319084E-3</v>
      </c>
      <c r="AK335" s="20">
        <v>1.8953671447122865E-2</v>
      </c>
      <c r="AL335" s="20">
        <v>6.0477090035433133E-3</v>
      </c>
      <c r="AM335" s="20">
        <v>5.2884628014077048E-3</v>
      </c>
      <c r="AN335" s="20">
        <v>4.9984340222615185E-3</v>
      </c>
      <c r="AO335" s="20">
        <v>1.2641853653490824E-2</v>
      </c>
      <c r="AP335" s="20">
        <v>1.1804627941557119E-2</v>
      </c>
      <c r="AQ335" s="20">
        <v>1.4145969749350458E-2</v>
      </c>
      <c r="AR335" s="20">
        <v>5.1745497277882599E-3</v>
      </c>
      <c r="AS335" s="20">
        <v>4.9082442332638648E-3</v>
      </c>
      <c r="AT335" s="20">
        <v>1.6496514983927398E-2</v>
      </c>
      <c r="AU335" s="20">
        <v>5.9358071448276052E-3</v>
      </c>
      <c r="AV335" s="20">
        <v>6.3530748741968644E-3</v>
      </c>
      <c r="AW335" s="20">
        <v>4.2530407023158431E-3</v>
      </c>
      <c r="AX335" s="20">
        <v>4.7457241080701533E-3</v>
      </c>
      <c r="AY335" s="20">
        <v>5.884384226417802E-2</v>
      </c>
      <c r="AZ335" s="20">
        <v>4.0153806713955058E-3</v>
      </c>
      <c r="BA335" s="20">
        <v>1.4916047516920607E-2</v>
      </c>
      <c r="BB335" s="20">
        <v>8.8834907485722571E-3</v>
      </c>
      <c r="BC335" s="20">
        <v>6.0620962058145237E-3</v>
      </c>
      <c r="BD335" s="20">
        <v>1.0271270779895626E-2</v>
      </c>
      <c r="BE335" s="20">
        <v>3.1554288049005282E-3</v>
      </c>
      <c r="BF335" s="20">
        <v>1.9220222502988186E-3</v>
      </c>
      <c r="BG335" s="20">
        <v>7.4073747689671282E-3</v>
      </c>
      <c r="BH335" s="20">
        <v>1.2718890841712654E-2</v>
      </c>
      <c r="BI335" s="20">
        <v>7.3182872556187231E-2</v>
      </c>
      <c r="BJ335" s="20">
        <v>9.3518930487246337E-3</v>
      </c>
      <c r="BK335" s="20">
        <v>7.6477698870541875E-3</v>
      </c>
      <c r="BL335" s="20">
        <v>2.020222866435889E-2</v>
      </c>
      <c r="BM335" s="20">
        <v>1.1475922767777733E-2</v>
      </c>
      <c r="BN335" s="20">
        <v>2.5604319150059892E-2</v>
      </c>
      <c r="BO335" s="20">
        <v>6.6253287523411432E-3</v>
      </c>
      <c r="BP335" s="20">
        <v>3.923962021809343E-3</v>
      </c>
      <c r="BQ335" s="20">
        <v>1.2466794706239419E-2</v>
      </c>
      <c r="BR335" s="20">
        <v>0</v>
      </c>
    </row>
    <row r="336" spans="1:70" x14ac:dyDescent="0.3">
      <c r="A336" s="7">
        <v>30</v>
      </c>
      <c r="B336" s="150" t="s">
        <v>136</v>
      </c>
      <c r="C336" s="150"/>
      <c r="D336" s="150"/>
      <c r="E336" s="150"/>
      <c r="F336" s="20">
        <v>4.5677714476511011E-3</v>
      </c>
      <c r="G336" s="20">
        <v>1.147222590801179E-2</v>
      </c>
      <c r="H336" s="20">
        <v>6.223523351426413E-3</v>
      </c>
      <c r="I336" s="20">
        <v>9.2712707352399903E-3</v>
      </c>
      <c r="J336" s="20">
        <v>6.3092695774223939E-3</v>
      </c>
      <c r="K336" s="20">
        <v>2.5337305012275604E-3</v>
      </c>
      <c r="L336" s="20">
        <v>1.3722843589712945E-2</v>
      </c>
      <c r="M336" s="20">
        <v>4.0823082420542714E-3</v>
      </c>
      <c r="N336" s="20">
        <v>9.333590418558687E-3</v>
      </c>
      <c r="O336" s="20">
        <v>7.4135547209477938E-3</v>
      </c>
      <c r="P336" s="20">
        <v>2.2991226946003827E-3</v>
      </c>
      <c r="Q336" s="20">
        <v>1.8668400215392293E-4</v>
      </c>
      <c r="R336" s="20">
        <v>4.0852299955139275E-3</v>
      </c>
      <c r="S336" s="20">
        <v>9.1494340782503313E-3</v>
      </c>
      <c r="T336" s="20">
        <v>5.9749379955008049E-4</v>
      </c>
      <c r="U336" s="20">
        <v>3.0189037588102359E-3</v>
      </c>
      <c r="V336" s="20">
        <v>1.1288615306167885E-3</v>
      </c>
      <c r="W336" s="20">
        <v>3.5663969152709635E-3</v>
      </c>
      <c r="X336" s="20">
        <v>2.2043386194722714E-3</v>
      </c>
      <c r="Y336" s="20">
        <v>2.9530446133468136E-3</v>
      </c>
      <c r="Z336" s="20">
        <v>5.3861250187918902E-3</v>
      </c>
      <c r="AA336" s="20">
        <v>7.8420338725522717E-3</v>
      </c>
      <c r="AB336" s="20">
        <v>5.5458681673389316E-3</v>
      </c>
      <c r="AC336" s="20">
        <v>4.4071848638055043E-3</v>
      </c>
      <c r="AD336" s="20">
        <v>8.5638356043503967E-3</v>
      </c>
      <c r="AE336" s="20">
        <v>7.704406063394606E-3</v>
      </c>
      <c r="AF336" s="20">
        <v>7.4779868729084372E-3</v>
      </c>
      <c r="AG336" s="20">
        <v>1.204171621159514E-2</v>
      </c>
      <c r="AH336" s="20">
        <v>1.2254583238863978E-2</v>
      </c>
      <c r="AI336" s="20">
        <v>1.024560262729143</v>
      </c>
      <c r="AJ336" s="20">
        <v>1.6798310329756753E-2</v>
      </c>
      <c r="AK336" s="20">
        <v>5.8632565779700059E-3</v>
      </c>
      <c r="AL336" s="20">
        <v>7.9532356236226218E-2</v>
      </c>
      <c r="AM336" s="20">
        <v>9.3074724272035093E-3</v>
      </c>
      <c r="AN336" s="20">
        <v>6.7121408870914629E-3</v>
      </c>
      <c r="AO336" s="20">
        <v>1.5213597985896696E-2</v>
      </c>
      <c r="AP336" s="20">
        <v>2.4135880405599441E-2</v>
      </c>
      <c r="AQ336" s="20">
        <v>5.7908053665271493E-3</v>
      </c>
      <c r="AR336" s="20">
        <v>4.2381841754484846E-3</v>
      </c>
      <c r="AS336" s="20">
        <v>1.4529201187728985E-3</v>
      </c>
      <c r="AT336" s="20">
        <v>1.2091697434660072E-3</v>
      </c>
      <c r="AU336" s="20">
        <v>2.5331575228472458E-3</v>
      </c>
      <c r="AV336" s="20">
        <v>3.744068851170615E-3</v>
      </c>
      <c r="AW336" s="20">
        <v>5.6962107360682803E-3</v>
      </c>
      <c r="AX336" s="20">
        <v>5.0031656349279465E-3</v>
      </c>
      <c r="AY336" s="20">
        <v>2.4682570097536026E-3</v>
      </c>
      <c r="AZ336" s="20">
        <v>1.5988028726506495E-3</v>
      </c>
      <c r="BA336" s="20">
        <v>3.6657022078492967E-3</v>
      </c>
      <c r="BB336" s="20">
        <v>2.3271317726453605E-3</v>
      </c>
      <c r="BC336" s="20">
        <v>3.6059824319310189E-3</v>
      </c>
      <c r="BD336" s="20">
        <v>5.3702449698430407E-3</v>
      </c>
      <c r="BE336" s="20">
        <v>1.8475056433112771E-2</v>
      </c>
      <c r="BF336" s="20">
        <v>9.2947219168905339E-4</v>
      </c>
      <c r="BG336" s="20">
        <v>6.1322138042868134E-3</v>
      </c>
      <c r="BH336" s="20">
        <v>4.4157065895492698E-3</v>
      </c>
      <c r="BI336" s="20">
        <v>4.455768428644374E-3</v>
      </c>
      <c r="BJ336" s="20">
        <v>2.8027276248734621E-3</v>
      </c>
      <c r="BK336" s="20">
        <v>2.6238235685131844E-3</v>
      </c>
      <c r="BL336" s="20">
        <v>4.791113589842696E-3</v>
      </c>
      <c r="BM336" s="20">
        <v>4.1162721236599259E-3</v>
      </c>
      <c r="BN336" s="20">
        <v>6.1622713235822439E-3</v>
      </c>
      <c r="BO336" s="20">
        <v>8.88552697220929E-3</v>
      </c>
      <c r="BP336" s="20">
        <v>1.1755670004802609E-2</v>
      </c>
      <c r="BQ336" s="20">
        <v>1.0205118666576911E-2</v>
      </c>
      <c r="BR336" s="20">
        <v>0</v>
      </c>
    </row>
    <row r="337" spans="1:70" x14ac:dyDescent="0.3">
      <c r="A337" s="7">
        <v>31</v>
      </c>
      <c r="B337" s="150" t="s">
        <v>137</v>
      </c>
      <c r="C337" s="150"/>
      <c r="D337" s="150"/>
      <c r="E337" s="150"/>
      <c r="F337" s="20">
        <v>5.4169075180543626E-2</v>
      </c>
      <c r="G337" s="20">
        <v>5.952667203914417E-2</v>
      </c>
      <c r="H337" s="20">
        <v>3.2355025346935504E-2</v>
      </c>
      <c r="I337" s="20">
        <v>3.3398911504391268E-2</v>
      </c>
      <c r="J337" s="20">
        <v>4.549194517370491E-2</v>
      </c>
      <c r="K337" s="20">
        <v>1.2604872694942244E-2</v>
      </c>
      <c r="L337" s="20">
        <v>9.5721217860184782E-2</v>
      </c>
      <c r="M337" s="20">
        <v>2.4935463761040541E-2</v>
      </c>
      <c r="N337" s="20">
        <v>5.4249329676696816E-2</v>
      </c>
      <c r="O337" s="20">
        <v>3.1071977236329488E-2</v>
      </c>
      <c r="P337" s="20">
        <v>6.6248011021217352E-3</v>
      </c>
      <c r="Q337" s="20">
        <v>1.2608632613666686E-3</v>
      </c>
      <c r="R337" s="20">
        <v>1.7924134928867078E-2</v>
      </c>
      <c r="S337" s="20">
        <v>2.4258750629941414E-2</v>
      </c>
      <c r="T337" s="20">
        <v>2.5475664947250069E-3</v>
      </c>
      <c r="U337" s="20">
        <v>3.3461595865271095E-2</v>
      </c>
      <c r="V337" s="20">
        <v>1.9811020499908515E-3</v>
      </c>
      <c r="W337" s="20">
        <v>6.3655933612317434E-3</v>
      </c>
      <c r="X337" s="20">
        <v>1.6019479247059522E-2</v>
      </c>
      <c r="Y337" s="20">
        <v>6.5447686113617237E-3</v>
      </c>
      <c r="Z337" s="20">
        <v>1.7003109683702257E-2</v>
      </c>
      <c r="AA337" s="20">
        <v>4.8295516289563627E-2</v>
      </c>
      <c r="AB337" s="20">
        <v>4.1676365380186153E-2</v>
      </c>
      <c r="AC337" s="20">
        <v>3.1745873881554858E-2</v>
      </c>
      <c r="AD337" s="20">
        <v>2.8418407642986275E-2</v>
      </c>
      <c r="AE337" s="20">
        <v>5.7052583717423923E-2</v>
      </c>
      <c r="AF337" s="20">
        <v>1.6026403734782143E-2</v>
      </c>
      <c r="AG337" s="20">
        <v>9.1752918551086249E-2</v>
      </c>
      <c r="AH337" s="20">
        <v>6.5748079541459406E-2</v>
      </c>
      <c r="AI337" s="20">
        <v>1.2876256200440611E-2</v>
      </c>
      <c r="AJ337" s="20">
        <v>1.0434718263917686</v>
      </c>
      <c r="AK337" s="20">
        <v>9.3786337653586106E-3</v>
      </c>
      <c r="AL337" s="20">
        <v>2.6711335978606764E-2</v>
      </c>
      <c r="AM337" s="20">
        <v>2.4191613998549615E-2</v>
      </c>
      <c r="AN337" s="20">
        <v>2.2889994533298545E-2</v>
      </c>
      <c r="AO337" s="20">
        <v>1.3849684599663827E-2</v>
      </c>
      <c r="AP337" s="20">
        <v>1.5735093849958786E-2</v>
      </c>
      <c r="AQ337" s="20">
        <v>5.700892265068979E-2</v>
      </c>
      <c r="AR337" s="20">
        <v>2.4296803406400995E-2</v>
      </c>
      <c r="AS337" s="20">
        <v>9.7519111634069549E-3</v>
      </c>
      <c r="AT337" s="20">
        <v>4.9480994618582271E-3</v>
      </c>
      <c r="AU337" s="20">
        <v>7.807832611850289E-3</v>
      </c>
      <c r="AV337" s="20">
        <v>7.0758723583268027E-3</v>
      </c>
      <c r="AW337" s="20">
        <v>7.8656808947044892E-3</v>
      </c>
      <c r="AX337" s="20">
        <v>1.173852039031411E-2</v>
      </c>
      <c r="AY337" s="20">
        <v>1.4977582129650247E-2</v>
      </c>
      <c r="AZ337" s="20">
        <v>7.642280419144741E-3</v>
      </c>
      <c r="BA337" s="20">
        <v>1.8223446472289396E-2</v>
      </c>
      <c r="BB337" s="20">
        <v>1.4702106380651281E-2</v>
      </c>
      <c r="BC337" s="20">
        <v>3.2208618774449908E-2</v>
      </c>
      <c r="BD337" s="20">
        <v>2.491897659585288E-2</v>
      </c>
      <c r="BE337" s="20">
        <v>1.8141292135011491E-2</v>
      </c>
      <c r="BF337" s="20">
        <v>5.3370868600816357E-3</v>
      </c>
      <c r="BG337" s="20">
        <v>2.4809128399999207E-2</v>
      </c>
      <c r="BH337" s="20">
        <v>2.4687415421489882E-2</v>
      </c>
      <c r="BI337" s="20">
        <v>1.5265228789967436E-2</v>
      </c>
      <c r="BJ337" s="20">
        <v>1.733163275495311E-2</v>
      </c>
      <c r="BK337" s="20">
        <v>3.4024107105055143E-2</v>
      </c>
      <c r="BL337" s="20">
        <v>2.8072229026113383E-2</v>
      </c>
      <c r="BM337" s="20">
        <v>2.1857244429411962E-2</v>
      </c>
      <c r="BN337" s="20">
        <v>2.6711933450416513E-2</v>
      </c>
      <c r="BO337" s="20">
        <v>2.5465874716207381E-2</v>
      </c>
      <c r="BP337" s="20">
        <v>5.2665962561633847E-2</v>
      </c>
      <c r="BQ337" s="20">
        <v>4.2634391408128691E-2</v>
      </c>
      <c r="BR337" s="20">
        <v>0</v>
      </c>
    </row>
    <row r="338" spans="1:70" x14ac:dyDescent="0.3">
      <c r="A338" s="7">
        <v>32</v>
      </c>
      <c r="B338" s="150" t="s">
        <v>138</v>
      </c>
      <c r="C338" s="150"/>
      <c r="D338" s="150"/>
      <c r="E338" s="150"/>
      <c r="F338" s="20">
        <v>1.0556001075375847E-2</v>
      </c>
      <c r="G338" s="20">
        <v>1.0412891130294718E-2</v>
      </c>
      <c r="H338" s="20">
        <v>1.1206403511019E-2</v>
      </c>
      <c r="I338" s="20">
        <v>8.0135996023405764E-3</v>
      </c>
      <c r="J338" s="20">
        <v>6.1100604810764309E-3</v>
      </c>
      <c r="K338" s="20">
        <v>1.3993860815796895E-3</v>
      </c>
      <c r="L338" s="20">
        <v>8.7860783579717851E-3</v>
      </c>
      <c r="M338" s="20">
        <v>2.5079261724499139E-3</v>
      </c>
      <c r="N338" s="20">
        <v>6.7198221473680165E-3</v>
      </c>
      <c r="O338" s="20">
        <v>6.1515819903957807E-3</v>
      </c>
      <c r="P338" s="20">
        <v>2.2280949010238171E-3</v>
      </c>
      <c r="Q338" s="20">
        <v>4.1789709258306939E-4</v>
      </c>
      <c r="R338" s="20">
        <v>3.5961919627580038E-3</v>
      </c>
      <c r="S338" s="20">
        <v>5.5276254222068315E-3</v>
      </c>
      <c r="T338" s="20">
        <v>2.6093405420362915E-4</v>
      </c>
      <c r="U338" s="20">
        <v>7.8052558974797412E-3</v>
      </c>
      <c r="V338" s="20">
        <v>7.9092452881602442E-4</v>
      </c>
      <c r="W338" s="20">
        <v>1.8029323991753466E-3</v>
      </c>
      <c r="X338" s="20">
        <v>3.4029022254033763E-3</v>
      </c>
      <c r="Y338" s="20">
        <v>8.2974665340364035E-4</v>
      </c>
      <c r="Z338" s="20">
        <v>2.30360008104141E-3</v>
      </c>
      <c r="AA338" s="20">
        <v>4.2708227183879338E-3</v>
      </c>
      <c r="AB338" s="20">
        <v>7.0724556813245194E-3</v>
      </c>
      <c r="AC338" s="20">
        <v>3.461891505461041E-3</v>
      </c>
      <c r="AD338" s="20">
        <v>6.8780770813448898E-3</v>
      </c>
      <c r="AE338" s="20">
        <v>5.1607879063522172E-3</v>
      </c>
      <c r="AF338" s="20">
        <v>2.7900839577787912E-3</v>
      </c>
      <c r="AG338" s="20">
        <v>6.2703413747623874E-3</v>
      </c>
      <c r="AH338" s="20">
        <v>1.2477193444413824E-2</v>
      </c>
      <c r="AI338" s="20">
        <v>4.814614996968369E-3</v>
      </c>
      <c r="AJ338" s="20">
        <v>3.3618904955702556E-3</v>
      </c>
      <c r="AK338" s="21">
        <v>1.0033089679249128</v>
      </c>
      <c r="AL338" s="20">
        <v>1.121679786185934E-2</v>
      </c>
      <c r="AM338" s="20">
        <v>8.1251106327466256E-3</v>
      </c>
      <c r="AN338" s="20">
        <v>9.3876479336007929E-3</v>
      </c>
      <c r="AO338" s="20">
        <v>3.9325544174167873E-3</v>
      </c>
      <c r="AP338" s="20">
        <v>5.4928643678182785E-3</v>
      </c>
      <c r="AQ338" s="20">
        <v>1.2553774342361124E-2</v>
      </c>
      <c r="AR338" s="20">
        <v>4.9665988016150166E-3</v>
      </c>
      <c r="AS338" s="20">
        <v>2.9209769005638917E-3</v>
      </c>
      <c r="AT338" s="20">
        <v>1.2142882994423227E-3</v>
      </c>
      <c r="AU338" s="20">
        <v>2.1359181363822181E-3</v>
      </c>
      <c r="AV338" s="20">
        <v>1.5302227232591814E-3</v>
      </c>
      <c r="AW338" s="20">
        <v>2.2478510277898424E-3</v>
      </c>
      <c r="AX338" s="20">
        <v>3.1685739247679381E-3</v>
      </c>
      <c r="AY338" s="20">
        <v>3.396046128108014E-3</v>
      </c>
      <c r="AZ338" s="20">
        <v>2.204652767877555E-3</v>
      </c>
      <c r="BA338" s="20">
        <v>4.7943178277881525E-3</v>
      </c>
      <c r="BB338" s="20">
        <v>4.4848972821009327E-3</v>
      </c>
      <c r="BC338" s="20">
        <v>1.1582798119712424E-2</v>
      </c>
      <c r="BD338" s="20">
        <v>5.5972737262950023E-3</v>
      </c>
      <c r="BE338" s="20">
        <v>5.7069258062268525E-3</v>
      </c>
      <c r="BF338" s="20">
        <v>1.7537470555899425E-3</v>
      </c>
      <c r="BG338" s="20">
        <v>7.3958370185876659E-3</v>
      </c>
      <c r="BH338" s="20">
        <v>8.181549543616301E-3</v>
      </c>
      <c r="BI338" s="20">
        <v>3.7610227401587183E-3</v>
      </c>
      <c r="BJ338" s="20">
        <v>4.7905584995590568E-3</v>
      </c>
      <c r="BK338" s="20">
        <v>2.9083131679769766E-3</v>
      </c>
      <c r="BL338" s="20">
        <v>6.8390893497400525E-3</v>
      </c>
      <c r="BM338" s="20">
        <v>6.9854923128683409E-3</v>
      </c>
      <c r="BN338" s="20">
        <v>8.5379037171886638E-3</v>
      </c>
      <c r="BO338" s="20">
        <v>4.7355066311090049E-3</v>
      </c>
      <c r="BP338" s="20">
        <v>9.8807177014085951E-3</v>
      </c>
      <c r="BQ338" s="20">
        <v>8.9511849940244453E-3</v>
      </c>
      <c r="BR338" s="20">
        <v>0</v>
      </c>
    </row>
    <row r="339" spans="1:70" x14ac:dyDescent="0.3">
      <c r="A339" s="7">
        <v>33</v>
      </c>
      <c r="B339" s="150" t="s">
        <v>139</v>
      </c>
      <c r="C339" s="150"/>
      <c r="D339" s="150"/>
      <c r="E339" s="150"/>
      <c r="F339" s="20">
        <v>2.1830128632205022E-2</v>
      </c>
      <c r="G339" s="20">
        <v>9.0911471663918261E-2</v>
      </c>
      <c r="H339" s="20">
        <v>2.4707558062677454E-2</v>
      </c>
      <c r="I339" s="20">
        <v>6.0683434909497944E-2</v>
      </c>
      <c r="J339" s="20">
        <v>4.4017819183296697E-2</v>
      </c>
      <c r="K339" s="20">
        <v>1.3188508983753918E-2</v>
      </c>
      <c r="L339" s="20">
        <v>9.0941445788918218E-2</v>
      </c>
      <c r="M339" s="20">
        <v>3.0628171880781648E-2</v>
      </c>
      <c r="N339" s="20">
        <v>6.2977625801686477E-2</v>
      </c>
      <c r="O339" s="20">
        <v>5.2173833968988087E-2</v>
      </c>
      <c r="P339" s="20">
        <v>1.3625747374408784E-2</v>
      </c>
      <c r="Q339" s="20">
        <v>9.7312589040821659E-4</v>
      </c>
      <c r="R339" s="20">
        <v>2.0755696885845182E-2</v>
      </c>
      <c r="S339" s="20">
        <v>8.60949533942902E-2</v>
      </c>
      <c r="T339" s="20">
        <v>4.112755606060046E-3</v>
      </c>
      <c r="U339" s="20">
        <v>2.5205655533222016E-2</v>
      </c>
      <c r="V339" s="20">
        <v>5.9360344259978244E-3</v>
      </c>
      <c r="W339" s="20">
        <v>7.8010338718164157E-3</v>
      </c>
      <c r="X339" s="20">
        <v>1.1516754646408842E-2</v>
      </c>
      <c r="Y339" s="20">
        <v>1.2706520754832338E-2</v>
      </c>
      <c r="Z339" s="20">
        <v>1.692453516937515E-2</v>
      </c>
      <c r="AA339" s="20">
        <v>4.8590888228147236E-2</v>
      </c>
      <c r="AB339" s="20">
        <v>2.6400677952356316E-2</v>
      </c>
      <c r="AC339" s="20">
        <v>2.4993256477836266E-2</v>
      </c>
      <c r="AD339" s="20">
        <v>5.2499432283808947E-2</v>
      </c>
      <c r="AE339" s="20">
        <v>4.2774445291571747E-2</v>
      </c>
      <c r="AF339" s="20">
        <v>9.2014424877416394E-3</v>
      </c>
      <c r="AG339" s="20">
        <v>7.4375580723427911E-2</v>
      </c>
      <c r="AH339" s="20">
        <v>7.0106812226397738E-2</v>
      </c>
      <c r="AI339" s="20">
        <v>2.3940868357761994E-2</v>
      </c>
      <c r="AJ339" s="20">
        <v>8.5591665910059525E-2</v>
      </c>
      <c r="AK339" s="20">
        <v>3.6086270952325555E-2</v>
      </c>
      <c r="AL339" s="83">
        <v>1.0852538946956047</v>
      </c>
      <c r="AM339" s="20">
        <v>4.6951644827728858E-2</v>
      </c>
      <c r="AN339" s="20">
        <v>4.6142329221025E-2</v>
      </c>
      <c r="AO339" s="20">
        <v>0.14966411659752524</v>
      </c>
      <c r="AP339" s="20">
        <v>2.9472118550862843E-2</v>
      </c>
      <c r="AQ339" s="20">
        <v>2.5205786715736644E-2</v>
      </c>
      <c r="AR339" s="20">
        <v>2.2000500371734556E-2</v>
      </c>
      <c r="AS339" s="20">
        <v>5.5794022479382401E-3</v>
      </c>
      <c r="AT339" s="20">
        <v>3.8282403591138633E-3</v>
      </c>
      <c r="AU339" s="20">
        <v>6.8634177405639497E-3</v>
      </c>
      <c r="AV339" s="20">
        <v>4.0961710438569849E-3</v>
      </c>
      <c r="AW339" s="20">
        <v>4.4070190064076148E-3</v>
      </c>
      <c r="AX339" s="20">
        <v>5.4298864116715476E-3</v>
      </c>
      <c r="AY339" s="20">
        <v>1.0194838072673015E-2</v>
      </c>
      <c r="AZ339" s="20">
        <v>8.8903716558333436E-3</v>
      </c>
      <c r="BA339" s="20">
        <v>9.5651803937359305E-3</v>
      </c>
      <c r="BB339" s="20">
        <v>1.1791788115879836E-2</v>
      </c>
      <c r="BC339" s="20">
        <v>1.4838363040336519E-2</v>
      </c>
      <c r="BD339" s="20">
        <v>1.1443561950769796E-2</v>
      </c>
      <c r="BE339" s="20">
        <v>2.783239226126679E-2</v>
      </c>
      <c r="BF339" s="20">
        <v>4.9437363443649599E-3</v>
      </c>
      <c r="BG339" s="20">
        <v>4.7101299644481412E-2</v>
      </c>
      <c r="BH339" s="20">
        <v>1.4704508155619633E-2</v>
      </c>
      <c r="BI339" s="20">
        <v>1.3649530561664187E-2</v>
      </c>
      <c r="BJ339" s="20">
        <v>1.3682889140585896E-2</v>
      </c>
      <c r="BK339" s="20">
        <v>9.8687339421831919E-3</v>
      </c>
      <c r="BL339" s="20">
        <v>1.3476435510735576E-2</v>
      </c>
      <c r="BM339" s="20">
        <v>1.8742436002909309E-2</v>
      </c>
      <c r="BN339" s="20">
        <v>2.4089155755457531E-2</v>
      </c>
      <c r="BO339" s="20">
        <v>3.2678427871896502E-2</v>
      </c>
      <c r="BP339" s="20">
        <v>1.9375976581857628E-2</v>
      </c>
      <c r="BQ339" s="20">
        <v>3.185709842295361E-2</v>
      </c>
      <c r="BR339" s="20">
        <v>0</v>
      </c>
    </row>
    <row r="340" spans="1:70" x14ac:dyDescent="0.3">
      <c r="A340" s="7">
        <v>34</v>
      </c>
      <c r="B340" s="150" t="s">
        <v>140</v>
      </c>
      <c r="C340" s="150"/>
      <c r="D340" s="150"/>
      <c r="E340" s="150"/>
      <c r="F340" s="20">
        <v>2.7250435440209575E-3</v>
      </c>
      <c r="G340" s="20">
        <v>4.5053431443105446E-2</v>
      </c>
      <c r="H340" s="20">
        <v>1.1142091636141715E-2</v>
      </c>
      <c r="I340" s="20">
        <v>1.4917871053657774E-2</v>
      </c>
      <c r="J340" s="20">
        <v>2.8082221208691419E-3</v>
      </c>
      <c r="K340" s="20">
        <v>1.1542476927714049E-3</v>
      </c>
      <c r="L340" s="20">
        <v>1.7572756174865443E-2</v>
      </c>
      <c r="M340" s="20">
        <v>1.0493811905884734E-2</v>
      </c>
      <c r="N340" s="20">
        <v>5.8144663715349052E-3</v>
      </c>
      <c r="O340" s="20">
        <v>1.3420189898902781E-2</v>
      </c>
      <c r="P340" s="20">
        <v>3.0273249683514659E-3</v>
      </c>
      <c r="Q340" s="20">
        <v>1.8405649453160115E-4</v>
      </c>
      <c r="R340" s="20">
        <v>4.8716893448593835E-3</v>
      </c>
      <c r="S340" s="20">
        <v>5.4740825557585944E-3</v>
      </c>
      <c r="T340" s="20">
        <v>4.6272126404726303E-4</v>
      </c>
      <c r="U340" s="20">
        <v>3.2064881404873197E-3</v>
      </c>
      <c r="V340" s="20">
        <v>5.4536891718765413E-4</v>
      </c>
      <c r="W340" s="20">
        <v>1.1377968307820278E-3</v>
      </c>
      <c r="X340" s="20">
        <v>9.4410600122302657E-4</v>
      </c>
      <c r="Y340" s="20">
        <v>8.1304704938338791E-4</v>
      </c>
      <c r="Z340" s="20">
        <v>3.8883025962547424E-3</v>
      </c>
      <c r="AA340" s="20">
        <v>5.030975811831471E-3</v>
      </c>
      <c r="AB340" s="20">
        <v>7.8342371333455577E-3</v>
      </c>
      <c r="AC340" s="20">
        <v>4.6991303835593363E-3</v>
      </c>
      <c r="AD340" s="20">
        <v>1.3228694023092995E-2</v>
      </c>
      <c r="AE340" s="20">
        <v>7.8821340562101102E-3</v>
      </c>
      <c r="AF340" s="20">
        <v>1.3653892520496729E-3</v>
      </c>
      <c r="AG340" s="20">
        <v>9.6413272993675653E-3</v>
      </c>
      <c r="AH340" s="20">
        <v>5.3966009203949335E-3</v>
      </c>
      <c r="AI340" s="20">
        <v>2.7054206118857587E-3</v>
      </c>
      <c r="AJ340" s="20">
        <v>1.2410829651845371E-2</v>
      </c>
      <c r="AK340" s="20">
        <v>1.5936769721429014E-3</v>
      </c>
      <c r="AL340" s="20">
        <v>1.4784256713792075E-2</v>
      </c>
      <c r="AM340" s="21">
        <v>1.0201153841040069</v>
      </c>
      <c r="AN340" s="20">
        <v>1.9390810231145073E-2</v>
      </c>
      <c r="AO340" s="20">
        <v>7.1766978984761698E-2</v>
      </c>
      <c r="AP340" s="20">
        <v>3.910651085376915E-3</v>
      </c>
      <c r="AQ340" s="20">
        <v>2.3115827981960062E-3</v>
      </c>
      <c r="AR340" s="20">
        <v>2.5198798410746973E-3</v>
      </c>
      <c r="AS340" s="20">
        <v>1.5344449859677469E-3</v>
      </c>
      <c r="AT340" s="20">
        <v>8.4355552693654719E-4</v>
      </c>
      <c r="AU340" s="20">
        <v>3.3534516396676803E-3</v>
      </c>
      <c r="AV340" s="20">
        <v>1.4415634004394991E-3</v>
      </c>
      <c r="AW340" s="20">
        <v>1.3182790704443716E-3</v>
      </c>
      <c r="AX340" s="20">
        <v>2.3547501143896957E-3</v>
      </c>
      <c r="AY340" s="20">
        <v>1.3206028596618562E-3</v>
      </c>
      <c r="AZ340" s="20">
        <v>2.5673047652407881E-3</v>
      </c>
      <c r="BA340" s="20">
        <v>2.5739810860937761E-3</v>
      </c>
      <c r="BB340" s="20">
        <v>4.4420893256521508E-3</v>
      </c>
      <c r="BC340" s="20">
        <v>2.7059168357400289E-3</v>
      </c>
      <c r="BD340" s="20">
        <v>3.3512172949641469E-3</v>
      </c>
      <c r="BE340" s="20">
        <v>5.0085603050257412E-3</v>
      </c>
      <c r="BF340" s="20">
        <v>3.977066515925865E-3</v>
      </c>
      <c r="BG340" s="20">
        <v>5.3587261460999555E-2</v>
      </c>
      <c r="BH340" s="20">
        <v>2.4151107050259246E-3</v>
      </c>
      <c r="BI340" s="20">
        <v>1.914506717984198E-3</v>
      </c>
      <c r="BJ340" s="20">
        <v>1.4949023089941293E-3</v>
      </c>
      <c r="BK340" s="20">
        <v>1.3927453237661011E-3</v>
      </c>
      <c r="BL340" s="20">
        <v>1.4784802615070967E-3</v>
      </c>
      <c r="BM340" s="20">
        <v>2.1961652265074481E-3</v>
      </c>
      <c r="BN340" s="20">
        <v>4.4215140281277316E-3</v>
      </c>
      <c r="BO340" s="20">
        <v>2.3686103296441784E-3</v>
      </c>
      <c r="BP340" s="20">
        <v>5.7905451502680318E-3</v>
      </c>
      <c r="BQ340" s="20">
        <v>6.368815757366573E-3</v>
      </c>
      <c r="BR340" s="20">
        <v>0</v>
      </c>
    </row>
    <row r="341" spans="1:70" x14ac:dyDescent="0.3">
      <c r="A341" s="7">
        <v>35</v>
      </c>
      <c r="B341" s="150" t="s">
        <v>141</v>
      </c>
      <c r="C341" s="150"/>
      <c r="D341" s="150"/>
      <c r="E341" s="150"/>
      <c r="F341" s="20">
        <v>1.1861175986083588E-3</v>
      </c>
      <c r="G341" s="20">
        <v>3.9806864284313553E-3</v>
      </c>
      <c r="H341" s="20">
        <v>2.5819007400234547E-3</v>
      </c>
      <c r="I341" s="20">
        <v>1.2457892194737965E-3</v>
      </c>
      <c r="J341" s="20">
        <v>1.1518500376331219E-3</v>
      </c>
      <c r="K341" s="20">
        <v>7.6784204196096847E-4</v>
      </c>
      <c r="L341" s="20">
        <v>2.4016009448323732E-3</v>
      </c>
      <c r="M341" s="20">
        <v>1.0029670818613133E-3</v>
      </c>
      <c r="N341" s="20">
        <v>2.0891983079594253E-3</v>
      </c>
      <c r="O341" s="20">
        <v>1.3010395622888033E-3</v>
      </c>
      <c r="P341" s="20">
        <v>4.9761513084695347E-4</v>
      </c>
      <c r="Q341" s="20">
        <v>2.6771194911970358E-4</v>
      </c>
      <c r="R341" s="20">
        <v>8.9057114031295943E-4</v>
      </c>
      <c r="S341" s="20">
        <v>1.6156003206141748E-3</v>
      </c>
      <c r="T341" s="20">
        <v>1.3104485930584255E-4</v>
      </c>
      <c r="U341" s="20">
        <v>1.40117509488934E-3</v>
      </c>
      <c r="V341" s="20">
        <v>7.1649846001645547E-4</v>
      </c>
      <c r="W341" s="20">
        <v>7.9814522464355343E-4</v>
      </c>
      <c r="X341" s="20">
        <v>7.2915973958866131E-4</v>
      </c>
      <c r="Y341" s="20">
        <v>5.1690546691399988E-4</v>
      </c>
      <c r="Z341" s="20">
        <v>4.3062629594854572E-3</v>
      </c>
      <c r="AA341" s="20">
        <v>2.3125187928451818E-3</v>
      </c>
      <c r="AB341" s="20">
        <v>7.8002801019084996E-3</v>
      </c>
      <c r="AC341" s="20">
        <v>1.2683664822392274E-3</v>
      </c>
      <c r="AD341" s="20">
        <v>1.3775129604793933E-3</v>
      </c>
      <c r="AE341" s="20">
        <v>1.3976330658896836E-3</v>
      </c>
      <c r="AF341" s="20">
        <v>1.3806890059903877E-3</v>
      </c>
      <c r="AG341" s="20">
        <v>2.1891921818077706E-3</v>
      </c>
      <c r="AH341" s="20">
        <v>2.4503037739787505E-3</v>
      </c>
      <c r="AI341" s="20">
        <v>2.8397494803326967E-3</v>
      </c>
      <c r="AJ341" s="20">
        <v>5.0514349519742742E-3</v>
      </c>
      <c r="AK341" s="20">
        <v>2.8504418797764153E-3</v>
      </c>
      <c r="AL341" s="20">
        <v>3.7573816187172543E-3</v>
      </c>
      <c r="AM341" s="20">
        <v>5.1923693619211984E-3</v>
      </c>
      <c r="AN341" s="21">
        <v>1.0080457150819986</v>
      </c>
      <c r="AO341" s="20">
        <v>1.0631984448723731E-2</v>
      </c>
      <c r="AP341" s="20">
        <v>8.5090611694382298E-2</v>
      </c>
      <c r="AQ341" s="20">
        <v>1.8589708983689957E-3</v>
      </c>
      <c r="AR341" s="20">
        <v>6.1712494151305811E-3</v>
      </c>
      <c r="AS341" s="20">
        <v>3.4732540978743768E-3</v>
      </c>
      <c r="AT341" s="20">
        <v>1.1084465314857212E-3</v>
      </c>
      <c r="AU341" s="20">
        <v>4.1204946963307697E-3</v>
      </c>
      <c r="AV341" s="20">
        <v>4.5627501720008502E-3</v>
      </c>
      <c r="AW341" s="20">
        <v>5.2739006206071375E-3</v>
      </c>
      <c r="AX341" s="20">
        <v>9.4724065097407471E-3</v>
      </c>
      <c r="AY341" s="20">
        <v>1.2040259033492778E-3</v>
      </c>
      <c r="AZ341" s="20">
        <v>4.0233215833437568E-3</v>
      </c>
      <c r="BA341" s="20">
        <v>3.5287703435121038E-3</v>
      </c>
      <c r="BB341" s="20">
        <v>8.8507359414580281E-3</v>
      </c>
      <c r="BC341" s="20">
        <v>4.2578549555132477E-3</v>
      </c>
      <c r="BD341" s="20">
        <v>5.8333608705519969E-3</v>
      </c>
      <c r="BE341" s="20">
        <v>3.4212232241655057E-3</v>
      </c>
      <c r="BF341" s="20">
        <v>1.0978671369244932E-2</v>
      </c>
      <c r="BG341" s="20">
        <v>0.2339010233563775</v>
      </c>
      <c r="BH341" s="20">
        <v>4.3968294617972963E-3</v>
      </c>
      <c r="BI341" s="20">
        <v>1.1053037346204334E-2</v>
      </c>
      <c r="BJ341" s="20">
        <v>4.220668863429331E-3</v>
      </c>
      <c r="BK341" s="20">
        <v>1.2132845835158641E-3</v>
      </c>
      <c r="BL341" s="20">
        <v>1.207777362347392E-3</v>
      </c>
      <c r="BM341" s="20">
        <v>4.6570332771092657E-3</v>
      </c>
      <c r="BN341" s="20">
        <v>1.2107878127045054E-2</v>
      </c>
      <c r="BO341" s="20">
        <v>1.3509413897914539E-2</v>
      </c>
      <c r="BP341" s="20">
        <v>8.6079677935200945E-3</v>
      </c>
      <c r="BQ341" s="20">
        <v>2.8125264531646634E-3</v>
      </c>
      <c r="BR341" s="20">
        <v>0</v>
      </c>
    </row>
    <row r="342" spans="1:70" x14ac:dyDescent="0.3">
      <c r="A342" s="7">
        <v>36</v>
      </c>
      <c r="B342" s="150" t="s">
        <v>142</v>
      </c>
      <c r="C342" s="150"/>
      <c r="D342" s="150"/>
      <c r="E342" s="150"/>
      <c r="F342" s="20">
        <v>2.3130436314130254E-2</v>
      </c>
      <c r="G342" s="20">
        <v>0.16238401388694063</v>
      </c>
      <c r="H342" s="20">
        <v>0.11188174263110515</v>
      </c>
      <c r="I342" s="20">
        <v>5.4059151927738962E-2</v>
      </c>
      <c r="J342" s="20">
        <v>2.9393089939971528E-2</v>
      </c>
      <c r="K342" s="20">
        <v>1.0086624425081776E-2</v>
      </c>
      <c r="L342" s="20">
        <v>7.1330645710932644E-2</v>
      </c>
      <c r="M342" s="20">
        <v>4.1418230545026448E-2</v>
      </c>
      <c r="N342" s="20">
        <v>4.0737080515934519E-2</v>
      </c>
      <c r="O342" s="20">
        <v>4.2756138182385647E-2</v>
      </c>
      <c r="P342" s="20">
        <v>1.8119058394154088E-2</v>
      </c>
      <c r="Q342" s="20">
        <v>8.8717855479738053E-4</v>
      </c>
      <c r="R342" s="20">
        <v>1.4583737136670142E-2</v>
      </c>
      <c r="S342" s="20">
        <v>3.2081874245199385E-2</v>
      </c>
      <c r="T342" s="20">
        <v>3.4890706021289109E-3</v>
      </c>
      <c r="U342" s="20">
        <v>1.7118534752886702E-2</v>
      </c>
      <c r="V342" s="20">
        <v>4.9479985542167154E-3</v>
      </c>
      <c r="W342" s="20">
        <v>4.151767348154289E-3</v>
      </c>
      <c r="X342" s="20">
        <v>7.8432132446530113E-3</v>
      </c>
      <c r="Y342" s="20">
        <v>7.3972110763670367E-3</v>
      </c>
      <c r="Z342" s="20">
        <v>3.0889358229074921E-2</v>
      </c>
      <c r="AA342" s="20">
        <v>3.6198174199974162E-2</v>
      </c>
      <c r="AB342" s="20">
        <v>6.1041050793647855E-2</v>
      </c>
      <c r="AC342" s="20">
        <v>2.4217963417199943E-2</v>
      </c>
      <c r="AD342" s="20">
        <v>6.3624623941506378E-2</v>
      </c>
      <c r="AE342" s="20">
        <v>3.9331741585779165E-2</v>
      </c>
      <c r="AF342" s="20">
        <v>7.7745921094556194E-3</v>
      </c>
      <c r="AG342" s="20">
        <v>8.1114645042206071E-2</v>
      </c>
      <c r="AH342" s="20">
        <v>3.2316491338105893E-2</v>
      </c>
      <c r="AI342" s="20">
        <v>2.1712969396567992E-2</v>
      </c>
      <c r="AJ342" s="20">
        <v>0.13083518631453545</v>
      </c>
      <c r="AK342" s="20">
        <v>1.27496688903928E-2</v>
      </c>
      <c r="AL342" s="20">
        <v>0.21328967280075917</v>
      </c>
      <c r="AM342" s="20">
        <v>0.29605927696033779</v>
      </c>
      <c r="AN342" s="20">
        <v>0.34119243158337975</v>
      </c>
      <c r="AO342" s="21">
        <v>1.3916252219061893</v>
      </c>
      <c r="AP342" s="20">
        <v>5.6995142923263048E-2</v>
      </c>
      <c r="AQ342" s="20">
        <v>1.9677278115440185E-2</v>
      </c>
      <c r="AR342" s="20">
        <v>1.677119982774164E-2</v>
      </c>
      <c r="AS342" s="20">
        <v>6.3404326739798606E-3</v>
      </c>
      <c r="AT342" s="20">
        <v>3.3823808738312803E-3</v>
      </c>
      <c r="AU342" s="20">
        <v>6.7353604334079564E-3</v>
      </c>
      <c r="AV342" s="20">
        <v>5.6082683668368504E-3</v>
      </c>
      <c r="AW342" s="20">
        <v>8.0283021809835573E-3</v>
      </c>
      <c r="AX342" s="20">
        <v>1.2033267366187525E-2</v>
      </c>
      <c r="AY342" s="20">
        <v>8.4225750388506118E-3</v>
      </c>
      <c r="AZ342" s="20">
        <v>6.4968245716102999E-3</v>
      </c>
      <c r="BA342" s="20">
        <v>8.4606551236048339E-3</v>
      </c>
      <c r="BB342" s="20">
        <v>1.1277890135346379E-2</v>
      </c>
      <c r="BC342" s="20">
        <v>1.3143568969738272E-2</v>
      </c>
      <c r="BD342" s="20">
        <v>1.2016572409172897E-2</v>
      </c>
      <c r="BE342" s="20">
        <v>8.3463603490435884E-2</v>
      </c>
      <c r="BF342" s="20">
        <v>8.1451288365633947E-3</v>
      </c>
      <c r="BG342" s="20">
        <v>0.12129058966731442</v>
      </c>
      <c r="BH342" s="20">
        <v>1.7799799736185045E-2</v>
      </c>
      <c r="BI342" s="20">
        <v>1.1347518112086466E-2</v>
      </c>
      <c r="BJ342" s="20">
        <v>8.9016268322333961E-3</v>
      </c>
      <c r="BK342" s="20">
        <v>9.4904215118115001E-3</v>
      </c>
      <c r="BL342" s="20">
        <v>1.1815363313111367E-2</v>
      </c>
      <c r="BM342" s="20">
        <v>1.1542930672306512E-2</v>
      </c>
      <c r="BN342" s="20">
        <v>1.9688391445642467E-2</v>
      </c>
      <c r="BO342" s="20">
        <v>2.1439986558654461E-2</v>
      </c>
      <c r="BP342" s="20">
        <v>1.6863327044560471E-2</v>
      </c>
      <c r="BQ342" s="20">
        <v>3.4755880578071233E-2</v>
      </c>
      <c r="BR342" s="20">
        <v>0</v>
      </c>
    </row>
    <row r="343" spans="1:70" x14ac:dyDescent="0.3">
      <c r="A343" s="7">
        <v>37</v>
      </c>
      <c r="B343" s="150" t="s">
        <v>143</v>
      </c>
      <c r="C343" s="150"/>
      <c r="D343" s="150"/>
      <c r="E343" s="150"/>
      <c r="F343" s="20">
        <v>8.6113095771507629E-4</v>
      </c>
      <c r="G343" s="20">
        <v>1.5904773457408622E-3</v>
      </c>
      <c r="H343" s="20">
        <v>9.0140641504722499E-4</v>
      </c>
      <c r="I343" s="20">
        <v>8.008642405700452E-4</v>
      </c>
      <c r="J343" s="20">
        <v>9.279410465968343E-4</v>
      </c>
      <c r="K343" s="20">
        <v>7.4727698187095288E-4</v>
      </c>
      <c r="L343" s="20">
        <v>1.4702930708219676E-3</v>
      </c>
      <c r="M343" s="20">
        <v>7.9711402831095777E-4</v>
      </c>
      <c r="N343" s="20">
        <v>2.1017585496509415E-3</v>
      </c>
      <c r="O343" s="20">
        <v>9.4456609110228943E-4</v>
      </c>
      <c r="P343" s="20">
        <v>3.3376637566020557E-4</v>
      </c>
      <c r="Q343" s="20">
        <v>2.2088585416898336E-4</v>
      </c>
      <c r="R343" s="20">
        <v>7.0284243780243934E-4</v>
      </c>
      <c r="S343" s="20">
        <v>6.8777724174019013E-4</v>
      </c>
      <c r="T343" s="20">
        <v>1.0411106259900965E-4</v>
      </c>
      <c r="U343" s="20">
        <v>4.8619817868107977E-4</v>
      </c>
      <c r="V343" s="20">
        <v>3.2377679518489239E-4</v>
      </c>
      <c r="W343" s="20">
        <v>2.210467141441361E-4</v>
      </c>
      <c r="X343" s="20">
        <v>3.0606666908419839E-4</v>
      </c>
      <c r="Y343" s="20">
        <v>2.7478647238449329E-4</v>
      </c>
      <c r="Z343" s="20">
        <v>7.5909800037172223E-4</v>
      </c>
      <c r="AA343" s="20">
        <v>1.6836023982835665E-3</v>
      </c>
      <c r="AB343" s="20">
        <v>8.9592577128636203E-4</v>
      </c>
      <c r="AC343" s="20">
        <v>4.2086352908328835E-3</v>
      </c>
      <c r="AD343" s="20">
        <v>9.8299444715362451E-4</v>
      </c>
      <c r="AE343" s="20">
        <v>1.0845561366006908E-3</v>
      </c>
      <c r="AF343" s="20">
        <v>3.8401756675877402E-3</v>
      </c>
      <c r="AG343" s="20">
        <v>2.8725547377325212E-3</v>
      </c>
      <c r="AH343" s="20">
        <v>1.2955199659532022E-3</v>
      </c>
      <c r="AI343" s="20">
        <v>2.4539072136887737E-3</v>
      </c>
      <c r="AJ343" s="20">
        <v>3.9529137055717561E-3</v>
      </c>
      <c r="AK343" s="20">
        <v>7.4885005836944985E-3</v>
      </c>
      <c r="AL343" s="20">
        <v>1.5025581964689429E-3</v>
      </c>
      <c r="AM343" s="20">
        <v>1.2586304897167541E-3</v>
      </c>
      <c r="AN343" s="20">
        <v>1.0129316368363624E-3</v>
      </c>
      <c r="AO343" s="20">
        <v>1.7658883765507187E-3</v>
      </c>
      <c r="AP343" s="21">
        <v>1.1294055313654112</v>
      </c>
      <c r="AQ343" s="20">
        <v>2.0656582042402373E-3</v>
      </c>
      <c r="AR343" s="20">
        <v>4.8952995535131792E-2</v>
      </c>
      <c r="AS343" s="20">
        <v>1.1251881447807029E-3</v>
      </c>
      <c r="AT343" s="20">
        <v>2.0201887621683948E-3</v>
      </c>
      <c r="AU343" s="20">
        <v>2.193931659145291E-3</v>
      </c>
      <c r="AV343" s="20">
        <v>4.6762152188753615E-3</v>
      </c>
      <c r="AW343" s="20">
        <v>3.4683359714959435E-3</v>
      </c>
      <c r="AX343" s="20">
        <v>7.2190722847642686E-3</v>
      </c>
      <c r="AY343" s="20">
        <v>1.7522891409377682E-3</v>
      </c>
      <c r="AZ343" s="20">
        <v>2.2037327834615555E-3</v>
      </c>
      <c r="BA343" s="20">
        <v>3.8408894758337944E-3</v>
      </c>
      <c r="BB343" s="20">
        <v>3.695835925199586E-3</v>
      </c>
      <c r="BC343" s="20">
        <v>6.648047082947469E-3</v>
      </c>
      <c r="BD343" s="20">
        <v>1.0507489186204817E-2</v>
      </c>
      <c r="BE343" s="20">
        <v>1.3785802098988118E-3</v>
      </c>
      <c r="BF343" s="20">
        <v>2.3796459028800968E-3</v>
      </c>
      <c r="BG343" s="20">
        <v>5.1902330290452365E-3</v>
      </c>
      <c r="BH343" s="20">
        <v>2.5901468354572917E-2</v>
      </c>
      <c r="BI343" s="20">
        <v>4.383695713590572E-3</v>
      </c>
      <c r="BJ343" s="20">
        <v>1.6755989568035335E-3</v>
      </c>
      <c r="BK343" s="20">
        <v>1.0129451809738643E-3</v>
      </c>
      <c r="BL343" s="20">
        <v>3.3395404468872965E-3</v>
      </c>
      <c r="BM343" s="20">
        <v>3.3356570043198241E-3</v>
      </c>
      <c r="BN343" s="20">
        <v>6.9100807815041859E-3</v>
      </c>
      <c r="BO343" s="20">
        <v>1.696101760063147E-2</v>
      </c>
      <c r="BP343" s="20">
        <v>1.5478532846849762E-3</v>
      </c>
      <c r="BQ343" s="20">
        <v>1.5157354277881808E-3</v>
      </c>
      <c r="BR343" s="20">
        <v>0</v>
      </c>
    </row>
    <row r="344" spans="1:70" x14ac:dyDescent="0.3">
      <c r="A344" s="7">
        <v>38</v>
      </c>
      <c r="B344" s="150" t="s">
        <v>144</v>
      </c>
      <c r="C344" s="150"/>
      <c r="D344" s="150"/>
      <c r="E344" s="150"/>
      <c r="F344" s="20">
        <v>1.174431000625586E-3</v>
      </c>
      <c r="G344" s="20">
        <v>6.6545512626553288E-3</v>
      </c>
      <c r="H344" s="20">
        <v>5.6439485524251588E-3</v>
      </c>
      <c r="I344" s="20">
        <v>1.3528080679585282E-3</v>
      </c>
      <c r="J344" s="20">
        <v>1.5216519851866935E-3</v>
      </c>
      <c r="K344" s="20">
        <v>6.6466188608859127E-4</v>
      </c>
      <c r="L344" s="20">
        <v>3.2947565412881239E-3</v>
      </c>
      <c r="M344" s="20">
        <v>1.1992166982106494E-3</v>
      </c>
      <c r="N344" s="20">
        <v>3.1424977477470901E-3</v>
      </c>
      <c r="O344" s="20">
        <v>1.8038286149555448E-3</v>
      </c>
      <c r="P344" s="20">
        <v>6.6061248213235106E-4</v>
      </c>
      <c r="Q344" s="20">
        <v>2.9490155624467323E-4</v>
      </c>
      <c r="R344" s="20">
        <v>8.795540406433466E-4</v>
      </c>
      <c r="S344" s="20">
        <v>1.6248292310596789E-3</v>
      </c>
      <c r="T344" s="20">
        <v>1.623777602946474E-4</v>
      </c>
      <c r="U344" s="20">
        <v>2.0660875182901997E-3</v>
      </c>
      <c r="V344" s="20">
        <v>8.8793866942276918E-4</v>
      </c>
      <c r="W344" s="20">
        <v>1.0864019140198712E-3</v>
      </c>
      <c r="X344" s="20">
        <v>7.8416477606953444E-4</v>
      </c>
      <c r="Y344" s="20">
        <v>9.1911861213042482E-4</v>
      </c>
      <c r="Z344" s="20">
        <v>2.4714673218442845E-3</v>
      </c>
      <c r="AA344" s="20">
        <v>2.1491020553330168E-3</v>
      </c>
      <c r="AB344" s="20">
        <v>1.1835333472275878E-2</v>
      </c>
      <c r="AC344" s="20">
        <v>1.1025306765605298E-3</v>
      </c>
      <c r="AD344" s="20">
        <v>1.4577378059900416E-3</v>
      </c>
      <c r="AE344" s="20">
        <v>1.8089855932943617E-3</v>
      </c>
      <c r="AF344" s="20">
        <v>1.0586638543545691E-3</v>
      </c>
      <c r="AG344" s="20">
        <v>1.9816253700711654E-3</v>
      </c>
      <c r="AH344" s="20">
        <v>5.1871135611904692E-3</v>
      </c>
      <c r="AI344" s="20">
        <v>2.6230020692808234E-3</v>
      </c>
      <c r="AJ344" s="20">
        <v>5.3356777387447984E-3</v>
      </c>
      <c r="AK344" s="20">
        <v>2.8570842733785708E-3</v>
      </c>
      <c r="AL344" s="20">
        <v>5.598337983022888E-3</v>
      </c>
      <c r="AM344" s="20">
        <v>4.2351449329291234E-3</v>
      </c>
      <c r="AN344" s="20">
        <v>2.0989355921258734E-2</v>
      </c>
      <c r="AO344" s="20">
        <v>3.3262599554831828E-3</v>
      </c>
      <c r="AP344" s="20">
        <v>3.4687879502514683E-3</v>
      </c>
      <c r="AQ344" s="20">
        <v>1.0039303630593972</v>
      </c>
      <c r="AR344" s="20">
        <v>5.4250859307240608E-3</v>
      </c>
      <c r="AS344" s="20">
        <v>7.9795968679666693E-3</v>
      </c>
      <c r="AT344" s="20">
        <v>2.4137367892778064E-3</v>
      </c>
      <c r="AU344" s="20">
        <v>1.2153765481002866E-2</v>
      </c>
      <c r="AV344" s="20">
        <v>4.2767925625713261E-3</v>
      </c>
      <c r="AW344" s="20">
        <v>4.6247981487121236E-3</v>
      </c>
      <c r="AX344" s="20">
        <v>9.0523091543860505E-3</v>
      </c>
      <c r="AY344" s="20">
        <v>1.287155192429966E-3</v>
      </c>
      <c r="AZ344" s="20">
        <v>5.5234520600931595E-3</v>
      </c>
      <c r="BA344" s="20">
        <v>3.3782000052703675E-3</v>
      </c>
      <c r="BB344" s="20">
        <v>1.3840349380146647E-2</v>
      </c>
      <c r="BC344" s="20">
        <v>5.6824827787159476E-3</v>
      </c>
      <c r="BD344" s="20">
        <v>1.4910216737658685E-2</v>
      </c>
      <c r="BE344" s="20">
        <v>1.733453361421956E-3</v>
      </c>
      <c r="BF344" s="20">
        <v>1.9106187637156734E-2</v>
      </c>
      <c r="BG344" s="20">
        <v>0.15715181509227269</v>
      </c>
      <c r="BH344" s="20">
        <v>4.9561446322129235E-3</v>
      </c>
      <c r="BI344" s="20">
        <v>1.3404139480091925E-2</v>
      </c>
      <c r="BJ344" s="20">
        <v>1.7744597469585052E-2</v>
      </c>
      <c r="BK344" s="20">
        <v>7.304705155700625E-3</v>
      </c>
      <c r="BL344" s="20">
        <v>2.3812524843650488E-2</v>
      </c>
      <c r="BM344" s="20">
        <v>1.6471283543505397E-2</v>
      </c>
      <c r="BN344" s="20">
        <v>3.2764538247613016E-2</v>
      </c>
      <c r="BO344" s="20">
        <v>2.0361881355379623E-2</v>
      </c>
      <c r="BP344" s="20">
        <v>8.2661212976088382E-3</v>
      </c>
      <c r="BQ344" s="20">
        <v>2.4596492716952075E-3</v>
      </c>
      <c r="BR344" s="20">
        <v>0</v>
      </c>
    </row>
    <row r="345" spans="1:70" x14ac:dyDescent="0.3">
      <c r="A345" s="7">
        <v>39</v>
      </c>
      <c r="B345" s="150" t="s">
        <v>145</v>
      </c>
      <c r="C345" s="150"/>
      <c r="D345" s="150"/>
      <c r="E345" s="150"/>
      <c r="F345" s="20">
        <v>1.8315778798704942E-3</v>
      </c>
      <c r="G345" s="20">
        <v>5.705040402971007E-3</v>
      </c>
      <c r="H345" s="20">
        <v>2.3161261780721048E-3</v>
      </c>
      <c r="I345" s="20">
        <v>1.1665353902716022E-3</v>
      </c>
      <c r="J345" s="20">
        <v>1.8035924043259886E-3</v>
      </c>
      <c r="K345" s="20">
        <v>7.8109978629332152E-4</v>
      </c>
      <c r="L345" s="20">
        <v>3.4099262877281501E-3</v>
      </c>
      <c r="M345" s="20">
        <v>2.8208056679425546E-3</v>
      </c>
      <c r="N345" s="20">
        <v>8.6923450592236631E-3</v>
      </c>
      <c r="O345" s="20">
        <v>3.7518521839835068E-3</v>
      </c>
      <c r="P345" s="20">
        <v>5.8515373077705425E-4</v>
      </c>
      <c r="Q345" s="20">
        <v>1.3246190278746251E-3</v>
      </c>
      <c r="R345" s="20">
        <v>6.4001875805196214E-4</v>
      </c>
      <c r="S345" s="20">
        <v>1.0358219281243887E-3</v>
      </c>
      <c r="T345" s="20">
        <v>8.4559808359412978E-5</v>
      </c>
      <c r="U345" s="20">
        <v>7.1097875280904342E-4</v>
      </c>
      <c r="V345" s="20">
        <v>1.6611041524543667E-3</v>
      </c>
      <c r="W345" s="20">
        <v>4.4021100838898881E-4</v>
      </c>
      <c r="X345" s="20">
        <v>6.3974798462893749E-4</v>
      </c>
      <c r="Y345" s="20">
        <v>2.9717299973713548E-4</v>
      </c>
      <c r="Z345" s="20">
        <v>7.8331007526062657E-4</v>
      </c>
      <c r="AA345" s="20">
        <v>1.6896401216667093E-3</v>
      </c>
      <c r="AB345" s="20">
        <v>1.5280255066677071E-3</v>
      </c>
      <c r="AC345" s="20">
        <v>1.5297402990170296E-3</v>
      </c>
      <c r="AD345" s="20">
        <v>1.3709159272213211E-3</v>
      </c>
      <c r="AE345" s="20">
        <v>1.9939546060320423E-3</v>
      </c>
      <c r="AF345" s="20">
        <v>1.4881798207407736E-3</v>
      </c>
      <c r="AG345" s="20">
        <v>1.9440863303652118E-3</v>
      </c>
      <c r="AH345" s="20">
        <v>2.214635526717342E-3</v>
      </c>
      <c r="AI345" s="20">
        <v>1.4553587438758392E-2</v>
      </c>
      <c r="AJ345" s="20">
        <v>1.1764871982389059E-2</v>
      </c>
      <c r="AK345" s="20">
        <v>8.8249283773088778E-3</v>
      </c>
      <c r="AL345" s="20">
        <v>2.9181182147702068E-3</v>
      </c>
      <c r="AM345" s="20">
        <v>2.1720412639496525E-3</v>
      </c>
      <c r="AN345" s="20">
        <v>2.1551416471578344E-3</v>
      </c>
      <c r="AO345" s="20">
        <v>2.6270318942631589E-3</v>
      </c>
      <c r="AP345" s="20">
        <v>2.0512169259196435E-2</v>
      </c>
      <c r="AQ345" s="20">
        <v>5.9842731420197432E-3</v>
      </c>
      <c r="AR345" s="20">
        <v>1.0355748446763675</v>
      </c>
      <c r="AS345" s="20">
        <v>2.7839785645117714E-3</v>
      </c>
      <c r="AT345" s="20">
        <v>2.6272354315590128E-3</v>
      </c>
      <c r="AU345" s="20">
        <v>2.2066555968384065E-2</v>
      </c>
      <c r="AV345" s="20">
        <v>6.2687842765212099E-3</v>
      </c>
      <c r="AW345" s="20">
        <v>8.2896420770139905E-3</v>
      </c>
      <c r="AX345" s="20">
        <v>1.4178410320562084E-2</v>
      </c>
      <c r="AY345" s="20">
        <v>1.23353907354049E-3</v>
      </c>
      <c r="AZ345" s="20">
        <v>4.5249052101898786E-3</v>
      </c>
      <c r="BA345" s="20">
        <v>6.6232578331032101E-3</v>
      </c>
      <c r="BB345" s="20">
        <v>1.1800871732393985E-2</v>
      </c>
      <c r="BC345" s="20">
        <v>5.1179022826550513E-2</v>
      </c>
      <c r="BD345" s="20">
        <v>1.3280540111450108E-2</v>
      </c>
      <c r="BE345" s="20">
        <v>1.4743565110750549E-3</v>
      </c>
      <c r="BF345" s="20">
        <v>3.2628946651981237E-3</v>
      </c>
      <c r="BG345" s="20">
        <v>1.3735363604927655E-2</v>
      </c>
      <c r="BH345" s="20">
        <v>3.8505665483526477E-3</v>
      </c>
      <c r="BI345" s="20">
        <v>5.2609455656625094E-3</v>
      </c>
      <c r="BJ345" s="20">
        <v>1.2927276976947271E-2</v>
      </c>
      <c r="BK345" s="20">
        <v>3.0160829172368622E-3</v>
      </c>
      <c r="BL345" s="20">
        <v>3.478443515413565E-3</v>
      </c>
      <c r="BM345" s="20">
        <v>2.4333136829160464E-2</v>
      </c>
      <c r="BN345" s="20">
        <v>7.3796771925846404E-3</v>
      </c>
      <c r="BO345" s="20">
        <v>9.1815493063744699E-3</v>
      </c>
      <c r="BP345" s="20">
        <v>2.5886370484611647E-3</v>
      </c>
      <c r="BQ345" s="20">
        <v>5.952247276031569E-3</v>
      </c>
      <c r="BR345" s="20">
        <v>0</v>
      </c>
    </row>
    <row r="346" spans="1:70" x14ac:dyDescent="0.3">
      <c r="A346" s="7">
        <v>40</v>
      </c>
      <c r="B346" s="150" t="s">
        <v>146</v>
      </c>
      <c r="C346" s="150"/>
      <c r="D346" s="150"/>
      <c r="E346" s="150"/>
      <c r="F346" s="20">
        <v>1.1677035654818174E-3</v>
      </c>
      <c r="G346" s="20">
        <v>2.8129732056683169E-3</v>
      </c>
      <c r="H346" s="20">
        <v>1.1561325323486435E-3</v>
      </c>
      <c r="I346" s="20">
        <v>6.8756228640407479E-4</v>
      </c>
      <c r="J346" s="20">
        <v>1.3457519762205196E-3</v>
      </c>
      <c r="K346" s="20">
        <v>4.9143858073290672E-4</v>
      </c>
      <c r="L346" s="20">
        <v>1.4741387834823561E-3</v>
      </c>
      <c r="M346" s="20">
        <v>6.4002266760357514E-4</v>
      </c>
      <c r="N346" s="20">
        <v>8.5282632811492561E-3</v>
      </c>
      <c r="O346" s="20">
        <v>1.6257502401204901E-3</v>
      </c>
      <c r="P346" s="20">
        <v>2.6189399702084373E-4</v>
      </c>
      <c r="Q346" s="20">
        <v>5.380274783961228E-4</v>
      </c>
      <c r="R346" s="20">
        <v>4.5013836358915671E-4</v>
      </c>
      <c r="S346" s="20">
        <v>7.3166528354010919E-4</v>
      </c>
      <c r="T346" s="20">
        <v>7.8163555883529695E-5</v>
      </c>
      <c r="U346" s="20">
        <v>4.4164671552768167E-4</v>
      </c>
      <c r="V346" s="20">
        <v>5.2388544431911143E-4</v>
      </c>
      <c r="W346" s="20">
        <v>2.8422752405580013E-4</v>
      </c>
      <c r="X346" s="20">
        <v>6.8047822561402376E-4</v>
      </c>
      <c r="Y346" s="20">
        <v>2.2864145615754473E-4</v>
      </c>
      <c r="Z346" s="20">
        <v>4.0456811969439584E-4</v>
      </c>
      <c r="AA346" s="20">
        <v>8.0241764866603846E-4</v>
      </c>
      <c r="AB346" s="20">
        <v>1.6847372268730945E-3</v>
      </c>
      <c r="AC346" s="20">
        <v>1.5331899440741829E-3</v>
      </c>
      <c r="AD346" s="20">
        <v>9.1390758963817145E-4</v>
      </c>
      <c r="AE346" s="20">
        <v>1.1566125457405944E-3</v>
      </c>
      <c r="AF346" s="20">
        <v>1.0261889333770399E-3</v>
      </c>
      <c r="AG346" s="20">
        <v>1.8818678264038032E-3</v>
      </c>
      <c r="AH346" s="20">
        <v>1.4811623006460899E-3</v>
      </c>
      <c r="AI346" s="20">
        <v>2.4422452376799773E-3</v>
      </c>
      <c r="AJ346" s="20">
        <v>3.891223720018511E-3</v>
      </c>
      <c r="AK346" s="20">
        <v>2.0510033066251437E-3</v>
      </c>
      <c r="AL346" s="20">
        <v>1.3208686273293495E-3</v>
      </c>
      <c r="AM346" s="20">
        <v>2.1408485770864397E-3</v>
      </c>
      <c r="AN346" s="20">
        <v>1.3209804930781851E-3</v>
      </c>
      <c r="AO346" s="20">
        <v>1.2738867816859938E-3</v>
      </c>
      <c r="AP346" s="20">
        <v>1.4922370658077596E-3</v>
      </c>
      <c r="AQ346" s="20">
        <v>7.2699230126034133E-3</v>
      </c>
      <c r="AR346" s="20">
        <v>1.3796328406806793E-2</v>
      </c>
      <c r="AS346" s="20">
        <v>1.2182888996003145</v>
      </c>
      <c r="AT346" s="20">
        <v>2.2962146082268584E-2</v>
      </c>
      <c r="AU346" s="20">
        <v>4.0843367647737201E-3</v>
      </c>
      <c r="AV346" s="20">
        <v>3.4534698624955904E-3</v>
      </c>
      <c r="AW346" s="20">
        <v>4.7551147359160863E-3</v>
      </c>
      <c r="AX346" s="20">
        <v>5.3481776017505773E-3</v>
      </c>
      <c r="AY346" s="20">
        <v>8.5840597548449246E-4</v>
      </c>
      <c r="AZ346" s="20">
        <v>1.0939588324349775E-2</v>
      </c>
      <c r="BA346" s="20">
        <v>5.9354874089767758E-3</v>
      </c>
      <c r="BB346" s="20">
        <v>1.8391408571928763E-3</v>
      </c>
      <c r="BC346" s="20">
        <v>1.8931156498620084E-2</v>
      </c>
      <c r="BD346" s="20">
        <v>6.891411202508517E-3</v>
      </c>
      <c r="BE346" s="20">
        <v>5.0405111676618914E-3</v>
      </c>
      <c r="BF346" s="20">
        <v>1.3053380401832882E-3</v>
      </c>
      <c r="BG346" s="20">
        <v>9.1679122601660071E-3</v>
      </c>
      <c r="BH346" s="20">
        <v>5.0699429400136121E-3</v>
      </c>
      <c r="BI346" s="20">
        <v>2.1539435214274257E-3</v>
      </c>
      <c r="BJ346" s="20">
        <v>1.8643385508698509E-3</v>
      </c>
      <c r="BK346" s="20">
        <v>1.0475526423924808E-3</v>
      </c>
      <c r="BL346" s="20">
        <v>1.0201065053397761E-3</v>
      </c>
      <c r="BM346" s="20">
        <v>1.2971779359601917E-2</v>
      </c>
      <c r="BN346" s="20">
        <v>1.0537183302106469E-2</v>
      </c>
      <c r="BO346" s="20">
        <v>4.5794969038203584E-2</v>
      </c>
      <c r="BP346" s="20">
        <v>1.2123854272353303E-2</v>
      </c>
      <c r="BQ346" s="20">
        <v>6.4345395912842034E-3</v>
      </c>
      <c r="BR346" s="20">
        <v>0</v>
      </c>
    </row>
    <row r="347" spans="1:70" x14ac:dyDescent="0.3">
      <c r="A347" s="7">
        <v>41</v>
      </c>
      <c r="B347" s="150" t="s">
        <v>147</v>
      </c>
      <c r="C347" s="150"/>
      <c r="D347" s="150"/>
      <c r="E347" s="150"/>
      <c r="F347" s="20">
        <v>9.0058247144267859E-3</v>
      </c>
      <c r="G347" s="20">
        <v>2.1851050524859188E-2</v>
      </c>
      <c r="H347" s="20">
        <v>1.1684625642912939E-2</v>
      </c>
      <c r="I347" s="20">
        <v>6.9498104124498042E-3</v>
      </c>
      <c r="J347" s="20">
        <v>8.4667993544285496E-3</v>
      </c>
      <c r="K347" s="20">
        <v>4.4292976425292447E-3</v>
      </c>
      <c r="L347" s="20">
        <v>1.7958642918970778E-2</v>
      </c>
      <c r="M347" s="20">
        <v>5.7615386488545084E-3</v>
      </c>
      <c r="N347" s="20">
        <v>2.5476165339918481E-2</v>
      </c>
      <c r="O347" s="20">
        <v>6.5668937321394782E-3</v>
      </c>
      <c r="P347" s="20">
        <v>3.5043396072996567E-3</v>
      </c>
      <c r="Q347" s="20">
        <v>2.5451229705647127E-3</v>
      </c>
      <c r="R347" s="20">
        <v>7.6478808432325091E-3</v>
      </c>
      <c r="S347" s="20">
        <v>1.263129612294722E-2</v>
      </c>
      <c r="T347" s="20">
        <v>5.1102954545027607E-4</v>
      </c>
      <c r="U347" s="20">
        <v>6.1304025071090597E-3</v>
      </c>
      <c r="V347" s="20">
        <v>1.7562166169464499E-2</v>
      </c>
      <c r="W347" s="20">
        <v>2.9480272363936167E-3</v>
      </c>
      <c r="X347" s="20">
        <v>4.6876869953160977E-3</v>
      </c>
      <c r="Y347" s="20">
        <v>2.6735362810115762E-3</v>
      </c>
      <c r="Z347" s="20">
        <v>3.9905957450769251E-3</v>
      </c>
      <c r="AA347" s="20">
        <v>8.4289520002242477E-3</v>
      </c>
      <c r="AB347" s="20">
        <v>6.5521254339466657E-3</v>
      </c>
      <c r="AC347" s="20">
        <v>1.2609161596308956E-2</v>
      </c>
      <c r="AD347" s="20">
        <v>9.6850073588464012E-3</v>
      </c>
      <c r="AE347" s="20">
        <v>8.5540576673334076E-3</v>
      </c>
      <c r="AF347" s="20">
        <v>8.3274546066466684E-3</v>
      </c>
      <c r="AG347" s="20">
        <v>1.4578635074263173E-2</v>
      </c>
      <c r="AH347" s="20">
        <v>1.5190161137935679E-2</v>
      </c>
      <c r="AI347" s="20">
        <v>1.4235223660515427E-2</v>
      </c>
      <c r="AJ347" s="20">
        <v>2.7226012127501066E-2</v>
      </c>
      <c r="AK347" s="20">
        <v>1.7542185311711384E-2</v>
      </c>
      <c r="AL347" s="20">
        <v>1.4931399890134011E-2</v>
      </c>
      <c r="AM347" s="20">
        <v>7.9108475829975482E-3</v>
      </c>
      <c r="AN347" s="20">
        <v>8.3205461127727389E-3</v>
      </c>
      <c r="AO347" s="20">
        <v>1.7550293747418139E-2</v>
      </c>
      <c r="AP347" s="20">
        <v>1.3513979296166509E-2</v>
      </c>
      <c r="AQ347" s="20">
        <v>1.5078013675311494E-2</v>
      </c>
      <c r="AR347" s="20">
        <v>2.4057158223318397E-2</v>
      </c>
      <c r="AS347" s="20">
        <v>0.10921253254865751</v>
      </c>
      <c r="AT347" s="20">
        <v>1.4685159273601152</v>
      </c>
      <c r="AU347" s="20">
        <v>5.60944899334897E-2</v>
      </c>
      <c r="AV347" s="20">
        <v>2.1095208304473475E-2</v>
      </c>
      <c r="AW347" s="20">
        <v>3.5574855195949759E-2</v>
      </c>
      <c r="AX347" s="20">
        <v>4.0564356148363248E-2</v>
      </c>
      <c r="AY347" s="20">
        <v>1.0388718034042435E-2</v>
      </c>
      <c r="AZ347" s="20">
        <v>1.3851735220428736E-2</v>
      </c>
      <c r="BA347" s="20">
        <v>1.7006842442023218E-2</v>
      </c>
      <c r="BB347" s="20">
        <v>1.5683464412286723E-2</v>
      </c>
      <c r="BC347" s="20">
        <v>5.5166248763373789E-2</v>
      </c>
      <c r="BD347" s="20">
        <v>4.7548337612622553E-2</v>
      </c>
      <c r="BE347" s="20">
        <v>5.7427609752258562E-3</v>
      </c>
      <c r="BF347" s="20">
        <v>1.1369982364503269E-2</v>
      </c>
      <c r="BG347" s="20">
        <v>2.3600185493990979E-2</v>
      </c>
      <c r="BH347" s="20">
        <v>2.6377822003777512E-2</v>
      </c>
      <c r="BI347" s="20">
        <v>8.7501683416408311E-3</v>
      </c>
      <c r="BJ347" s="20">
        <v>9.3626570977138404E-3</v>
      </c>
      <c r="BK347" s="20">
        <v>7.3297840276694438E-3</v>
      </c>
      <c r="BL347" s="20">
        <v>8.6806504604661494E-3</v>
      </c>
      <c r="BM347" s="20">
        <v>1.4274403933122549E-2</v>
      </c>
      <c r="BN347" s="20">
        <v>2.7836782282382108E-2</v>
      </c>
      <c r="BO347" s="20">
        <v>3.7931659935679748E-2</v>
      </c>
      <c r="BP347" s="20">
        <v>1.3280002055514842E-2</v>
      </c>
      <c r="BQ347" s="20">
        <v>1.2309016245865046E-2</v>
      </c>
      <c r="BR347" s="20">
        <v>0</v>
      </c>
    </row>
    <row r="348" spans="1:70" x14ac:dyDescent="0.3">
      <c r="A348" s="7">
        <v>42</v>
      </c>
      <c r="B348" s="150" t="s">
        <v>148</v>
      </c>
      <c r="C348" s="150"/>
      <c r="D348" s="150"/>
      <c r="E348" s="150"/>
      <c r="F348" s="20">
        <v>2.9652262916300335E-3</v>
      </c>
      <c r="G348" s="20">
        <v>9.582716040244417E-3</v>
      </c>
      <c r="H348" s="20">
        <v>4.0122747895288344E-3</v>
      </c>
      <c r="I348" s="20">
        <v>5.5517442683515597E-3</v>
      </c>
      <c r="J348" s="20">
        <v>4.1117519519232159E-3</v>
      </c>
      <c r="K348" s="20">
        <v>2.1928522032608703E-3</v>
      </c>
      <c r="L348" s="20">
        <v>6.2491481594733819E-3</v>
      </c>
      <c r="M348" s="20">
        <v>3.6483301639847468E-3</v>
      </c>
      <c r="N348" s="20">
        <v>9.4560331529698859E-3</v>
      </c>
      <c r="O348" s="20">
        <v>5.0758986391790505E-3</v>
      </c>
      <c r="P348" s="20">
        <v>1.1235354889007842E-3</v>
      </c>
      <c r="Q348" s="20">
        <v>1.2087011826840321E-3</v>
      </c>
      <c r="R348" s="20">
        <v>2.5014385586757696E-3</v>
      </c>
      <c r="S348" s="20">
        <v>3.0974159533718052E-3</v>
      </c>
      <c r="T348" s="20">
        <v>2.9245251809293635E-4</v>
      </c>
      <c r="U348" s="20">
        <v>3.5522177409201103E-3</v>
      </c>
      <c r="V348" s="20">
        <v>4.1997474367538217E-3</v>
      </c>
      <c r="W348" s="20">
        <v>1.1119624767039705E-3</v>
      </c>
      <c r="X348" s="20">
        <v>1.725765990892469E-3</v>
      </c>
      <c r="Y348" s="20">
        <v>1.3094898344144822E-3</v>
      </c>
      <c r="Z348" s="20">
        <v>2.7591072918477905E-3</v>
      </c>
      <c r="AA348" s="20">
        <v>3.8203447097856866E-3</v>
      </c>
      <c r="AB348" s="20">
        <v>5.2991934981402129E-3</v>
      </c>
      <c r="AC348" s="20">
        <v>9.6705252993608062E-3</v>
      </c>
      <c r="AD348" s="20">
        <v>7.4672288963552845E-3</v>
      </c>
      <c r="AE348" s="20">
        <v>8.16137824771942E-3</v>
      </c>
      <c r="AF348" s="20">
        <v>4.1636458859584235E-3</v>
      </c>
      <c r="AG348" s="20">
        <v>5.6395235275667416E-3</v>
      </c>
      <c r="AH348" s="20">
        <v>6.2814829028910524E-3</v>
      </c>
      <c r="AI348" s="20">
        <v>1.5873141053360722E-2</v>
      </c>
      <c r="AJ348" s="20">
        <v>2.0215300326899572E-2</v>
      </c>
      <c r="AK348" s="20">
        <v>1.3143702458405271E-2</v>
      </c>
      <c r="AL348" s="20">
        <v>8.4071497387378652E-3</v>
      </c>
      <c r="AM348" s="20">
        <v>5.8544605138163321E-3</v>
      </c>
      <c r="AN348" s="20">
        <v>8.3865380745232788E-3</v>
      </c>
      <c r="AO348" s="20">
        <v>8.2127564878573655E-3</v>
      </c>
      <c r="AP348" s="20">
        <v>7.2994340359896753E-3</v>
      </c>
      <c r="AQ348" s="20">
        <v>8.2414430094377555E-3</v>
      </c>
      <c r="AR348" s="20">
        <v>3.1803318486027812E-2</v>
      </c>
      <c r="AS348" s="20">
        <v>1.3360589855663022E-2</v>
      </c>
      <c r="AT348" s="20">
        <v>2.9946017024517442E-2</v>
      </c>
      <c r="AU348" s="20">
        <v>1.0873800537044893</v>
      </c>
      <c r="AV348" s="20">
        <v>2.9315336375209253E-2</v>
      </c>
      <c r="AW348" s="20">
        <v>3.3385740282106134E-2</v>
      </c>
      <c r="AX348" s="20">
        <v>3.8105192868241829E-2</v>
      </c>
      <c r="AY348" s="20">
        <v>4.9314579155738114E-3</v>
      </c>
      <c r="AZ348" s="20">
        <v>2.7688008179130332E-2</v>
      </c>
      <c r="BA348" s="20">
        <v>1.8074248695683953E-2</v>
      </c>
      <c r="BB348" s="20">
        <v>2.0507813949775376E-2</v>
      </c>
      <c r="BC348" s="20">
        <v>3.7517929789627966E-2</v>
      </c>
      <c r="BD348" s="20">
        <v>1.5479855591292512E-2</v>
      </c>
      <c r="BE348" s="20">
        <v>6.372684339915083E-3</v>
      </c>
      <c r="BF348" s="20">
        <v>8.3923145839227362E-3</v>
      </c>
      <c r="BG348" s="20">
        <v>2.0412372647708985E-2</v>
      </c>
      <c r="BH348" s="20">
        <v>1.4583971744688649E-2</v>
      </c>
      <c r="BI348" s="20">
        <v>1.6200271158880383E-2</v>
      </c>
      <c r="BJ348" s="20">
        <v>6.4329077177992982E-3</v>
      </c>
      <c r="BK348" s="20">
        <v>6.9279758626705377E-3</v>
      </c>
      <c r="BL348" s="20">
        <v>3.8343253626647884E-3</v>
      </c>
      <c r="BM348" s="20">
        <v>1.1767700954358416E-2</v>
      </c>
      <c r="BN348" s="20">
        <v>9.0491681647175345E-3</v>
      </c>
      <c r="BO348" s="20">
        <v>1.4300277536484189E-2</v>
      </c>
      <c r="BP348" s="20">
        <v>1.5171164065598588E-2</v>
      </c>
      <c r="BQ348" s="20">
        <v>1.3610374999812153E-2</v>
      </c>
      <c r="BR348" s="20">
        <v>0</v>
      </c>
    </row>
    <row r="349" spans="1:70" x14ac:dyDescent="0.3">
      <c r="A349" s="7">
        <v>43</v>
      </c>
      <c r="B349" s="150" t="s">
        <v>149</v>
      </c>
      <c r="C349" s="150"/>
      <c r="D349" s="150"/>
      <c r="E349" s="150"/>
      <c r="F349" s="20">
        <v>1.289309540495461E-2</v>
      </c>
      <c r="G349" s="20">
        <v>1.7643214767144443E-2</v>
      </c>
      <c r="H349" s="20">
        <v>1.7280971296459176E-2</v>
      </c>
      <c r="I349" s="20">
        <v>7.8629062558972732E-3</v>
      </c>
      <c r="J349" s="20">
        <v>8.6335230597782264E-3</v>
      </c>
      <c r="K349" s="20">
        <v>5.412079116965631E-3</v>
      </c>
      <c r="L349" s="20">
        <v>1.3612681680030561E-2</v>
      </c>
      <c r="M349" s="20">
        <v>6.5926567994891994E-3</v>
      </c>
      <c r="N349" s="20">
        <v>1.1783303127071203E-2</v>
      </c>
      <c r="O349" s="20">
        <v>1.0158281165924186E-2</v>
      </c>
      <c r="P349" s="20">
        <v>2.8265098909797926E-3</v>
      </c>
      <c r="Q349" s="20">
        <v>1.0775905993293999E-3</v>
      </c>
      <c r="R349" s="20">
        <v>4.4842283894461167E-3</v>
      </c>
      <c r="S349" s="20">
        <v>6.6645145562754552E-3</v>
      </c>
      <c r="T349" s="20">
        <v>1.0849552311589358E-3</v>
      </c>
      <c r="U349" s="20">
        <v>6.1830746040939218E-3</v>
      </c>
      <c r="V349" s="20">
        <v>4.064875320487253E-3</v>
      </c>
      <c r="W349" s="20">
        <v>3.5419220606071841E-3</v>
      </c>
      <c r="X349" s="20">
        <v>3.1150026371887358E-3</v>
      </c>
      <c r="Y349" s="20">
        <v>3.0484146942524643E-3</v>
      </c>
      <c r="Z349" s="20">
        <v>3.926231891173847E-3</v>
      </c>
      <c r="AA349" s="20">
        <v>8.6671555125303768E-3</v>
      </c>
      <c r="AB349" s="20">
        <v>1.0587286321999446E-2</v>
      </c>
      <c r="AC349" s="20">
        <v>1.6300688380757006E-2</v>
      </c>
      <c r="AD349" s="20">
        <v>1.9849513011692722E-2</v>
      </c>
      <c r="AE349" s="20">
        <v>2.2859959440492083E-2</v>
      </c>
      <c r="AF349" s="20">
        <v>1.0564760274342068E-2</v>
      </c>
      <c r="AG349" s="20">
        <v>1.3678209698515732E-2</v>
      </c>
      <c r="AH349" s="20">
        <v>1.614127673411898E-2</v>
      </c>
      <c r="AI349" s="20">
        <v>2.28423321794607E-2</v>
      </c>
      <c r="AJ349" s="20">
        <v>2.050500891482725E-2</v>
      </c>
      <c r="AK349" s="20">
        <v>4.5599565998359487E-2</v>
      </c>
      <c r="AL349" s="20">
        <v>1.2835710044296176E-2</v>
      </c>
      <c r="AM349" s="20">
        <v>1.8720389439934891E-2</v>
      </c>
      <c r="AN349" s="20">
        <v>1.2596968230559384E-2</v>
      </c>
      <c r="AO349" s="20">
        <v>1.3174089073087378E-2</v>
      </c>
      <c r="AP349" s="20">
        <v>2.3933035156022547E-2</v>
      </c>
      <c r="AQ349" s="20">
        <v>2.1589649040316152E-2</v>
      </c>
      <c r="AR349" s="20">
        <v>1.3103126259432409E-2</v>
      </c>
      <c r="AS349" s="20">
        <v>6.7547325098920689E-3</v>
      </c>
      <c r="AT349" s="20">
        <v>1.0967162641988638E-2</v>
      </c>
      <c r="AU349" s="20">
        <v>9.0565001740776797E-3</v>
      </c>
      <c r="AV349" s="20">
        <v>1.1036679466500099</v>
      </c>
      <c r="AW349" s="20">
        <v>9.2352420220647324E-2</v>
      </c>
      <c r="AX349" s="20">
        <v>0.10318540289292624</v>
      </c>
      <c r="AY349" s="20">
        <v>4.7030490405213718E-2</v>
      </c>
      <c r="AZ349" s="20">
        <v>1.2667826500223104E-2</v>
      </c>
      <c r="BA349" s="20">
        <v>1.6157847962464587E-2</v>
      </c>
      <c r="BB349" s="20">
        <v>8.5748432962294598E-3</v>
      </c>
      <c r="BC349" s="20">
        <v>2.0202185718677084E-2</v>
      </c>
      <c r="BD349" s="20">
        <v>2.0868564162382107E-2</v>
      </c>
      <c r="BE349" s="20">
        <v>3.1741896742355023E-2</v>
      </c>
      <c r="BF349" s="20">
        <v>4.1408816767537826E-2</v>
      </c>
      <c r="BG349" s="20">
        <v>5.2703439325522794E-2</v>
      </c>
      <c r="BH349" s="20">
        <v>4.5824885014454073E-2</v>
      </c>
      <c r="BI349" s="20">
        <v>1.3333327020042746E-2</v>
      </c>
      <c r="BJ349" s="20">
        <v>6.0708905851982707E-3</v>
      </c>
      <c r="BK349" s="20">
        <v>6.9332455514856013E-3</v>
      </c>
      <c r="BL349" s="20">
        <v>1.1067509933617733E-2</v>
      </c>
      <c r="BM349" s="20">
        <v>1.5015816481344507E-2</v>
      </c>
      <c r="BN349" s="20">
        <v>2.4826641177429668E-2</v>
      </c>
      <c r="BO349" s="20">
        <v>4.2324486360636925E-2</v>
      </c>
      <c r="BP349" s="20">
        <v>6.2397294547144266E-2</v>
      </c>
      <c r="BQ349" s="20">
        <v>6.253843351457597E-2</v>
      </c>
      <c r="BR349" s="20">
        <v>0</v>
      </c>
    </row>
    <row r="350" spans="1:70" x14ac:dyDescent="0.3">
      <c r="A350" s="7">
        <v>44</v>
      </c>
      <c r="B350" s="150" t="s">
        <v>150</v>
      </c>
      <c r="C350" s="150"/>
      <c r="D350" s="150"/>
      <c r="E350" s="150"/>
      <c r="F350" s="20">
        <v>1.6272583727965518E-3</v>
      </c>
      <c r="G350" s="20">
        <v>2.6046953960503615E-3</v>
      </c>
      <c r="H350" s="20">
        <v>1.885429495017539E-3</v>
      </c>
      <c r="I350" s="20">
        <v>1.5128885788598318E-3</v>
      </c>
      <c r="J350" s="20">
        <v>1.6511572870245592E-3</v>
      </c>
      <c r="K350" s="20">
        <v>1.1040923288744217E-3</v>
      </c>
      <c r="L350" s="20">
        <v>3.6655990805718351E-3</v>
      </c>
      <c r="M350" s="20">
        <v>3.9668782971409413E-3</v>
      </c>
      <c r="N350" s="20">
        <v>4.723728597924211E-3</v>
      </c>
      <c r="O350" s="20">
        <v>2.0922792762871111E-3</v>
      </c>
      <c r="P350" s="20">
        <v>5.9334419280529212E-4</v>
      </c>
      <c r="Q350" s="20">
        <v>3.5605635926046214E-4</v>
      </c>
      <c r="R350" s="20">
        <v>1.0365112858497759E-3</v>
      </c>
      <c r="S350" s="20">
        <v>2.1515716056587073E-3</v>
      </c>
      <c r="T350" s="20">
        <v>1.4090701255594615E-4</v>
      </c>
      <c r="U350" s="20">
        <v>9.3462152882118092E-4</v>
      </c>
      <c r="V350" s="20">
        <v>3.8807400441856434E-4</v>
      </c>
      <c r="W350" s="20">
        <v>5.2597688724114139E-4</v>
      </c>
      <c r="X350" s="20">
        <v>6.4435692071127058E-4</v>
      </c>
      <c r="Y350" s="20">
        <v>5.5465924317091568E-4</v>
      </c>
      <c r="Z350" s="20">
        <v>1.5467970141138923E-3</v>
      </c>
      <c r="AA350" s="20">
        <v>2.3413127515813201E-3</v>
      </c>
      <c r="AB350" s="20">
        <v>2.4788388259843544E-3</v>
      </c>
      <c r="AC350" s="20">
        <v>2.4656554409106623E-3</v>
      </c>
      <c r="AD350" s="20">
        <v>1.7572051802510924E-3</v>
      </c>
      <c r="AE350" s="20">
        <v>2.8090845272253648E-3</v>
      </c>
      <c r="AF350" s="20">
        <v>3.7530317808523355E-3</v>
      </c>
      <c r="AG350" s="20">
        <v>3.220960974231823E-3</v>
      </c>
      <c r="AH350" s="20">
        <v>4.6469723088033493E-3</v>
      </c>
      <c r="AI350" s="20">
        <v>4.7496034815983686E-3</v>
      </c>
      <c r="AJ350" s="20">
        <v>8.3206892919080924E-3</v>
      </c>
      <c r="AK350" s="20">
        <v>3.344905687491392E-3</v>
      </c>
      <c r="AL350" s="20">
        <v>1.129403488593405E-2</v>
      </c>
      <c r="AM350" s="20">
        <v>4.7492075822953023E-3</v>
      </c>
      <c r="AN350" s="20">
        <v>2.6829658852924581E-3</v>
      </c>
      <c r="AO350" s="20">
        <v>5.8875424085937465E-3</v>
      </c>
      <c r="AP350" s="20">
        <v>2.0982914197269554E-3</v>
      </c>
      <c r="AQ350" s="20">
        <v>4.0577684537683239E-3</v>
      </c>
      <c r="AR350" s="20">
        <v>2.3993982675186458E-3</v>
      </c>
      <c r="AS350" s="20">
        <v>1.423337174142983E-3</v>
      </c>
      <c r="AT350" s="20">
        <v>1.0326824388954129E-3</v>
      </c>
      <c r="AU350" s="20">
        <v>2.0411947505814716E-3</v>
      </c>
      <c r="AV350" s="20">
        <v>1.0939745869304816E-2</v>
      </c>
      <c r="AW350" s="20">
        <v>1.0584833138439382</v>
      </c>
      <c r="AX350" s="20">
        <v>1.568688665908255E-2</v>
      </c>
      <c r="AY350" s="20">
        <v>6.2798774680764531E-3</v>
      </c>
      <c r="AZ350" s="20">
        <v>5.2378350579631167E-3</v>
      </c>
      <c r="BA350" s="20">
        <v>5.3463327786158251E-3</v>
      </c>
      <c r="BB350" s="20">
        <v>2.13782160516189E-3</v>
      </c>
      <c r="BC350" s="20">
        <v>5.7909764485584714E-3</v>
      </c>
      <c r="BD350" s="20">
        <v>4.2626153765585369E-3</v>
      </c>
      <c r="BE350" s="20">
        <v>2.1924449476682286E-3</v>
      </c>
      <c r="BF350" s="20">
        <v>1.8830924205127005E-3</v>
      </c>
      <c r="BG350" s="20">
        <v>3.5136962488553367E-3</v>
      </c>
      <c r="BH350" s="20">
        <v>4.8303072577843241E-3</v>
      </c>
      <c r="BI350" s="20">
        <v>2.3723381461713488E-3</v>
      </c>
      <c r="BJ350" s="20">
        <v>1.7533359975564955E-3</v>
      </c>
      <c r="BK350" s="20">
        <v>2.0103136152230124E-3</v>
      </c>
      <c r="BL350" s="20">
        <v>2.4984198097344704E-3</v>
      </c>
      <c r="BM350" s="20">
        <v>2.7393508542380442E-3</v>
      </c>
      <c r="BN350" s="20">
        <v>4.0338534010792024E-3</v>
      </c>
      <c r="BO350" s="20">
        <v>3.0404693240577356E-3</v>
      </c>
      <c r="BP350" s="20">
        <v>3.1739972393462052E-3</v>
      </c>
      <c r="BQ350" s="20">
        <v>4.1550416468399947E-3</v>
      </c>
      <c r="BR350" s="20">
        <v>0</v>
      </c>
    </row>
    <row r="351" spans="1:70" x14ac:dyDescent="0.3">
      <c r="A351" s="7">
        <v>45</v>
      </c>
      <c r="B351" s="150" t="s">
        <v>151</v>
      </c>
      <c r="C351" s="150"/>
      <c r="D351" s="150"/>
      <c r="E351" s="150"/>
      <c r="F351" s="20">
        <v>2.0284083041991487E-3</v>
      </c>
      <c r="G351" s="20">
        <v>3.1894713452954447E-3</v>
      </c>
      <c r="H351" s="20">
        <v>2.9197154348187728E-3</v>
      </c>
      <c r="I351" s="20">
        <v>1.4998631439190619E-3</v>
      </c>
      <c r="J351" s="20">
        <v>1.6646655607457791E-3</v>
      </c>
      <c r="K351" s="20">
        <v>1.2263374009614531E-3</v>
      </c>
      <c r="L351" s="20">
        <v>2.7318934528440101E-3</v>
      </c>
      <c r="M351" s="20">
        <v>1.9379091195155496E-3</v>
      </c>
      <c r="N351" s="20">
        <v>2.8852926571433508E-3</v>
      </c>
      <c r="O351" s="20">
        <v>1.9179891057660027E-3</v>
      </c>
      <c r="P351" s="20">
        <v>5.165530087576656E-4</v>
      </c>
      <c r="Q351" s="20">
        <v>2.6369710769895275E-4</v>
      </c>
      <c r="R351" s="20">
        <v>9.2536841599685337E-4</v>
      </c>
      <c r="S351" s="20">
        <v>1.3875534411835464E-3</v>
      </c>
      <c r="T351" s="20">
        <v>1.6481983277254019E-4</v>
      </c>
      <c r="U351" s="20">
        <v>9.7134440738689978E-4</v>
      </c>
      <c r="V351" s="20">
        <v>7.4075273515264027E-4</v>
      </c>
      <c r="W351" s="20">
        <v>6.3210064757790083E-4</v>
      </c>
      <c r="X351" s="20">
        <v>7.0054160244828793E-4</v>
      </c>
      <c r="Y351" s="20">
        <v>5.3176951673157015E-4</v>
      </c>
      <c r="Z351" s="20">
        <v>1.3796044387050144E-3</v>
      </c>
      <c r="AA351" s="20">
        <v>1.9732581428903552E-3</v>
      </c>
      <c r="AB351" s="20">
        <v>2.5479253756385831E-3</v>
      </c>
      <c r="AC351" s="20">
        <v>2.4478109968902335E-3</v>
      </c>
      <c r="AD351" s="20">
        <v>2.6134585125884651E-3</v>
      </c>
      <c r="AE351" s="20">
        <v>3.2220504513451147E-3</v>
      </c>
      <c r="AF351" s="20">
        <v>2.2564255779307717E-3</v>
      </c>
      <c r="AG351" s="20">
        <v>2.7021721525207066E-3</v>
      </c>
      <c r="AH351" s="20">
        <v>3.2474189289496721E-3</v>
      </c>
      <c r="AI351" s="20">
        <v>3.8294748897330705E-3</v>
      </c>
      <c r="AJ351" s="20">
        <v>5.6248838154205746E-3</v>
      </c>
      <c r="AK351" s="20">
        <v>1.053638600671389E-2</v>
      </c>
      <c r="AL351" s="20">
        <v>4.3491361376721029E-3</v>
      </c>
      <c r="AM351" s="20">
        <v>3.5902540404452415E-3</v>
      </c>
      <c r="AN351" s="20">
        <v>2.4521681148484938E-3</v>
      </c>
      <c r="AO351" s="20">
        <v>3.1124830210253742E-3</v>
      </c>
      <c r="AP351" s="20">
        <v>3.0779764974038408E-3</v>
      </c>
      <c r="AQ351" s="20">
        <v>4.9422851188480202E-3</v>
      </c>
      <c r="AR351" s="20">
        <v>3.1700787555536537E-3</v>
      </c>
      <c r="AS351" s="20">
        <v>1.5282708667447187E-3</v>
      </c>
      <c r="AT351" s="20">
        <v>2.5624707476357457E-3</v>
      </c>
      <c r="AU351" s="20">
        <v>1.7723848498257568E-3</v>
      </c>
      <c r="AV351" s="20">
        <v>0.1030272350680022</v>
      </c>
      <c r="AW351" s="20">
        <v>0.25479203006712431</v>
      </c>
      <c r="AX351" s="20">
        <v>1.2201524436218034</v>
      </c>
      <c r="AY351" s="20">
        <v>6.2594557935707696E-3</v>
      </c>
      <c r="AZ351" s="20">
        <v>9.6848040904234951E-3</v>
      </c>
      <c r="BA351" s="20">
        <v>3.9391351694288146E-3</v>
      </c>
      <c r="BB351" s="20">
        <v>2.1564796872055626E-3</v>
      </c>
      <c r="BC351" s="20">
        <v>5.8114903566040066E-3</v>
      </c>
      <c r="BD351" s="20">
        <v>9.3919269814272555E-3</v>
      </c>
      <c r="BE351" s="20">
        <v>3.9772092959597487E-3</v>
      </c>
      <c r="BF351" s="20">
        <v>5.1798489722555303E-3</v>
      </c>
      <c r="BG351" s="20">
        <v>6.7130849656756673E-3</v>
      </c>
      <c r="BH351" s="20">
        <v>7.7169879960421583E-3</v>
      </c>
      <c r="BI351" s="20">
        <v>2.1228773134534624E-3</v>
      </c>
      <c r="BJ351" s="20">
        <v>1.2069903007487217E-3</v>
      </c>
      <c r="BK351" s="20">
        <v>1.4431233566240612E-3</v>
      </c>
      <c r="BL351" s="20">
        <v>1.8826154474254732E-3</v>
      </c>
      <c r="BM351" s="20">
        <v>2.875382750731589E-3</v>
      </c>
      <c r="BN351" s="20">
        <v>4.7557147156557554E-3</v>
      </c>
      <c r="BO351" s="20">
        <v>5.353261459845461E-3</v>
      </c>
      <c r="BP351" s="20">
        <v>7.8293175299282321E-3</v>
      </c>
      <c r="BQ351" s="20">
        <v>8.9138637089167423E-3</v>
      </c>
      <c r="BR351" s="20">
        <v>0</v>
      </c>
    </row>
    <row r="352" spans="1:70" x14ac:dyDescent="0.3">
      <c r="A352" s="7">
        <v>46</v>
      </c>
      <c r="B352" s="150" t="s">
        <v>12</v>
      </c>
      <c r="C352" s="150"/>
      <c r="D352" s="150"/>
      <c r="E352" s="150"/>
      <c r="F352" s="20">
        <v>1.367196258532194E-2</v>
      </c>
      <c r="G352" s="20">
        <v>3.1622922226062555E-2</v>
      </c>
      <c r="H352" s="20">
        <v>1.8229580363083985E-2</v>
      </c>
      <c r="I352" s="20">
        <v>1.3428865838040963E-2</v>
      </c>
      <c r="J352" s="20">
        <v>1.459038446754155E-2</v>
      </c>
      <c r="K352" s="20">
        <v>1.4039100863510776E-2</v>
      </c>
      <c r="L352" s="20">
        <v>2.835777547871976E-2</v>
      </c>
      <c r="M352" s="20">
        <v>1.1497412254717589E-2</v>
      </c>
      <c r="N352" s="20">
        <v>3.2065546021777233E-2</v>
      </c>
      <c r="O352" s="20">
        <v>1.1727019909317956E-2</v>
      </c>
      <c r="P352" s="20">
        <v>3.1550071177134918E-3</v>
      </c>
      <c r="Q352" s="20">
        <v>1.4355473931945825E-3</v>
      </c>
      <c r="R352" s="20">
        <v>1.4687067643140419E-2</v>
      </c>
      <c r="S352" s="20">
        <v>1.2356912850264185E-2</v>
      </c>
      <c r="T352" s="20">
        <v>3.1186707238876816E-3</v>
      </c>
      <c r="U352" s="20">
        <v>1.7651638316916293E-2</v>
      </c>
      <c r="V352" s="20">
        <v>6.8506284331999717E-3</v>
      </c>
      <c r="W352" s="20">
        <v>7.5453328784237115E-3</v>
      </c>
      <c r="X352" s="20">
        <v>9.2304795280835732E-3</v>
      </c>
      <c r="Y352" s="20">
        <v>1.061669039661884E-2</v>
      </c>
      <c r="Z352" s="20">
        <v>9.5540273039812357E-3</v>
      </c>
      <c r="AA352" s="20">
        <v>2.3237214956611466E-2</v>
      </c>
      <c r="AB352" s="20">
        <v>4.3629093665684258E-2</v>
      </c>
      <c r="AC352" s="20">
        <v>1.7490914899832316E-2</v>
      </c>
      <c r="AD352" s="20">
        <v>1.4957940285450872E-2</v>
      </c>
      <c r="AE352" s="20">
        <v>1.7012112373531212E-2</v>
      </c>
      <c r="AF352" s="20">
        <v>1.76204237906505E-2</v>
      </c>
      <c r="AG352" s="20">
        <v>4.4171887830085216E-2</v>
      </c>
      <c r="AH352" s="20">
        <v>2.3428277589820374E-2</v>
      </c>
      <c r="AI352" s="20">
        <v>9.1377024398692705E-2</v>
      </c>
      <c r="AJ352" s="20">
        <v>6.9066379031811356E-2</v>
      </c>
      <c r="AK352" s="20">
        <v>0.19086550742864936</v>
      </c>
      <c r="AL352" s="20">
        <v>2.8001892581081114E-2</v>
      </c>
      <c r="AM352" s="20">
        <v>2.0891270568743143E-2</v>
      </c>
      <c r="AN352" s="20">
        <v>2.1345887444247272E-2</v>
      </c>
      <c r="AO352" s="20">
        <v>4.6387693462630206E-2</v>
      </c>
      <c r="AP352" s="20">
        <v>2.1646124376772477E-2</v>
      </c>
      <c r="AQ352" s="20">
        <v>0.12114342815088137</v>
      </c>
      <c r="AR352" s="20">
        <v>3.5196279593137342E-2</v>
      </c>
      <c r="AS352" s="20">
        <v>1.7337120247109778E-2</v>
      </c>
      <c r="AT352" s="20">
        <v>1.852325239356686E-2</v>
      </c>
      <c r="AU352" s="20">
        <v>4.1297832567639595E-2</v>
      </c>
      <c r="AV352" s="20">
        <v>4.0926298741434261E-2</v>
      </c>
      <c r="AW352" s="20">
        <v>4.3866457158269472E-2</v>
      </c>
      <c r="AX352" s="20">
        <v>5.5007901378146387E-2</v>
      </c>
      <c r="AY352" s="20">
        <v>1.0411762665383084</v>
      </c>
      <c r="AZ352" s="20">
        <v>3.6945600168150031E-2</v>
      </c>
      <c r="BA352" s="20">
        <v>4.3258154279119561E-2</v>
      </c>
      <c r="BB352" s="20">
        <v>3.7320534720055865E-2</v>
      </c>
      <c r="BC352" s="20">
        <v>4.2802596280343559E-2</v>
      </c>
      <c r="BD352" s="20">
        <v>8.0437906261222256E-2</v>
      </c>
      <c r="BE352" s="20">
        <v>2.2401771092423774E-2</v>
      </c>
      <c r="BF352" s="20">
        <v>1.2692851219561051E-2</v>
      </c>
      <c r="BG352" s="20">
        <v>7.2988374061267416E-2</v>
      </c>
      <c r="BH352" s="20">
        <v>4.3780908895669296E-2</v>
      </c>
      <c r="BI352" s="20">
        <v>2.5858874446234498E-2</v>
      </c>
      <c r="BJ352" s="20">
        <v>2.5855483044201249E-2</v>
      </c>
      <c r="BK352" s="20">
        <v>2.0058590215218143E-2</v>
      </c>
      <c r="BL352" s="20">
        <v>2.2318532931364862E-2</v>
      </c>
      <c r="BM352" s="20">
        <v>7.1004016394524166E-2</v>
      </c>
      <c r="BN352" s="20">
        <v>9.6967660599863226E-2</v>
      </c>
      <c r="BO352" s="20">
        <v>7.0641529792244792E-2</v>
      </c>
      <c r="BP352" s="20">
        <v>3.9960232308638773E-2</v>
      </c>
      <c r="BQ352" s="20">
        <v>8.3010378223233691E-2</v>
      </c>
      <c r="BR352" s="20">
        <v>0</v>
      </c>
    </row>
    <row r="353" spans="1:70" x14ac:dyDescent="0.3">
      <c r="A353" s="7">
        <v>47</v>
      </c>
      <c r="B353" s="150" t="s">
        <v>152</v>
      </c>
      <c r="C353" s="150"/>
      <c r="D353" s="150"/>
      <c r="E353" s="150"/>
      <c r="F353" s="20">
        <v>1.3778461496184983E-2</v>
      </c>
      <c r="G353" s="20">
        <v>2.8580295486231599E-2</v>
      </c>
      <c r="H353" s="20">
        <v>3.8306499582057521E-2</v>
      </c>
      <c r="I353" s="20">
        <v>2.0266947983417216E-2</v>
      </c>
      <c r="J353" s="20">
        <v>2.2722329944805924E-2</v>
      </c>
      <c r="K353" s="20">
        <v>1.4391460816738628E-2</v>
      </c>
      <c r="L353" s="20">
        <v>2.9265128699721858E-2</v>
      </c>
      <c r="M353" s="20">
        <v>1.9885000544578556E-2</v>
      </c>
      <c r="N353" s="20">
        <v>5.4102148418328458E-2</v>
      </c>
      <c r="O353" s="20">
        <v>4.40546464622983E-2</v>
      </c>
      <c r="P353" s="20">
        <v>5.5658205286170936E-3</v>
      </c>
      <c r="Q353" s="20">
        <v>4.6942723066008395E-3</v>
      </c>
      <c r="R353" s="20">
        <v>1.4838682245451451E-2</v>
      </c>
      <c r="S353" s="20">
        <v>1.9770754199951491E-2</v>
      </c>
      <c r="T353" s="20">
        <v>2.9029515758446319E-3</v>
      </c>
      <c r="U353" s="20">
        <v>9.1749561793233753E-3</v>
      </c>
      <c r="V353" s="20">
        <v>1.3376563735824782E-2</v>
      </c>
      <c r="W353" s="20">
        <v>1.347287138645227E-2</v>
      </c>
      <c r="X353" s="20">
        <v>1.5100053822662506E-2</v>
      </c>
      <c r="Y353" s="20">
        <v>1.0605299754651163E-2</v>
      </c>
      <c r="Z353" s="20">
        <v>1.1734709014180217E-2</v>
      </c>
      <c r="AA353" s="20">
        <v>2.517862364861656E-2</v>
      </c>
      <c r="AB353" s="20">
        <v>0.10838131160515116</v>
      </c>
      <c r="AC353" s="20">
        <v>2.4554718109005506E-2</v>
      </c>
      <c r="AD353" s="20">
        <v>1.9576621245584565E-2</v>
      </c>
      <c r="AE353" s="20">
        <v>3.8034784002019602E-2</v>
      </c>
      <c r="AF353" s="20">
        <v>3.1997162308927678E-2</v>
      </c>
      <c r="AG353" s="20">
        <v>4.3967624324764046E-2</v>
      </c>
      <c r="AH353" s="20">
        <v>2.4724545959054399E-2</v>
      </c>
      <c r="AI353" s="20">
        <v>5.6437898614419307E-2</v>
      </c>
      <c r="AJ353" s="20">
        <v>4.1767434229605403E-2</v>
      </c>
      <c r="AK353" s="20">
        <v>4.7014145374572144E-2</v>
      </c>
      <c r="AL353" s="20">
        <v>2.8832389665981784E-2</v>
      </c>
      <c r="AM353" s="20">
        <v>2.886152105355316E-2</v>
      </c>
      <c r="AN353" s="20">
        <v>2.694069900588426E-2</v>
      </c>
      <c r="AO353" s="20">
        <v>2.6431334535716298E-2</v>
      </c>
      <c r="AP353" s="20">
        <v>3.3583603693114222E-2</v>
      </c>
      <c r="AQ353" s="20">
        <v>3.5673820883707588E-2</v>
      </c>
      <c r="AR353" s="20">
        <v>4.3708273565164289E-2</v>
      </c>
      <c r="AS353" s="20">
        <v>3.5839824360980557E-2</v>
      </c>
      <c r="AT353" s="20">
        <v>5.8304997821752927E-2</v>
      </c>
      <c r="AU353" s="20">
        <v>4.259839517471508E-2</v>
      </c>
      <c r="AV353" s="20">
        <v>5.3888427998096212E-2</v>
      </c>
      <c r="AW353" s="20">
        <v>3.8852125580244035E-2</v>
      </c>
      <c r="AX353" s="20">
        <v>8.7359791987414157E-2</v>
      </c>
      <c r="AY353" s="20">
        <v>2.6232620386149427E-2</v>
      </c>
      <c r="AZ353" s="20">
        <v>1.0701566247532106</v>
      </c>
      <c r="BA353" s="20">
        <v>4.3570577729870975E-2</v>
      </c>
      <c r="BB353" s="20">
        <v>2.4780120850156278E-2</v>
      </c>
      <c r="BC353" s="20">
        <v>0.11627227787924339</v>
      </c>
      <c r="BD353" s="20">
        <v>8.187201282703406E-2</v>
      </c>
      <c r="BE353" s="20">
        <v>2.9721413420450156E-2</v>
      </c>
      <c r="BF353" s="20">
        <v>6.994946640517169E-2</v>
      </c>
      <c r="BG353" s="20">
        <v>6.0602833258857763E-2</v>
      </c>
      <c r="BH353" s="20">
        <v>9.9141494101948321E-2</v>
      </c>
      <c r="BI353" s="20">
        <v>2.4613765735336628E-2</v>
      </c>
      <c r="BJ353" s="20">
        <v>1.1576809203025592E-2</v>
      </c>
      <c r="BK353" s="20">
        <v>1.1943387108700566E-2</v>
      </c>
      <c r="BL353" s="20">
        <v>1.2529168014378358E-2</v>
      </c>
      <c r="BM353" s="20">
        <v>2.3261770223139102E-2</v>
      </c>
      <c r="BN353" s="20">
        <v>5.1860031378052521E-2</v>
      </c>
      <c r="BO353" s="20">
        <v>5.8831234846366168E-2</v>
      </c>
      <c r="BP353" s="20">
        <v>3.9476958039886545E-2</v>
      </c>
      <c r="BQ353" s="20">
        <v>3.5472740857794428E-2</v>
      </c>
      <c r="BR353" s="20">
        <v>0</v>
      </c>
    </row>
    <row r="354" spans="1:70" x14ac:dyDescent="0.3">
      <c r="A354" s="7">
        <v>48</v>
      </c>
      <c r="B354" s="150" t="s">
        <v>153</v>
      </c>
      <c r="C354" s="150"/>
      <c r="D354" s="150"/>
      <c r="E354" s="150"/>
      <c r="F354" s="20">
        <v>3.747376632873744E-3</v>
      </c>
      <c r="G354" s="20">
        <v>1.648186856658862E-2</v>
      </c>
      <c r="H354" s="20">
        <v>3.6197224526577851E-3</v>
      </c>
      <c r="I354" s="20">
        <v>2.9639790288834324E-3</v>
      </c>
      <c r="J354" s="20">
        <v>2.8101981966377016E-3</v>
      </c>
      <c r="K354" s="20">
        <v>1.6952669415151739E-3</v>
      </c>
      <c r="L354" s="20">
        <v>5.607968889778249E-3</v>
      </c>
      <c r="M354" s="20">
        <v>3.7564665392497247E-3</v>
      </c>
      <c r="N354" s="20">
        <v>3.6192676422585951E-3</v>
      </c>
      <c r="O354" s="20">
        <v>4.6330221537241884E-3</v>
      </c>
      <c r="P354" s="20">
        <v>5.6718881639575779E-4</v>
      </c>
      <c r="Q354" s="20">
        <v>1.4703084561385962E-4</v>
      </c>
      <c r="R354" s="20">
        <v>2.7339335003991991E-3</v>
      </c>
      <c r="S354" s="20">
        <v>5.0411653736294757E-3</v>
      </c>
      <c r="T354" s="20">
        <v>1.7321773057212664E-4</v>
      </c>
      <c r="U354" s="20">
        <v>1.4077297327223831E-3</v>
      </c>
      <c r="V354" s="20">
        <v>1.7676918017494759E-3</v>
      </c>
      <c r="W354" s="20">
        <v>5.8034192248197639E-4</v>
      </c>
      <c r="X354" s="20">
        <v>8.0667580877955881E-4</v>
      </c>
      <c r="Y354" s="20">
        <v>1.4775500551796941E-3</v>
      </c>
      <c r="Z354" s="20">
        <v>3.065220516412811E-3</v>
      </c>
      <c r="AA354" s="20">
        <v>2.3104448492209627E-3</v>
      </c>
      <c r="AB354" s="20">
        <v>2.6392161992978058E-2</v>
      </c>
      <c r="AC354" s="20">
        <v>1.4786528783294242E-2</v>
      </c>
      <c r="AD354" s="20">
        <v>5.2126812947090838E-3</v>
      </c>
      <c r="AE354" s="20">
        <v>5.6631869486146692E-3</v>
      </c>
      <c r="AF354" s="20">
        <v>6.8495737378962045E-3</v>
      </c>
      <c r="AG354" s="20">
        <v>2.9622890460576068E-3</v>
      </c>
      <c r="AH354" s="20">
        <v>7.9942965560114376E-2</v>
      </c>
      <c r="AI354" s="20">
        <v>6.1065784676248274E-3</v>
      </c>
      <c r="AJ354" s="20">
        <v>6.7553804480697064E-3</v>
      </c>
      <c r="AK354" s="20">
        <v>3.4653084422759939E-3</v>
      </c>
      <c r="AL354" s="20">
        <v>8.6838627103833412E-3</v>
      </c>
      <c r="AM354" s="20">
        <v>2.8555265667402009E-3</v>
      </c>
      <c r="AN354" s="20">
        <v>3.1725956802391157E-3</v>
      </c>
      <c r="AO354" s="20">
        <v>5.0052661605228827E-3</v>
      </c>
      <c r="AP354" s="20">
        <v>2.4570851291007573E-3</v>
      </c>
      <c r="AQ354" s="20">
        <v>3.4005696656218302E-3</v>
      </c>
      <c r="AR354" s="20">
        <v>3.231212662579093E-3</v>
      </c>
      <c r="AS354" s="20">
        <v>4.0012994810214022E-3</v>
      </c>
      <c r="AT354" s="20">
        <v>2.3376873381004541E-3</v>
      </c>
      <c r="AU354" s="20">
        <v>3.7504723993550433E-3</v>
      </c>
      <c r="AV354" s="20">
        <v>1.5798329422746801E-3</v>
      </c>
      <c r="AW354" s="20">
        <v>1.5547077949029447E-3</v>
      </c>
      <c r="AX354" s="20">
        <v>2.0899241794574614E-3</v>
      </c>
      <c r="AY354" s="20">
        <v>6.5484895170732282E-3</v>
      </c>
      <c r="AZ354" s="20">
        <v>4.0186608869471896E-3</v>
      </c>
      <c r="BA354" s="20">
        <v>1.1701918216379121</v>
      </c>
      <c r="BB354" s="20">
        <v>1.1148824522569696E-2</v>
      </c>
      <c r="BC354" s="20">
        <v>2.9006984277684714E-3</v>
      </c>
      <c r="BD354" s="20">
        <v>5.3603147780168061E-3</v>
      </c>
      <c r="BE354" s="20">
        <v>2.7883923799718923E-3</v>
      </c>
      <c r="BF354" s="20">
        <v>1.059682582781363E-3</v>
      </c>
      <c r="BG354" s="20">
        <v>3.6705612420972213E-3</v>
      </c>
      <c r="BH354" s="20">
        <v>1.4274748406011128E-2</v>
      </c>
      <c r="BI354" s="20">
        <v>1.417157897749099E-2</v>
      </c>
      <c r="BJ354" s="20">
        <v>3.973859982175058E-3</v>
      </c>
      <c r="BK354" s="20">
        <v>4.8153508786722161E-3</v>
      </c>
      <c r="BL354" s="20">
        <v>6.6622802699359942E-3</v>
      </c>
      <c r="BM354" s="20">
        <v>4.4177792516073462E-3</v>
      </c>
      <c r="BN354" s="20">
        <v>8.4817549583322965E-3</v>
      </c>
      <c r="BO354" s="20">
        <v>6.2150643909145847E-3</v>
      </c>
      <c r="BP354" s="20">
        <v>1.1593718607522365E-2</v>
      </c>
      <c r="BQ354" s="20">
        <v>4.7227735269416383E-3</v>
      </c>
      <c r="BR354" s="20">
        <v>0</v>
      </c>
    </row>
    <row r="355" spans="1:70" x14ac:dyDescent="0.3">
      <c r="A355" s="7">
        <v>49</v>
      </c>
      <c r="B355" s="150" t="s">
        <v>154</v>
      </c>
      <c r="C355" s="150"/>
      <c r="D355" s="150"/>
      <c r="E355" s="150"/>
      <c r="F355" s="20">
        <v>8.7931695091135703E-4</v>
      </c>
      <c r="G355" s="20">
        <v>1.0809656776311612E-3</v>
      </c>
      <c r="H355" s="20">
        <v>7.2258652103657814E-4</v>
      </c>
      <c r="I355" s="20">
        <v>2.5635199845821248E-3</v>
      </c>
      <c r="J355" s="20">
        <v>7.2194680468368275E-4</v>
      </c>
      <c r="K355" s="20">
        <v>3.6303730429516163E-4</v>
      </c>
      <c r="L355" s="20">
        <v>9.9284554278505606E-4</v>
      </c>
      <c r="M355" s="20">
        <v>3.3509891707087614E-4</v>
      </c>
      <c r="N355" s="20">
        <v>4.9463024208760986E-4</v>
      </c>
      <c r="O355" s="20">
        <v>3.7347211469686784E-3</v>
      </c>
      <c r="P355" s="20">
        <v>6.856494297817784E-4</v>
      </c>
      <c r="Q355" s="20">
        <v>9.9345989530785555E-4</v>
      </c>
      <c r="R355" s="20">
        <v>3.0716726341937004E-4</v>
      </c>
      <c r="S355" s="20">
        <v>1.7450614463826531E-3</v>
      </c>
      <c r="T355" s="20">
        <v>6.3287924496910455E-5</v>
      </c>
      <c r="U355" s="20">
        <v>2.1568322577094132E-4</v>
      </c>
      <c r="V355" s="20">
        <v>5.0341781071014272E-4</v>
      </c>
      <c r="W355" s="20">
        <v>5.1427235996360466E-3</v>
      </c>
      <c r="X355" s="20">
        <v>1.6480508136154867E-4</v>
      </c>
      <c r="Y355" s="20">
        <v>1.29803621350283E-3</v>
      </c>
      <c r="Z355" s="20">
        <v>1.6538438285651388E-4</v>
      </c>
      <c r="AA355" s="20">
        <v>5.4233894850650832E-4</v>
      </c>
      <c r="AB355" s="20">
        <v>5.5780781953769477E-4</v>
      </c>
      <c r="AC355" s="20">
        <v>1.4916154226327848E-3</v>
      </c>
      <c r="AD355" s="20">
        <v>2.2389563216427717E-3</v>
      </c>
      <c r="AE355" s="20">
        <v>3.1120273231716004E-3</v>
      </c>
      <c r="AF355" s="20">
        <v>6.3712890482966909E-3</v>
      </c>
      <c r="AG355" s="20">
        <v>1.6629291819925424E-3</v>
      </c>
      <c r="AH355" s="20">
        <v>1.1251853109807087E-3</v>
      </c>
      <c r="AI355" s="20">
        <v>1.4509278483073452E-3</v>
      </c>
      <c r="AJ355" s="20">
        <v>1.2441409682810223E-3</v>
      </c>
      <c r="AK355" s="20">
        <v>6.5857764248362309E-4</v>
      </c>
      <c r="AL355" s="20">
        <v>1.6452161118608291E-3</v>
      </c>
      <c r="AM355" s="20">
        <v>1.5502344257609015E-3</v>
      </c>
      <c r="AN355" s="20">
        <v>7.7074348452002312E-4</v>
      </c>
      <c r="AO355" s="20">
        <v>6.4910456429370449E-4</v>
      </c>
      <c r="AP355" s="20">
        <v>1.1117138444739251E-3</v>
      </c>
      <c r="AQ355" s="20">
        <v>9.2890555986858275E-4</v>
      </c>
      <c r="AR355" s="20">
        <v>1.194102494979578E-3</v>
      </c>
      <c r="AS355" s="20">
        <v>1.2537027804423594E-3</v>
      </c>
      <c r="AT355" s="20">
        <v>1.118684699609038E-3</v>
      </c>
      <c r="AU355" s="20">
        <v>5.0071860113395953E-3</v>
      </c>
      <c r="AV355" s="20">
        <v>4.5127241077987925E-4</v>
      </c>
      <c r="AW355" s="20">
        <v>4.7191403761978482E-4</v>
      </c>
      <c r="AX355" s="20">
        <v>6.0795280317836587E-4</v>
      </c>
      <c r="AY355" s="20">
        <v>3.1686380716674329E-4</v>
      </c>
      <c r="AZ355" s="20">
        <v>1.4006311905523869E-3</v>
      </c>
      <c r="BA355" s="20">
        <v>5.6599063579863699E-3</v>
      </c>
      <c r="BB355" s="20">
        <v>1.0842499958324907</v>
      </c>
      <c r="BC355" s="20">
        <v>7.9012320234286646E-3</v>
      </c>
      <c r="BD355" s="20">
        <v>2.4688873331318827E-2</v>
      </c>
      <c r="BE355" s="20">
        <v>3.4009757975279989E-4</v>
      </c>
      <c r="BF355" s="20">
        <v>6.6706647706644365E-3</v>
      </c>
      <c r="BG355" s="20">
        <v>1.1246626785877687E-3</v>
      </c>
      <c r="BH355" s="20">
        <v>9.5541172888050443E-4</v>
      </c>
      <c r="BI355" s="20">
        <v>4.8357209829426916E-3</v>
      </c>
      <c r="BJ355" s="20">
        <v>4.2721049964453547E-3</v>
      </c>
      <c r="BK355" s="20">
        <v>8.6866007941710673E-4</v>
      </c>
      <c r="BL355" s="20">
        <v>8.2808753046282962E-4</v>
      </c>
      <c r="BM355" s="20">
        <v>1.8109754991085141E-3</v>
      </c>
      <c r="BN355" s="20">
        <v>1.5044655404698156E-3</v>
      </c>
      <c r="BO355" s="20">
        <v>4.5450817552396315E-3</v>
      </c>
      <c r="BP355" s="20">
        <v>6.7217952535906296E-4</v>
      </c>
      <c r="BQ355" s="20">
        <v>6.6436329850102301E-4</v>
      </c>
      <c r="BR355" s="20">
        <v>0</v>
      </c>
    </row>
    <row r="356" spans="1:70" x14ac:dyDescent="0.3">
      <c r="A356" s="7">
        <v>50</v>
      </c>
      <c r="B356" s="150" t="s">
        <v>155</v>
      </c>
      <c r="C356" s="150"/>
      <c r="D356" s="150"/>
      <c r="E356" s="150"/>
      <c r="F356" s="20">
        <v>4.277947547417252E-3</v>
      </c>
      <c r="G356" s="20">
        <v>7.7408715279363724E-3</v>
      </c>
      <c r="H356" s="20">
        <v>3.5128772568787741E-3</v>
      </c>
      <c r="I356" s="20">
        <v>2.6577441252537415E-3</v>
      </c>
      <c r="J356" s="20">
        <v>1.4518230787440417E-2</v>
      </c>
      <c r="K356" s="20">
        <v>2.8738613969458687E-3</v>
      </c>
      <c r="L356" s="20">
        <v>6.6527774530327479E-3</v>
      </c>
      <c r="M356" s="20">
        <v>2.2815617465847529E-3</v>
      </c>
      <c r="N356" s="20">
        <v>7.0365268266964496E-3</v>
      </c>
      <c r="O356" s="20">
        <v>2.7682047151403621E-3</v>
      </c>
      <c r="P356" s="20">
        <v>3.4466002204165394E-3</v>
      </c>
      <c r="Q356" s="20">
        <v>2.6786257335988679E-2</v>
      </c>
      <c r="R356" s="20">
        <v>3.1772507039566317E-3</v>
      </c>
      <c r="S356" s="20">
        <v>5.2538102543960947E-3</v>
      </c>
      <c r="T356" s="20">
        <v>2.2492903523274729E-4</v>
      </c>
      <c r="U356" s="20">
        <v>1.7447007703995491E-3</v>
      </c>
      <c r="V356" s="20">
        <v>8.1463733269820839E-4</v>
      </c>
      <c r="W356" s="20">
        <v>8.9577164540605419E-4</v>
      </c>
      <c r="X356" s="20">
        <v>5.5967250324396338E-3</v>
      </c>
      <c r="Y356" s="20">
        <v>8.7384791920063702E-4</v>
      </c>
      <c r="Z356" s="20">
        <v>2.3970195285751604E-3</v>
      </c>
      <c r="AA356" s="20">
        <v>5.5087131445730872E-3</v>
      </c>
      <c r="AB356" s="20">
        <v>4.3956485799021561E-3</v>
      </c>
      <c r="AC356" s="20">
        <v>2.2831280954116063E-3</v>
      </c>
      <c r="AD356" s="20">
        <v>2.7030199453853218E-3</v>
      </c>
      <c r="AE356" s="20">
        <v>3.4980188089506615E-3</v>
      </c>
      <c r="AF356" s="20">
        <v>2.999300860769198E-3</v>
      </c>
      <c r="AG356" s="20">
        <v>5.749056141400935E-3</v>
      </c>
      <c r="AH356" s="20">
        <v>6.5962335393879639E-3</v>
      </c>
      <c r="AI356" s="20">
        <v>4.117869333461302E-2</v>
      </c>
      <c r="AJ356" s="20">
        <v>2.529448371039145E-2</v>
      </c>
      <c r="AK356" s="20">
        <v>3.2770926276937493E-2</v>
      </c>
      <c r="AL356" s="20">
        <v>6.9665973386510765E-3</v>
      </c>
      <c r="AM356" s="20">
        <v>4.451456713025527E-3</v>
      </c>
      <c r="AN356" s="20">
        <v>6.5644723107108763E-3</v>
      </c>
      <c r="AO356" s="20">
        <v>6.1118233852449372E-3</v>
      </c>
      <c r="AP356" s="20">
        <v>9.9865470766282004E-3</v>
      </c>
      <c r="AQ356" s="20">
        <v>2.0345108906284597E-2</v>
      </c>
      <c r="AR356" s="20">
        <v>3.2036591343034493E-2</v>
      </c>
      <c r="AS356" s="20">
        <v>1.2718995385161054E-2</v>
      </c>
      <c r="AT356" s="20">
        <v>1.85289235355168E-2</v>
      </c>
      <c r="AU356" s="20">
        <v>7.53720610278276E-3</v>
      </c>
      <c r="AV356" s="20">
        <v>8.488400310588071E-3</v>
      </c>
      <c r="AW356" s="20">
        <v>1.2087659086328539E-2</v>
      </c>
      <c r="AX356" s="20">
        <v>2.2416533223740695E-2</v>
      </c>
      <c r="AY356" s="20">
        <v>4.1633614687518888E-3</v>
      </c>
      <c r="AZ356" s="20">
        <v>1.6791248167080788E-2</v>
      </c>
      <c r="BA356" s="20">
        <v>8.0523181527379674E-3</v>
      </c>
      <c r="BB356" s="20">
        <v>6.757802642385311E-3</v>
      </c>
      <c r="BC356" s="20">
        <v>1.0678803693346293</v>
      </c>
      <c r="BD356" s="20">
        <v>4.2970375809378715E-2</v>
      </c>
      <c r="BE356" s="20">
        <v>5.7018521810658692E-3</v>
      </c>
      <c r="BF356" s="20">
        <v>5.561572301710619E-3</v>
      </c>
      <c r="BG356" s="20">
        <v>2.8084787466401587E-2</v>
      </c>
      <c r="BH356" s="20">
        <v>1.5572263125818777E-2</v>
      </c>
      <c r="BI356" s="20">
        <v>5.0571532413885767E-3</v>
      </c>
      <c r="BJ356" s="20">
        <v>4.2401222018599661E-3</v>
      </c>
      <c r="BK356" s="20">
        <v>6.5551528970649534E-3</v>
      </c>
      <c r="BL356" s="20">
        <v>4.4355815426436046E-3</v>
      </c>
      <c r="BM356" s="20">
        <v>2.9629514586820564E-2</v>
      </c>
      <c r="BN356" s="20">
        <v>2.7770568557641588E-2</v>
      </c>
      <c r="BO356" s="20">
        <v>2.6902405313745117E-2</v>
      </c>
      <c r="BP356" s="20">
        <v>1.2430020193811309E-2</v>
      </c>
      <c r="BQ356" s="20">
        <v>9.1348886776584214E-3</v>
      </c>
      <c r="BR356" s="20">
        <v>0</v>
      </c>
    </row>
    <row r="357" spans="1:70" x14ac:dyDescent="0.3">
      <c r="A357" s="7">
        <v>51</v>
      </c>
      <c r="B357" s="150" t="s">
        <v>156</v>
      </c>
      <c r="C357" s="150"/>
      <c r="D357" s="150"/>
      <c r="E357" s="150"/>
      <c r="F357" s="20">
        <v>1.150657405256234E-2</v>
      </c>
      <c r="G357" s="20">
        <v>2.234660511436613E-3</v>
      </c>
      <c r="H357" s="20">
        <v>1.4105715373398033E-3</v>
      </c>
      <c r="I357" s="20">
        <v>6.1455458560137383E-4</v>
      </c>
      <c r="J357" s="20">
        <v>2.9697183582150098E-3</v>
      </c>
      <c r="K357" s="20">
        <v>7.0601657089870826E-4</v>
      </c>
      <c r="L357" s="20">
        <v>1.3239351435594101E-3</v>
      </c>
      <c r="M357" s="20">
        <v>7.0242232349984016E-4</v>
      </c>
      <c r="N357" s="20">
        <v>1.6860090401082043E-3</v>
      </c>
      <c r="O357" s="20">
        <v>8.6572758510024034E-4</v>
      </c>
      <c r="P357" s="20">
        <v>3.2563347403097537E-4</v>
      </c>
      <c r="Q357" s="20">
        <v>2.4117311162861538E-4</v>
      </c>
      <c r="R357" s="20">
        <v>9.9595076393667152E-4</v>
      </c>
      <c r="S357" s="20">
        <v>1.6088850429505793E-3</v>
      </c>
      <c r="T357" s="20">
        <v>6.2215679766162237E-5</v>
      </c>
      <c r="U357" s="20">
        <v>9.3051726427068591E-4</v>
      </c>
      <c r="V357" s="20">
        <v>2.841452878901409E-4</v>
      </c>
      <c r="W357" s="20">
        <v>2.5902843260331218E-4</v>
      </c>
      <c r="X357" s="20">
        <v>3.1086404114225372E-4</v>
      </c>
      <c r="Y357" s="20">
        <v>3.2539209328205957E-4</v>
      </c>
      <c r="Z357" s="20">
        <v>5.0276488974409876E-4</v>
      </c>
      <c r="AA357" s="20">
        <v>3.0081216261159402E-3</v>
      </c>
      <c r="AB357" s="20">
        <v>1.5422714868247849E-3</v>
      </c>
      <c r="AC357" s="20">
        <v>1.2904496801894336E-3</v>
      </c>
      <c r="AD357" s="20">
        <v>6.7267710667881281E-4</v>
      </c>
      <c r="AE357" s="20">
        <v>9.7136165835849805E-4</v>
      </c>
      <c r="AF357" s="20">
        <v>6.8867274459255025E-4</v>
      </c>
      <c r="AG357" s="20">
        <v>1.1379920898963354E-3</v>
      </c>
      <c r="AH357" s="20">
        <v>3.1075257090700955E-3</v>
      </c>
      <c r="AI357" s="20">
        <v>2.2598430179771051E-3</v>
      </c>
      <c r="AJ357" s="20">
        <v>3.5626681483631926E-3</v>
      </c>
      <c r="AK357" s="20">
        <v>2.5609942277836245E-3</v>
      </c>
      <c r="AL357" s="20">
        <v>1.5823997595879385E-3</v>
      </c>
      <c r="AM357" s="20">
        <v>1.4490397130992011E-3</v>
      </c>
      <c r="AN357" s="20">
        <v>1.2112784586244753E-3</v>
      </c>
      <c r="AO357" s="20">
        <v>2.9870094812813699E-3</v>
      </c>
      <c r="AP357" s="20">
        <v>1.1935187255021535E-3</v>
      </c>
      <c r="AQ357" s="20">
        <v>3.2643696148409083E-3</v>
      </c>
      <c r="AR357" s="20">
        <v>2.2695672744693762E-2</v>
      </c>
      <c r="AS357" s="20">
        <v>2.5831666204625937E-2</v>
      </c>
      <c r="AT357" s="20">
        <v>1.3139732009162537E-3</v>
      </c>
      <c r="AU357" s="20">
        <v>2.7817003541775855E-3</v>
      </c>
      <c r="AV357" s="20">
        <v>4.8225171651607168E-3</v>
      </c>
      <c r="AW357" s="20">
        <v>2.6177627023640008E-3</v>
      </c>
      <c r="AX357" s="20">
        <v>3.4491838801218315E-3</v>
      </c>
      <c r="AY357" s="20">
        <v>8.8524461245441518E-4</v>
      </c>
      <c r="AZ357" s="20">
        <v>9.4721831542712454E-3</v>
      </c>
      <c r="BA357" s="20">
        <v>7.3405375231580666E-3</v>
      </c>
      <c r="BB357" s="20">
        <v>1.9719665115080082E-3</v>
      </c>
      <c r="BC357" s="20">
        <v>8.1757260852898042E-3</v>
      </c>
      <c r="BD357" s="20">
        <v>1.0298816722512649</v>
      </c>
      <c r="BE357" s="20">
        <v>9.9383640691279025E-4</v>
      </c>
      <c r="BF357" s="20">
        <v>3.9255937673834803E-3</v>
      </c>
      <c r="BG357" s="20">
        <v>8.7090071938564651E-3</v>
      </c>
      <c r="BH357" s="20">
        <v>3.7231387943198581E-3</v>
      </c>
      <c r="BI357" s="20">
        <v>1.9148985985047223E-3</v>
      </c>
      <c r="BJ357" s="20">
        <v>1.1988905084824029E-3</v>
      </c>
      <c r="BK357" s="20">
        <v>6.3155181054359009E-4</v>
      </c>
      <c r="BL357" s="20">
        <v>9.3465085238934398E-4</v>
      </c>
      <c r="BM357" s="20">
        <v>3.0250562600426475E-3</v>
      </c>
      <c r="BN357" s="20">
        <v>2.0170948176812522E-3</v>
      </c>
      <c r="BO357" s="20">
        <v>2.0152846981158309E-2</v>
      </c>
      <c r="BP357" s="20">
        <v>1.3844593330688737E-3</v>
      </c>
      <c r="BQ357" s="20">
        <v>1.2966174959216886E-3</v>
      </c>
      <c r="BR357" s="20">
        <v>0</v>
      </c>
    </row>
    <row r="358" spans="1:70" x14ac:dyDescent="0.3">
      <c r="A358" s="7">
        <v>52</v>
      </c>
      <c r="B358" s="150" t="s">
        <v>157</v>
      </c>
      <c r="C358" s="150"/>
      <c r="D358" s="150"/>
      <c r="E358" s="150"/>
      <c r="F358" s="20">
        <v>6.7812546456758405E-3</v>
      </c>
      <c r="G358" s="20">
        <v>2.5713514749749668E-2</v>
      </c>
      <c r="H358" s="20">
        <v>2.0615464312178176E-2</v>
      </c>
      <c r="I358" s="20">
        <v>1.1262575695319724E-2</v>
      </c>
      <c r="J358" s="20">
        <v>8.8632623074054104E-3</v>
      </c>
      <c r="K358" s="20">
        <v>4.0731269329998751E-3</v>
      </c>
      <c r="L358" s="20">
        <v>1.482431445254322E-2</v>
      </c>
      <c r="M358" s="20">
        <v>7.7618399722952282E-3</v>
      </c>
      <c r="N358" s="20">
        <v>1.0332245502494519E-2</v>
      </c>
      <c r="O358" s="20">
        <v>1.1427114178222595E-2</v>
      </c>
      <c r="P358" s="20">
        <v>6.2521091505825877E-3</v>
      </c>
      <c r="Q358" s="20">
        <v>1.0104209068338948E-3</v>
      </c>
      <c r="R358" s="20">
        <v>5.22984545787429E-3</v>
      </c>
      <c r="S358" s="20">
        <v>8.8937068118074853E-3</v>
      </c>
      <c r="T358" s="20">
        <v>1.370298759397433E-3</v>
      </c>
      <c r="U358" s="20">
        <v>1.3626404602538916E-2</v>
      </c>
      <c r="V358" s="20">
        <v>5.5594963769611669E-3</v>
      </c>
      <c r="W358" s="20">
        <v>4.3658394130807075E-3</v>
      </c>
      <c r="X358" s="20">
        <v>2.2079484640231311E-3</v>
      </c>
      <c r="Y358" s="20">
        <v>1.81976454840568E-3</v>
      </c>
      <c r="Z358" s="20">
        <v>3.5756230634581463E-3</v>
      </c>
      <c r="AA358" s="20">
        <v>7.4707667231123515E-3</v>
      </c>
      <c r="AB358" s="20">
        <v>1.4140036532384033E-2</v>
      </c>
      <c r="AC358" s="20">
        <v>6.9759014954456277E-3</v>
      </c>
      <c r="AD358" s="20">
        <v>5.1355725737117684E-2</v>
      </c>
      <c r="AE358" s="20">
        <v>3.3543412397800239E-2</v>
      </c>
      <c r="AF358" s="20">
        <v>9.7497162530475519E-3</v>
      </c>
      <c r="AG358" s="20">
        <v>3.8859015974666143E-2</v>
      </c>
      <c r="AH358" s="20">
        <v>2.4963109987945389E-2</v>
      </c>
      <c r="AI358" s="20">
        <v>9.0075508717606598E-3</v>
      </c>
      <c r="AJ358" s="20">
        <v>2.5262485759459264E-2</v>
      </c>
      <c r="AK358" s="20">
        <v>1.223595136256201E-2</v>
      </c>
      <c r="AL358" s="20">
        <v>3.3861587171773518E-2</v>
      </c>
      <c r="AM358" s="20">
        <v>0.26952638114143507</v>
      </c>
      <c r="AN358" s="20">
        <v>8.497791786418353E-2</v>
      </c>
      <c r="AO358" s="20">
        <v>4.4294479341318527E-2</v>
      </c>
      <c r="AP358" s="20">
        <v>2.0046715994608139E-2</v>
      </c>
      <c r="AQ358" s="20">
        <v>1.590516815361195E-2</v>
      </c>
      <c r="AR358" s="20">
        <v>1.0462397559513776E-2</v>
      </c>
      <c r="AS358" s="20">
        <v>1.236123825751765E-2</v>
      </c>
      <c r="AT358" s="20">
        <v>6.683244917481161E-3</v>
      </c>
      <c r="AU358" s="20">
        <v>2.0023359575322471E-2</v>
      </c>
      <c r="AV358" s="20">
        <v>1.1981353721347203E-2</v>
      </c>
      <c r="AW358" s="20">
        <v>3.15298814799971E-2</v>
      </c>
      <c r="AX358" s="20">
        <v>8.6824466704156899E-3</v>
      </c>
      <c r="AY358" s="20">
        <v>7.7862270076883757E-3</v>
      </c>
      <c r="AZ358" s="20">
        <v>1.1498257301146448E-2</v>
      </c>
      <c r="BA358" s="20">
        <v>1.8052565251312359E-2</v>
      </c>
      <c r="BB358" s="20">
        <v>1.5617853334942675E-2</v>
      </c>
      <c r="BC358" s="20">
        <v>1.8398194088419702E-2</v>
      </c>
      <c r="BD358" s="20">
        <v>1.5828192860649265E-2</v>
      </c>
      <c r="BE358" s="20">
        <v>1.0201215498507368</v>
      </c>
      <c r="BF358" s="20">
        <v>8.7549993444231856E-3</v>
      </c>
      <c r="BG358" s="20">
        <v>3.9910444451100986E-2</v>
      </c>
      <c r="BH358" s="20">
        <v>2.2870406581799486E-2</v>
      </c>
      <c r="BI358" s="20">
        <v>8.1386698005801086E-3</v>
      </c>
      <c r="BJ358" s="20">
        <v>7.9343408764301938E-3</v>
      </c>
      <c r="BK358" s="20">
        <v>7.5579011192849583E-3</v>
      </c>
      <c r="BL358" s="20">
        <v>7.6874645262983319E-3</v>
      </c>
      <c r="BM358" s="20">
        <v>1.3386365164207334E-2</v>
      </c>
      <c r="BN358" s="20">
        <v>2.2406670978665465E-2</v>
      </c>
      <c r="BO358" s="20">
        <v>2.9740459906843909E-2</v>
      </c>
      <c r="BP358" s="20">
        <v>1.1711768029398639E-2</v>
      </c>
      <c r="BQ358" s="20">
        <v>1.3251111986724755E-2</v>
      </c>
      <c r="BR358" s="20">
        <v>0</v>
      </c>
    </row>
    <row r="359" spans="1:70" x14ac:dyDescent="0.3">
      <c r="A359" s="7">
        <v>53</v>
      </c>
      <c r="B359" s="150" t="s">
        <v>158</v>
      </c>
      <c r="C359" s="150"/>
      <c r="D359" s="150"/>
      <c r="E359" s="150"/>
      <c r="F359" s="20">
        <v>7.0689414429144632E-4</v>
      </c>
      <c r="G359" s="20">
        <v>5.1033041580162888E-3</v>
      </c>
      <c r="H359" s="20">
        <v>7.7161880319672792E-3</v>
      </c>
      <c r="I359" s="20">
        <v>1.8136130219071325E-3</v>
      </c>
      <c r="J359" s="20">
        <v>7.9965506360072552E-4</v>
      </c>
      <c r="K359" s="20">
        <v>4.2651833888597687E-4</v>
      </c>
      <c r="L359" s="20">
        <v>2.618896909314117E-3</v>
      </c>
      <c r="M359" s="20">
        <v>1.2790262244548004E-3</v>
      </c>
      <c r="N359" s="20">
        <v>1.5729673827071414E-3</v>
      </c>
      <c r="O359" s="20">
        <v>1.6742097230340205E-3</v>
      </c>
      <c r="P359" s="20">
        <v>4.347951981245668E-4</v>
      </c>
      <c r="Q359" s="20">
        <v>6.9874101053509977E-5</v>
      </c>
      <c r="R359" s="20">
        <v>6.8232988540172326E-4</v>
      </c>
      <c r="S359" s="20">
        <v>9.0941140776845751E-4</v>
      </c>
      <c r="T359" s="20">
        <v>7.3135034249178726E-5</v>
      </c>
      <c r="U359" s="20">
        <v>1.7236513972703736E-3</v>
      </c>
      <c r="V359" s="20">
        <v>2.8571408388492693E-3</v>
      </c>
      <c r="W359" s="20">
        <v>3.2742219960877939E-4</v>
      </c>
      <c r="X359" s="20">
        <v>2.6547299048600002E-4</v>
      </c>
      <c r="Y359" s="20">
        <v>5.9652997495844508E-4</v>
      </c>
      <c r="Z359" s="20">
        <v>5.9089054282729348E-4</v>
      </c>
      <c r="AA359" s="20">
        <v>1.1375438840729231E-3</v>
      </c>
      <c r="AB359" s="20">
        <v>1.4282153850745957E-3</v>
      </c>
      <c r="AC359" s="20">
        <v>9.2476773187017715E-4</v>
      </c>
      <c r="AD359" s="20">
        <v>1.6417729607420097E-3</v>
      </c>
      <c r="AE359" s="20">
        <v>1.1447545841448063E-3</v>
      </c>
      <c r="AF359" s="20">
        <v>3.9327094913337284E-4</v>
      </c>
      <c r="AG359" s="20">
        <v>1.5044253340199577E-3</v>
      </c>
      <c r="AH359" s="20">
        <v>1.9379881434034893E-3</v>
      </c>
      <c r="AI359" s="20">
        <v>1.0645776542545157E-3</v>
      </c>
      <c r="AJ359" s="20">
        <v>2.2404620681340639E-3</v>
      </c>
      <c r="AK359" s="20">
        <v>2.1826855490051662E-3</v>
      </c>
      <c r="AL359" s="20">
        <v>3.6521617816469313E-3</v>
      </c>
      <c r="AM359" s="20">
        <v>0.10184578523828321</v>
      </c>
      <c r="AN359" s="20">
        <v>6.62482083058366E-3</v>
      </c>
      <c r="AO359" s="20">
        <v>8.2834311077779419E-3</v>
      </c>
      <c r="AP359" s="20">
        <v>1.9520505977189495E-3</v>
      </c>
      <c r="AQ359" s="20">
        <v>1.4902127348705932E-2</v>
      </c>
      <c r="AR359" s="20">
        <v>4.8132096328558525E-3</v>
      </c>
      <c r="AS359" s="20">
        <v>6.0886017797324521E-4</v>
      </c>
      <c r="AT359" s="20">
        <v>1.5451190096686565E-3</v>
      </c>
      <c r="AU359" s="20">
        <v>1.4828429435235191E-3</v>
      </c>
      <c r="AV359" s="20">
        <v>5.7882162580567397E-4</v>
      </c>
      <c r="AW359" s="20">
        <v>7.1000364426488174E-4</v>
      </c>
      <c r="AX359" s="20">
        <v>1.7094708830643569E-3</v>
      </c>
      <c r="AY359" s="20">
        <v>1.5778125900745275E-3</v>
      </c>
      <c r="AZ359" s="20">
        <v>1.3056130153963317E-3</v>
      </c>
      <c r="BA359" s="20">
        <v>3.8207566373459948E-3</v>
      </c>
      <c r="BB359" s="20">
        <v>1.6089514688578037E-3</v>
      </c>
      <c r="BC359" s="20">
        <v>1.7411570681607673E-3</v>
      </c>
      <c r="BD359" s="20">
        <v>3.7887569290819215E-3</v>
      </c>
      <c r="BE359" s="20">
        <v>7.939500283411019E-4</v>
      </c>
      <c r="BF359" s="20">
        <v>1.0756357302459103</v>
      </c>
      <c r="BG359" s="20">
        <v>9.4739602210990124E-3</v>
      </c>
      <c r="BH359" s="20">
        <v>4.4219317922236569E-3</v>
      </c>
      <c r="BI359" s="20">
        <v>1.0902795171944832E-3</v>
      </c>
      <c r="BJ359" s="20">
        <v>6.7047357857428678E-4</v>
      </c>
      <c r="BK359" s="20">
        <v>4.9821050579286312E-4</v>
      </c>
      <c r="BL359" s="20">
        <v>8.7843661463865564E-4</v>
      </c>
      <c r="BM359" s="20">
        <v>1.4957514543421854E-3</v>
      </c>
      <c r="BN359" s="20">
        <v>1.5907489748408408E-3</v>
      </c>
      <c r="BO359" s="20">
        <v>2.0518119798728753E-3</v>
      </c>
      <c r="BP359" s="20">
        <v>1.470789462352398E-3</v>
      </c>
      <c r="BQ359" s="20">
        <v>2.9194704275050339E-3</v>
      </c>
      <c r="BR359" s="20">
        <v>0</v>
      </c>
    </row>
    <row r="360" spans="1:70" x14ac:dyDescent="0.3">
      <c r="A360" s="7">
        <v>54</v>
      </c>
      <c r="B360" s="150" t="s">
        <v>159</v>
      </c>
      <c r="C360" s="150"/>
      <c r="D360" s="150"/>
      <c r="E360" s="150"/>
      <c r="F360" s="20">
        <v>1.2610273439455098E-4</v>
      </c>
      <c r="G360" s="20">
        <v>4.1063203396293091E-4</v>
      </c>
      <c r="H360" s="20">
        <v>3.1211844578514177E-4</v>
      </c>
      <c r="I360" s="20">
        <v>2.1055843356820918E-4</v>
      </c>
      <c r="J360" s="20">
        <v>2.5117185050193229E-4</v>
      </c>
      <c r="K360" s="20">
        <v>2.6274255196265603E-4</v>
      </c>
      <c r="L360" s="20">
        <v>2.6382773902406547E-4</v>
      </c>
      <c r="M360" s="20">
        <v>1.1033565884216734E-4</v>
      </c>
      <c r="N360" s="20">
        <v>2.2806973483950466E-4</v>
      </c>
      <c r="O360" s="20">
        <v>2.1163577643901459E-4</v>
      </c>
      <c r="P360" s="20">
        <v>2.7785578044856979E-4</v>
      </c>
      <c r="Q360" s="20">
        <v>8.1210704717487182E-5</v>
      </c>
      <c r="R360" s="20">
        <v>1.3252211408900107E-4</v>
      </c>
      <c r="S360" s="20">
        <v>2.4617655967473665E-4</v>
      </c>
      <c r="T360" s="20">
        <v>1.4861847796862336E-5</v>
      </c>
      <c r="U360" s="20">
        <v>8.5766936260328508E-5</v>
      </c>
      <c r="V360" s="20">
        <v>2.6808348642535048E-4</v>
      </c>
      <c r="W360" s="20">
        <v>3.4628579433102841E-4</v>
      </c>
      <c r="X360" s="20">
        <v>5.701269805072706E-5</v>
      </c>
      <c r="Y360" s="20">
        <v>1.3728550047433275E-4</v>
      </c>
      <c r="Z360" s="20">
        <v>1.9771912420786362E-4</v>
      </c>
      <c r="AA360" s="20">
        <v>4.8929367873517453E-4</v>
      </c>
      <c r="AB360" s="20">
        <v>1.659119068281637E-3</v>
      </c>
      <c r="AC360" s="20">
        <v>1.2788048625027152E-4</v>
      </c>
      <c r="AD360" s="20">
        <v>2.064987603724715E-4</v>
      </c>
      <c r="AE360" s="20">
        <v>1.94999409755495E-4</v>
      </c>
      <c r="AF360" s="20">
        <v>1.4326132893819001E-3</v>
      </c>
      <c r="AG360" s="20">
        <v>1.898211026559221E-4</v>
      </c>
      <c r="AH360" s="20">
        <v>2.7958953826330991E-4</v>
      </c>
      <c r="AI360" s="20">
        <v>7.7952177840863121E-4</v>
      </c>
      <c r="AJ360" s="20">
        <v>4.4261678018182074E-4</v>
      </c>
      <c r="AK360" s="20">
        <v>6.5985306184642453E-4</v>
      </c>
      <c r="AL360" s="20">
        <v>7.4041976851637497E-4</v>
      </c>
      <c r="AM360" s="20">
        <v>2.8745618568635088E-3</v>
      </c>
      <c r="AN360" s="20">
        <v>2.5246224722543149E-3</v>
      </c>
      <c r="AO360" s="20">
        <v>4.698350846509123E-4</v>
      </c>
      <c r="AP360" s="20">
        <v>3.5283623390581711E-4</v>
      </c>
      <c r="AQ360" s="20">
        <v>1.1683570624794594E-3</v>
      </c>
      <c r="AR360" s="20">
        <v>7.633699007889241E-4</v>
      </c>
      <c r="AS360" s="20">
        <v>6.1071420376799981E-4</v>
      </c>
      <c r="AT360" s="20">
        <v>2.0263723375798151E-4</v>
      </c>
      <c r="AU360" s="20">
        <v>4.5509604698307346E-4</v>
      </c>
      <c r="AV360" s="20">
        <v>4.3344492729382582E-4</v>
      </c>
      <c r="AW360" s="20">
        <v>6.9742845732071151E-4</v>
      </c>
      <c r="AX360" s="20">
        <v>9.891521181705882E-4</v>
      </c>
      <c r="AY360" s="20">
        <v>1.5950328411196385E-4</v>
      </c>
      <c r="AZ360" s="20">
        <v>5.8171656573109264E-4</v>
      </c>
      <c r="BA360" s="20">
        <v>6.1286112521919528E-4</v>
      </c>
      <c r="BB360" s="20">
        <v>1.4955941585660385E-4</v>
      </c>
      <c r="BC360" s="20">
        <v>2.9965010459260645E-3</v>
      </c>
      <c r="BD360" s="20">
        <v>2.9301229318936774E-4</v>
      </c>
      <c r="BE360" s="20">
        <v>4.8294632941350222E-4</v>
      </c>
      <c r="BF360" s="20">
        <v>1.016671893670311E-3</v>
      </c>
      <c r="BG360" s="20">
        <v>1.0306772288984061</v>
      </c>
      <c r="BH360" s="20">
        <v>7.4937544177232146E-4</v>
      </c>
      <c r="BI360" s="20">
        <v>1.5544922602691349E-4</v>
      </c>
      <c r="BJ360" s="20">
        <v>2.9204251522340941E-4</v>
      </c>
      <c r="BK360" s="20">
        <v>3.7286338811710331E-4</v>
      </c>
      <c r="BL360" s="20">
        <v>1.2873406748977603E-4</v>
      </c>
      <c r="BM360" s="20">
        <v>4.575713195108319E-4</v>
      </c>
      <c r="BN360" s="20">
        <v>3.415521806666551E-4</v>
      </c>
      <c r="BO360" s="20">
        <v>4.201820604414915E-4</v>
      </c>
      <c r="BP360" s="20">
        <v>2.4575968125081305E-4</v>
      </c>
      <c r="BQ360" s="20">
        <v>2.9106819532897149E-4</v>
      </c>
      <c r="BR360" s="20">
        <v>0</v>
      </c>
    </row>
    <row r="361" spans="1:70" x14ac:dyDescent="0.3">
      <c r="A361" s="7">
        <v>55</v>
      </c>
      <c r="B361" s="150" t="s">
        <v>160</v>
      </c>
      <c r="C361" s="150"/>
      <c r="D361" s="150"/>
      <c r="E361" s="150"/>
      <c r="F361" s="20">
        <v>4.5196886253782275E-3</v>
      </c>
      <c r="G361" s="20">
        <v>1.001598748465005E-2</v>
      </c>
      <c r="H361" s="20">
        <v>8.1860068017930582E-3</v>
      </c>
      <c r="I361" s="20">
        <v>7.0534338087407389E-3</v>
      </c>
      <c r="J361" s="20">
        <v>8.1348527798942617E-3</v>
      </c>
      <c r="K361" s="20">
        <v>3.8798940975847914E-3</v>
      </c>
      <c r="L361" s="20">
        <v>8.3848936652951758E-3</v>
      </c>
      <c r="M361" s="20">
        <v>4.2800424052443966E-3</v>
      </c>
      <c r="N361" s="20">
        <v>1.1915992748516662E-2</v>
      </c>
      <c r="O361" s="20">
        <v>8.1452671291194229E-3</v>
      </c>
      <c r="P361" s="20">
        <v>1.9519354336276662E-3</v>
      </c>
      <c r="Q361" s="20">
        <v>2.0510581792612314E-3</v>
      </c>
      <c r="R361" s="20">
        <v>2.857756760897352E-3</v>
      </c>
      <c r="S361" s="20">
        <v>6.4101219753168494E-3</v>
      </c>
      <c r="T361" s="20">
        <v>6.1670609238420203E-4</v>
      </c>
      <c r="U361" s="20">
        <v>6.9015805425340507E-3</v>
      </c>
      <c r="V361" s="20">
        <v>2.8403964652980282E-3</v>
      </c>
      <c r="W361" s="20">
        <v>3.0747077432735472E-3</v>
      </c>
      <c r="X361" s="20">
        <v>2.8847841762027018E-3</v>
      </c>
      <c r="Y361" s="20">
        <v>2.7578273812908683E-3</v>
      </c>
      <c r="Z361" s="20">
        <v>3.1388205734081708E-3</v>
      </c>
      <c r="AA361" s="20">
        <v>6.8295441926036933E-3</v>
      </c>
      <c r="AB361" s="20">
        <v>1.1592780896052847E-2</v>
      </c>
      <c r="AC361" s="20">
        <v>1.0553963278692183E-2</v>
      </c>
      <c r="AD361" s="20">
        <v>8.5954846622025242E-3</v>
      </c>
      <c r="AE361" s="20">
        <v>1.0528220443219131E-2</v>
      </c>
      <c r="AF361" s="20">
        <v>1.5007752117691321E-2</v>
      </c>
      <c r="AG361" s="20">
        <v>1.042407997014101E-2</v>
      </c>
      <c r="AH361" s="20">
        <v>1.6335561866068986E-2</v>
      </c>
      <c r="AI361" s="20">
        <v>2.221790068914568E-2</v>
      </c>
      <c r="AJ361" s="20">
        <v>1.9272192077406859E-2</v>
      </c>
      <c r="AK361" s="20">
        <v>3.3922490819387578E-2</v>
      </c>
      <c r="AL361" s="20">
        <v>9.7168010054538723E-3</v>
      </c>
      <c r="AM361" s="20">
        <v>1.0021724918082224E-2</v>
      </c>
      <c r="AN361" s="20">
        <v>8.3323427163258315E-3</v>
      </c>
      <c r="AO361" s="20">
        <v>1.9136710222877319E-2</v>
      </c>
      <c r="AP361" s="20">
        <v>2.4606873606594561E-2</v>
      </c>
      <c r="AQ361" s="20">
        <v>2.7934321240887048E-2</v>
      </c>
      <c r="AR361" s="20">
        <v>8.8760109603249863E-3</v>
      </c>
      <c r="AS361" s="20">
        <v>5.6045935409459839E-3</v>
      </c>
      <c r="AT361" s="20">
        <v>1.0488096110159738E-2</v>
      </c>
      <c r="AU361" s="20">
        <v>1.2953222516925142E-2</v>
      </c>
      <c r="AV361" s="20">
        <v>2.1205243461134855E-2</v>
      </c>
      <c r="AW361" s="20">
        <v>2.2095293680438336E-2</v>
      </c>
      <c r="AX361" s="20">
        <v>1.8775166735646779E-2</v>
      </c>
      <c r="AY361" s="20">
        <v>2.9168824686484185E-2</v>
      </c>
      <c r="AZ361" s="20">
        <v>4.0093119389691859E-2</v>
      </c>
      <c r="BA361" s="20">
        <v>4.1037139178290043E-2</v>
      </c>
      <c r="BB361" s="20">
        <v>1.7688012008955298E-2</v>
      </c>
      <c r="BC361" s="20">
        <v>7.1562284520849118E-2</v>
      </c>
      <c r="BD361" s="20">
        <v>3.1460662739298546E-2</v>
      </c>
      <c r="BE361" s="20">
        <v>9.555254800465731E-3</v>
      </c>
      <c r="BF361" s="20">
        <v>1.5592354912648912E-2</v>
      </c>
      <c r="BG361" s="20">
        <v>1.9193109685871922E-2</v>
      </c>
      <c r="BH361" s="20">
        <v>1.0678155177413691</v>
      </c>
      <c r="BI361" s="20">
        <v>3.4037150422912645E-2</v>
      </c>
      <c r="BJ361" s="20">
        <v>1.6579070468857017E-2</v>
      </c>
      <c r="BK361" s="20">
        <v>1.3953043465544931E-2</v>
      </c>
      <c r="BL361" s="20">
        <v>1.9467621281664349E-2</v>
      </c>
      <c r="BM361" s="20">
        <v>3.7253990154645228E-2</v>
      </c>
      <c r="BN361" s="20">
        <v>4.7958337280394912E-2</v>
      </c>
      <c r="BO361" s="20">
        <v>4.303906197673657E-2</v>
      </c>
      <c r="BP361" s="20">
        <v>3.1728600586029165E-2</v>
      </c>
      <c r="BQ361" s="20">
        <v>2.0593499526297052E-2</v>
      </c>
      <c r="BR361" s="20">
        <v>0</v>
      </c>
    </row>
    <row r="362" spans="1:70" x14ac:dyDescent="0.3">
      <c r="A362" s="7">
        <v>56</v>
      </c>
      <c r="B362" s="150" t="s">
        <v>161</v>
      </c>
      <c r="C362" s="150"/>
      <c r="D362" s="150"/>
      <c r="E362" s="150"/>
      <c r="F362" s="20">
        <v>1.0803628066181875E-3</v>
      </c>
      <c r="G362" s="20">
        <v>1.2041544553355189E-3</v>
      </c>
      <c r="H362" s="20">
        <v>1.2365601099679014E-2</v>
      </c>
      <c r="I362" s="20">
        <v>1.1254917291648383E-3</v>
      </c>
      <c r="J362" s="20">
        <v>1.3491291070904517E-3</v>
      </c>
      <c r="K362" s="20">
        <v>4.5858641763023977E-4</v>
      </c>
      <c r="L362" s="20">
        <v>1.3142822150665756E-3</v>
      </c>
      <c r="M362" s="20">
        <v>6.4459782511632065E-4</v>
      </c>
      <c r="N362" s="20">
        <v>1.5429392516919443E-3</v>
      </c>
      <c r="O362" s="20">
        <v>1.3204063157546697E-3</v>
      </c>
      <c r="P362" s="20">
        <v>3.7345794631100991E-4</v>
      </c>
      <c r="Q362" s="20">
        <v>2.2274209948803752E-4</v>
      </c>
      <c r="R362" s="20">
        <v>5.2585990938996453E-4</v>
      </c>
      <c r="S362" s="20">
        <v>8.2261133937348472E-4</v>
      </c>
      <c r="T362" s="20">
        <v>9.1547008842362724E-5</v>
      </c>
      <c r="U362" s="20">
        <v>6.3812400857252865E-4</v>
      </c>
      <c r="V362" s="20">
        <v>3.2003378912351876E-4</v>
      </c>
      <c r="W362" s="20">
        <v>3.7446229501313067E-4</v>
      </c>
      <c r="X362" s="20">
        <v>3.7341744295012506E-4</v>
      </c>
      <c r="Y362" s="20">
        <v>2.8654018793997056E-4</v>
      </c>
      <c r="Z362" s="20">
        <v>3.7355058301686075E-4</v>
      </c>
      <c r="AA362" s="20">
        <v>8.5197395573516843E-4</v>
      </c>
      <c r="AB362" s="20">
        <v>1.5916328079364826E-3</v>
      </c>
      <c r="AC362" s="20">
        <v>1.622763422511815E-3</v>
      </c>
      <c r="AD362" s="20">
        <v>1.5417977307466176E-3</v>
      </c>
      <c r="AE362" s="20">
        <v>2.252142893369558E-3</v>
      </c>
      <c r="AF362" s="20">
        <v>2.5266022274000647E-3</v>
      </c>
      <c r="AG362" s="20">
        <v>1.4837445356895246E-3</v>
      </c>
      <c r="AH362" s="20">
        <v>2.4430687242474824E-3</v>
      </c>
      <c r="AI362" s="20">
        <v>6.7241655733665581E-3</v>
      </c>
      <c r="AJ362" s="20">
        <v>1.9608743931188257E-3</v>
      </c>
      <c r="AK362" s="20">
        <v>2.1197786163730625E-3</v>
      </c>
      <c r="AL362" s="20">
        <v>1.936506167541372E-3</v>
      </c>
      <c r="AM362" s="20">
        <v>1.2845493131375201E-3</v>
      </c>
      <c r="AN362" s="20">
        <v>1.3038208381811948E-3</v>
      </c>
      <c r="AO362" s="20">
        <v>1.5989844126028682E-3</v>
      </c>
      <c r="AP362" s="20">
        <v>1.2413937443587846E-3</v>
      </c>
      <c r="AQ362" s="20">
        <v>1.9509304603006301E-3</v>
      </c>
      <c r="AR362" s="20">
        <v>1.3355497996724156E-3</v>
      </c>
      <c r="AS362" s="20">
        <v>2.4579569826067519E-2</v>
      </c>
      <c r="AT362" s="20">
        <v>6.0782755337406786E-3</v>
      </c>
      <c r="AU362" s="20">
        <v>1.1684272467000693E-3</v>
      </c>
      <c r="AV362" s="20">
        <v>6.9356975770026137E-4</v>
      </c>
      <c r="AW362" s="20">
        <v>7.5415515948640862E-4</v>
      </c>
      <c r="AX362" s="20">
        <v>1.0346962386662121E-3</v>
      </c>
      <c r="AY362" s="20">
        <v>1.589502502499468E-3</v>
      </c>
      <c r="AZ362" s="20">
        <v>6.7707255913925209E-3</v>
      </c>
      <c r="BA362" s="20">
        <v>1.7779649343169944E-3</v>
      </c>
      <c r="BB362" s="20">
        <v>3.251080298630353E-3</v>
      </c>
      <c r="BC362" s="20">
        <v>2.5453456704358501E-3</v>
      </c>
      <c r="BD362" s="20">
        <v>2.7174263300270654E-3</v>
      </c>
      <c r="BE362" s="20">
        <v>1.2637969276603921E-3</v>
      </c>
      <c r="BF362" s="20">
        <v>7.257350079863204E-4</v>
      </c>
      <c r="BG362" s="20">
        <v>2.0240361601090925E-3</v>
      </c>
      <c r="BH362" s="20">
        <v>4.0989397745618428E-3</v>
      </c>
      <c r="BI362" s="20">
        <v>1.0048219891955459</v>
      </c>
      <c r="BJ362" s="20">
        <v>5.9023281966979558E-4</v>
      </c>
      <c r="BK362" s="20">
        <v>8.5482575325135607E-4</v>
      </c>
      <c r="BL362" s="20">
        <v>7.0811006040385279E-4</v>
      </c>
      <c r="BM362" s="20">
        <v>1.8183477930873476E-3</v>
      </c>
      <c r="BN362" s="20">
        <v>1.6804628646851045E-3</v>
      </c>
      <c r="BO362" s="20">
        <v>3.2197455663349919E-3</v>
      </c>
      <c r="BP362" s="20">
        <v>1.3180406459259318E-3</v>
      </c>
      <c r="BQ362" s="20">
        <v>1.3550435582183077E-3</v>
      </c>
      <c r="BR362" s="20">
        <v>0</v>
      </c>
    </row>
    <row r="363" spans="1:70" x14ac:dyDescent="0.3">
      <c r="A363" s="7">
        <v>57</v>
      </c>
      <c r="B363" s="150" t="s">
        <v>162</v>
      </c>
      <c r="C363" s="150"/>
      <c r="D363" s="150"/>
      <c r="E363" s="150"/>
      <c r="F363" s="20">
        <v>8.6578495434521026E-4</v>
      </c>
      <c r="G363" s="20">
        <v>9.9800557635120087E-4</v>
      </c>
      <c r="H363" s="20">
        <v>9.3301717283363842E-4</v>
      </c>
      <c r="I363" s="20">
        <v>1.1643366954552272E-3</v>
      </c>
      <c r="J363" s="20">
        <v>1.1891435819368535E-3</v>
      </c>
      <c r="K363" s="20">
        <v>4.6916231791233515E-4</v>
      </c>
      <c r="L363" s="20">
        <v>1.0127149283323538E-3</v>
      </c>
      <c r="M363" s="20">
        <v>4.5218177060435812E-4</v>
      </c>
      <c r="N363" s="20">
        <v>1.3647370584632696E-3</v>
      </c>
      <c r="O363" s="20">
        <v>1.1944963238848059E-3</v>
      </c>
      <c r="P363" s="20">
        <v>3.0461127237835597E-4</v>
      </c>
      <c r="Q363" s="20">
        <v>2.3673475582219387E-4</v>
      </c>
      <c r="R363" s="20">
        <v>4.4831023422074262E-4</v>
      </c>
      <c r="S363" s="20">
        <v>1.1145753472416946E-3</v>
      </c>
      <c r="T363" s="20">
        <v>2.1235848290711168E-4</v>
      </c>
      <c r="U363" s="20">
        <v>5.815170463575977E-4</v>
      </c>
      <c r="V363" s="20">
        <v>3.8813943608240453E-4</v>
      </c>
      <c r="W363" s="20">
        <v>9.6819342108675336E-4</v>
      </c>
      <c r="X363" s="20">
        <v>3.2029751519773586E-4</v>
      </c>
      <c r="Y363" s="20">
        <v>2.066563958027619E-4</v>
      </c>
      <c r="Z363" s="20">
        <v>3.2816098854916909E-4</v>
      </c>
      <c r="AA363" s="20">
        <v>7.3209424665701575E-4</v>
      </c>
      <c r="AB363" s="20">
        <v>1.6081813126348917E-3</v>
      </c>
      <c r="AC363" s="20">
        <v>1.8478202176001974E-3</v>
      </c>
      <c r="AD363" s="20">
        <v>1.5318283556551013E-3</v>
      </c>
      <c r="AE363" s="20">
        <v>1.4875355808478708E-3</v>
      </c>
      <c r="AF363" s="20">
        <v>1.5377731915662304E-3</v>
      </c>
      <c r="AG363" s="20">
        <v>1.4161422861828209E-3</v>
      </c>
      <c r="AH363" s="20">
        <v>1.31950095733492E-3</v>
      </c>
      <c r="AI363" s="20">
        <v>2.0243357661881112E-3</v>
      </c>
      <c r="AJ363" s="20">
        <v>1.6828160245560603E-3</v>
      </c>
      <c r="AK363" s="20">
        <v>2.2835006755710504E-3</v>
      </c>
      <c r="AL363" s="20">
        <v>2.1933394525213983E-3</v>
      </c>
      <c r="AM363" s="20">
        <v>1.1018430660442141E-3</v>
      </c>
      <c r="AN363" s="20">
        <v>4.4439880777844675E-3</v>
      </c>
      <c r="AO363" s="20">
        <v>1.4924352427552966E-3</v>
      </c>
      <c r="AP363" s="20">
        <v>1.6115549284443577E-3</v>
      </c>
      <c r="AQ363" s="20">
        <v>1.7997296795388309E-3</v>
      </c>
      <c r="AR363" s="20">
        <v>2.6673390219367618E-3</v>
      </c>
      <c r="AS363" s="20">
        <v>1.4428233333319876E-3</v>
      </c>
      <c r="AT363" s="20">
        <v>3.0530270099724081E-3</v>
      </c>
      <c r="AU363" s="20">
        <v>2.8394573938194394E-3</v>
      </c>
      <c r="AV363" s="20">
        <v>5.6619574790255124E-3</v>
      </c>
      <c r="AW363" s="20">
        <v>1.3999572227943345E-2</v>
      </c>
      <c r="AX363" s="20">
        <v>4.904962546109253E-3</v>
      </c>
      <c r="AY363" s="20">
        <v>7.1713769087886395E-4</v>
      </c>
      <c r="AZ363" s="20">
        <v>1.6693361421703597E-3</v>
      </c>
      <c r="BA363" s="20">
        <v>2.0589869786192699E-3</v>
      </c>
      <c r="BB363" s="20">
        <v>1.6346557153491884E-2</v>
      </c>
      <c r="BC363" s="20">
        <v>2.8768669056674278E-3</v>
      </c>
      <c r="BD363" s="20">
        <v>1.9158541714450362E-3</v>
      </c>
      <c r="BE363" s="20">
        <v>8.5876059636111866E-4</v>
      </c>
      <c r="BF363" s="20">
        <v>2.6515139091125976E-3</v>
      </c>
      <c r="BG363" s="20">
        <v>3.1512798254313547E-3</v>
      </c>
      <c r="BH363" s="20">
        <v>1.9499718958370447E-3</v>
      </c>
      <c r="BI363" s="20">
        <v>8.0360180061401967E-3</v>
      </c>
      <c r="BJ363" s="20">
        <v>1.0159094762322731</v>
      </c>
      <c r="BK363" s="20">
        <v>2.3802430382836516E-3</v>
      </c>
      <c r="BL363" s="20">
        <v>7.4450515710358855E-3</v>
      </c>
      <c r="BM363" s="20">
        <v>1.9581944203073726E-3</v>
      </c>
      <c r="BN363" s="20">
        <v>5.0250269239096789E-3</v>
      </c>
      <c r="BO363" s="20">
        <v>2.2688128786843131E-2</v>
      </c>
      <c r="BP363" s="20">
        <v>1.6356614686740933E-3</v>
      </c>
      <c r="BQ363" s="20">
        <v>1.1531652034985893E-3</v>
      </c>
      <c r="BR363" s="20">
        <v>0</v>
      </c>
    </row>
    <row r="364" spans="1:70" x14ac:dyDescent="0.3">
      <c r="A364" s="7">
        <v>58</v>
      </c>
      <c r="B364" s="150" t="s">
        <v>163</v>
      </c>
      <c r="C364" s="150"/>
      <c r="D364" s="150"/>
      <c r="E364" s="150"/>
      <c r="F364" s="20">
        <v>2.0680225383827515E-4</v>
      </c>
      <c r="G364" s="20">
        <v>3.3757825297095831E-4</v>
      </c>
      <c r="H364" s="20">
        <v>4.9146042796168214E-4</v>
      </c>
      <c r="I364" s="20">
        <v>7.5406254541165476E-4</v>
      </c>
      <c r="J364" s="20">
        <v>3.952982279518979E-4</v>
      </c>
      <c r="K364" s="20">
        <v>1.7487275935308854E-4</v>
      </c>
      <c r="L364" s="20">
        <v>3.0809344277678904E-4</v>
      </c>
      <c r="M364" s="20">
        <v>2.1477643993173773E-4</v>
      </c>
      <c r="N364" s="20">
        <v>8.4753122075746949E-4</v>
      </c>
      <c r="O364" s="20">
        <v>7.6004083062517446E-4</v>
      </c>
      <c r="P364" s="20">
        <v>1.1625112703096982E-4</v>
      </c>
      <c r="Q364" s="20">
        <v>4.6379768279262573E-5</v>
      </c>
      <c r="R364" s="20">
        <v>1.6681290759420822E-4</v>
      </c>
      <c r="S364" s="20">
        <v>3.2296311392946791E-4</v>
      </c>
      <c r="T364" s="20">
        <v>3.6529045419551613E-5</v>
      </c>
      <c r="U364" s="20">
        <v>2.1106399990182938E-4</v>
      </c>
      <c r="V364" s="20">
        <v>1.3830244190346698E-4</v>
      </c>
      <c r="W364" s="20">
        <v>2.0143028597809158E-4</v>
      </c>
      <c r="X364" s="20">
        <v>1.0437879244357679E-4</v>
      </c>
      <c r="Y364" s="20">
        <v>1.8546784692642895E-4</v>
      </c>
      <c r="Z364" s="20">
        <v>8.0759251575337402E-5</v>
      </c>
      <c r="AA364" s="20">
        <v>3.2141749247523117E-4</v>
      </c>
      <c r="AB364" s="20">
        <v>5.2229577257297281E-4</v>
      </c>
      <c r="AC364" s="20">
        <v>1.0691738350087536E-3</v>
      </c>
      <c r="AD364" s="20">
        <v>6.6778703276625519E-4</v>
      </c>
      <c r="AE364" s="20">
        <v>5.5877318170204798E-4</v>
      </c>
      <c r="AF364" s="20">
        <v>2.8273894957510614E-4</v>
      </c>
      <c r="AG364" s="20">
        <v>6.5610090548164502E-4</v>
      </c>
      <c r="AH364" s="20">
        <v>5.8788424442879014E-4</v>
      </c>
      <c r="AI364" s="20">
        <v>6.1342526069565529E-4</v>
      </c>
      <c r="AJ364" s="20">
        <v>7.1499006885771422E-4</v>
      </c>
      <c r="AK364" s="20">
        <v>1.2645053654998326E-3</v>
      </c>
      <c r="AL364" s="20">
        <v>5.1679350338043628E-4</v>
      </c>
      <c r="AM364" s="20">
        <v>6.3931270668312625E-4</v>
      </c>
      <c r="AN364" s="20">
        <v>5.7400468779981529E-4</v>
      </c>
      <c r="AO364" s="20">
        <v>4.5481004902102676E-4</v>
      </c>
      <c r="AP364" s="20">
        <v>2.4081373144338E-3</v>
      </c>
      <c r="AQ364" s="20">
        <v>1.3817529548144781E-3</v>
      </c>
      <c r="AR364" s="20">
        <v>5.9052954914250611E-4</v>
      </c>
      <c r="AS364" s="20">
        <v>3.704531455973492E-4</v>
      </c>
      <c r="AT364" s="20">
        <v>2.0829468478775019E-4</v>
      </c>
      <c r="AU364" s="20">
        <v>7.656136017673515E-4</v>
      </c>
      <c r="AV364" s="20">
        <v>6.9508745801949326E-4</v>
      </c>
      <c r="AW364" s="20">
        <v>2.2334385462292579E-3</v>
      </c>
      <c r="AX364" s="20">
        <v>5.8091949186182459E-3</v>
      </c>
      <c r="AY364" s="20">
        <v>2.0531400260551238E-4</v>
      </c>
      <c r="AZ364" s="20">
        <v>6.8539320288578105E-4</v>
      </c>
      <c r="BA364" s="20">
        <v>1.0479936002824525E-3</v>
      </c>
      <c r="BB364" s="20">
        <v>8.7123321684205793E-3</v>
      </c>
      <c r="BC364" s="20">
        <v>1.2292548158154214E-3</v>
      </c>
      <c r="BD364" s="20">
        <v>1.1025917873157438E-3</v>
      </c>
      <c r="BE364" s="20">
        <v>6.4947693863124452E-4</v>
      </c>
      <c r="BF364" s="20">
        <v>1.9484183497924441E-3</v>
      </c>
      <c r="BG364" s="20">
        <v>6.3487676095069334E-4</v>
      </c>
      <c r="BH364" s="20">
        <v>1.4785576979334382E-3</v>
      </c>
      <c r="BI364" s="20">
        <v>5.0247694879342582E-3</v>
      </c>
      <c r="BJ364" s="20">
        <v>4.2946125215665163E-3</v>
      </c>
      <c r="BK364" s="20">
        <v>1.0373592616908149</v>
      </c>
      <c r="BL364" s="20">
        <v>1.1229052197872584E-2</v>
      </c>
      <c r="BM364" s="20">
        <v>5.305180759785197E-4</v>
      </c>
      <c r="BN364" s="20">
        <v>4.1083942111788223E-3</v>
      </c>
      <c r="BO364" s="20">
        <v>2.2870292124771256E-3</v>
      </c>
      <c r="BP364" s="20">
        <v>7.1020862696706229E-4</v>
      </c>
      <c r="BQ364" s="20">
        <v>6.9959370465821208E-4</v>
      </c>
      <c r="BR364" s="20">
        <v>0</v>
      </c>
    </row>
    <row r="365" spans="1:70" x14ac:dyDescent="0.3">
      <c r="A365" s="7">
        <v>59</v>
      </c>
      <c r="B365" s="150" t="s">
        <v>164</v>
      </c>
      <c r="C365" s="150"/>
      <c r="D365" s="150"/>
      <c r="E365" s="150"/>
      <c r="F365" s="20">
        <v>1.4660097296244986E-6</v>
      </c>
      <c r="G365" s="20">
        <v>1.6498714613482555E-6</v>
      </c>
      <c r="H365" s="20">
        <v>1.6239570320913974E-5</v>
      </c>
      <c r="I365" s="20">
        <v>1.5557311725741962E-6</v>
      </c>
      <c r="J365" s="20">
        <v>1.8767828180902599E-6</v>
      </c>
      <c r="K365" s="20">
        <v>6.4281493633894953E-7</v>
      </c>
      <c r="L365" s="20">
        <v>1.7891580231548127E-6</v>
      </c>
      <c r="M365" s="20">
        <v>8.7179377665206305E-7</v>
      </c>
      <c r="N365" s="20">
        <v>2.1354797637627456E-6</v>
      </c>
      <c r="O365" s="20">
        <v>1.8888481000941299E-6</v>
      </c>
      <c r="P365" s="20">
        <v>5.1451204773754164E-7</v>
      </c>
      <c r="Q365" s="20">
        <v>3.1923503908058708E-7</v>
      </c>
      <c r="R365" s="20">
        <v>7.2976913178439891E-7</v>
      </c>
      <c r="S365" s="20">
        <v>1.1749633934148353E-6</v>
      </c>
      <c r="T365" s="20">
        <v>1.2853662724327401E-7</v>
      </c>
      <c r="U365" s="20">
        <v>8.7151307181603866E-7</v>
      </c>
      <c r="V365" s="20">
        <v>4.5589467440887138E-7</v>
      </c>
      <c r="W365" s="20">
        <v>6.5400937307738283E-7</v>
      </c>
      <c r="X365" s="20">
        <v>5.2452304888131648E-7</v>
      </c>
      <c r="Y365" s="20">
        <v>4.286338919927147E-7</v>
      </c>
      <c r="Z365" s="20">
        <v>5.493083481694594E-7</v>
      </c>
      <c r="AA365" s="20">
        <v>1.1628078236154544E-6</v>
      </c>
      <c r="AB365" s="20">
        <v>2.2292409366038083E-6</v>
      </c>
      <c r="AC365" s="20">
        <v>2.2032951284422921E-6</v>
      </c>
      <c r="AD365" s="20">
        <v>2.1062263781997105E-6</v>
      </c>
      <c r="AE365" s="20">
        <v>3.0715152659560524E-6</v>
      </c>
      <c r="AF365" s="20">
        <v>3.4587523440978037E-6</v>
      </c>
      <c r="AG365" s="20">
        <v>2.0253961887845582E-6</v>
      </c>
      <c r="AH365" s="20">
        <v>3.2650315923868153E-6</v>
      </c>
      <c r="AI365" s="20">
        <v>8.8817745083090075E-6</v>
      </c>
      <c r="AJ365" s="20">
        <v>2.6380789580566554E-6</v>
      </c>
      <c r="AK365" s="20">
        <v>2.868365622860668E-6</v>
      </c>
      <c r="AL365" s="20">
        <v>2.6267959255272407E-6</v>
      </c>
      <c r="AM365" s="20">
        <v>1.7902430239514339E-6</v>
      </c>
      <c r="AN365" s="20">
        <v>1.8404796094935973E-6</v>
      </c>
      <c r="AO365" s="20">
        <v>2.1490366489822453E-6</v>
      </c>
      <c r="AP365" s="20">
        <v>1.7037316159192066E-6</v>
      </c>
      <c r="AQ365" s="20">
        <v>2.7092727412325683E-6</v>
      </c>
      <c r="AR365" s="20">
        <v>1.8615026526138202E-6</v>
      </c>
      <c r="AS365" s="20">
        <v>3.2302908938198704E-5</v>
      </c>
      <c r="AT365" s="20">
        <v>8.0470340157628129E-6</v>
      </c>
      <c r="AU365" s="20">
        <v>1.697118775556048E-6</v>
      </c>
      <c r="AV365" s="20">
        <v>1.0478700985738599E-6</v>
      </c>
      <c r="AW365" s="20">
        <v>1.316019094953534E-6</v>
      </c>
      <c r="AX365" s="20">
        <v>1.5030070901080525E-6</v>
      </c>
      <c r="AY365" s="20">
        <v>2.1063193267025576E-6</v>
      </c>
      <c r="AZ365" s="20">
        <v>8.9289778292725103E-6</v>
      </c>
      <c r="BA365" s="20">
        <v>2.4796283961060015E-6</v>
      </c>
      <c r="BB365" s="20">
        <v>2.3541759905799565E-5</v>
      </c>
      <c r="BC365" s="20">
        <v>3.5703025435910278E-6</v>
      </c>
      <c r="BD365" s="20">
        <v>4.043037199486363E-6</v>
      </c>
      <c r="BE365" s="20">
        <v>1.8283822183748477E-6</v>
      </c>
      <c r="BF365" s="20">
        <v>1.1328883318585148E-6</v>
      </c>
      <c r="BG365" s="20">
        <v>2.8346466920345368E-6</v>
      </c>
      <c r="BH365" s="20">
        <v>5.4770622138117367E-6</v>
      </c>
      <c r="BI365" s="20">
        <v>1.3146383500532233E-3</v>
      </c>
      <c r="BJ365" s="20">
        <v>2.1605344637439054E-5</v>
      </c>
      <c r="BK365" s="20">
        <v>4.99797463075133E-6</v>
      </c>
      <c r="BL365" s="20">
        <v>1.0033190262798677</v>
      </c>
      <c r="BM365" s="20">
        <v>1.429531130678261E-5</v>
      </c>
      <c r="BN365" s="20">
        <v>2.6766870775445479E-6</v>
      </c>
      <c r="BO365" s="20">
        <v>4.8576171944842362E-6</v>
      </c>
      <c r="BP365" s="20">
        <v>1.7870879119253201E-6</v>
      </c>
      <c r="BQ365" s="20">
        <v>7.0520732019732952E-5</v>
      </c>
      <c r="BR365" s="20">
        <v>0</v>
      </c>
    </row>
    <row r="366" spans="1:70" x14ac:dyDescent="0.3">
      <c r="A366" s="7">
        <v>60</v>
      </c>
      <c r="B366" s="150" t="s">
        <v>165</v>
      </c>
      <c r="C366" s="150"/>
      <c r="D366" s="150"/>
      <c r="E366" s="150"/>
      <c r="F366" s="20">
        <v>5.6817599522872022E-5</v>
      </c>
      <c r="G366" s="20">
        <v>1.2349398500694251E-4</v>
      </c>
      <c r="H366" s="20">
        <v>9.8680961435112578E-5</v>
      </c>
      <c r="I366" s="20">
        <v>5.6593196814016465E-5</v>
      </c>
      <c r="J366" s="20">
        <v>7.6231148634043274E-5</v>
      </c>
      <c r="K366" s="20">
        <v>2.9746952567692063E-5</v>
      </c>
      <c r="L366" s="20">
        <v>3.0483505049329308E-4</v>
      </c>
      <c r="M366" s="20">
        <v>4.2571283587774563E-5</v>
      </c>
      <c r="N366" s="20">
        <v>3.2283083483256448E-4</v>
      </c>
      <c r="O366" s="20">
        <v>7.805466596360789E-5</v>
      </c>
      <c r="P366" s="20">
        <v>1.8714692061001883E-5</v>
      </c>
      <c r="Q366" s="20">
        <v>1.6209952923916289E-5</v>
      </c>
      <c r="R366" s="20">
        <v>4.0051407111786807E-5</v>
      </c>
      <c r="S366" s="20">
        <v>5.3888644839419535E-5</v>
      </c>
      <c r="T366" s="20">
        <v>5.5108432043030737E-6</v>
      </c>
      <c r="U366" s="20">
        <v>4.0872211743117531E-5</v>
      </c>
      <c r="V366" s="20">
        <v>3.1589989266935058E-5</v>
      </c>
      <c r="W366" s="20">
        <v>2.9609334851048735E-5</v>
      </c>
      <c r="X366" s="20">
        <v>2.7170318009493273E-5</v>
      </c>
      <c r="Y366" s="20">
        <v>2.0881275268272059E-5</v>
      </c>
      <c r="Z366" s="20">
        <v>3.2831569684598551E-5</v>
      </c>
      <c r="AA366" s="20">
        <v>1.4210555480308713E-4</v>
      </c>
      <c r="AB366" s="20">
        <v>1.416281908685696E-4</v>
      </c>
      <c r="AC366" s="20">
        <v>7.2946792279922958E-5</v>
      </c>
      <c r="AD366" s="20">
        <v>6.4143409029817258E-5</v>
      </c>
      <c r="AE366" s="20">
        <v>1.0253785529824057E-4</v>
      </c>
      <c r="AF366" s="20">
        <v>8.5045507352039595E-5</v>
      </c>
      <c r="AG366" s="20">
        <v>1.1283763171480464E-4</v>
      </c>
      <c r="AH366" s="20">
        <v>1.1417279642727484E-4</v>
      </c>
      <c r="AI366" s="20">
        <v>4.0975029422764725E-4</v>
      </c>
      <c r="AJ366" s="20">
        <v>3.4339935113277057E-4</v>
      </c>
      <c r="AK366" s="20">
        <v>2.0199750657624759E-4</v>
      </c>
      <c r="AL366" s="20">
        <v>1.1778929593466906E-4</v>
      </c>
      <c r="AM366" s="20">
        <v>2.9729174145553308E-4</v>
      </c>
      <c r="AN366" s="20">
        <v>1.4538097179166986E-4</v>
      </c>
      <c r="AO366" s="20">
        <v>1.0728700139366457E-4</v>
      </c>
      <c r="AP366" s="20">
        <v>4.3446574771791296E-4</v>
      </c>
      <c r="AQ366" s="20">
        <v>3.115993222658809E-3</v>
      </c>
      <c r="AR366" s="20">
        <v>1.7950493360563817E-3</v>
      </c>
      <c r="AS366" s="20">
        <v>8.1104595601534987E-3</v>
      </c>
      <c r="AT366" s="20">
        <v>4.7777515061225043E-4</v>
      </c>
      <c r="AU366" s="20">
        <v>6.0179717765321988E-4</v>
      </c>
      <c r="AV366" s="20">
        <v>2.4459050054767524E-4</v>
      </c>
      <c r="AW366" s="20">
        <v>1.7708188224607822E-4</v>
      </c>
      <c r="AX366" s="20">
        <v>2.1056104750246703E-4</v>
      </c>
      <c r="AY366" s="20">
        <v>9.5229858999068591E-5</v>
      </c>
      <c r="AZ366" s="20">
        <v>5.8905064720427415E-4</v>
      </c>
      <c r="BA366" s="20">
        <v>1.8341807118118239E-4</v>
      </c>
      <c r="BB366" s="20">
        <v>1.077104532978899E-3</v>
      </c>
      <c r="BC366" s="20">
        <v>4.926530288716373E-4</v>
      </c>
      <c r="BD366" s="20">
        <v>2.5840543932599238E-4</v>
      </c>
      <c r="BE366" s="20">
        <v>1.1951696080719238E-4</v>
      </c>
      <c r="BF366" s="20">
        <v>1.6463208495752998E-4</v>
      </c>
      <c r="BG366" s="20">
        <v>7.5210455756481989E-3</v>
      </c>
      <c r="BH366" s="20">
        <v>2.0108812365930611E-3</v>
      </c>
      <c r="BI366" s="20">
        <v>1.4820103036525655E-3</v>
      </c>
      <c r="BJ366" s="20">
        <v>1.6433260466839127E-3</v>
      </c>
      <c r="BK366" s="20">
        <v>2.2222753123288984E-4</v>
      </c>
      <c r="BL366" s="20">
        <v>2.4073565134593369E-3</v>
      </c>
      <c r="BM366" s="20">
        <v>1.1551896923343623</v>
      </c>
      <c r="BN366" s="20">
        <v>1.7684955928173235E-2</v>
      </c>
      <c r="BO366" s="20">
        <v>3.737268429755978E-3</v>
      </c>
      <c r="BP366" s="20">
        <v>2.5353158660366292E-4</v>
      </c>
      <c r="BQ366" s="20">
        <v>1.4707496925531243E-4</v>
      </c>
      <c r="BR366" s="20">
        <v>0</v>
      </c>
    </row>
    <row r="367" spans="1:70" x14ac:dyDescent="0.3">
      <c r="A367" s="7">
        <v>61</v>
      </c>
      <c r="B367" s="150" t="s">
        <v>166</v>
      </c>
      <c r="C367" s="150"/>
      <c r="D367" s="150"/>
      <c r="E367" s="150"/>
      <c r="F367" s="20">
        <v>9.7133225847544571E-5</v>
      </c>
      <c r="G367" s="20">
        <v>6.3511526166291281E-4</v>
      </c>
      <c r="H367" s="20">
        <v>2.1057674563909514E-4</v>
      </c>
      <c r="I367" s="20">
        <v>2.3685759665039252E-4</v>
      </c>
      <c r="J367" s="20">
        <v>1.0974536529189196E-4</v>
      </c>
      <c r="K367" s="20">
        <v>3.6778668802244271E-5</v>
      </c>
      <c r="L367" s="20">
        <v>3.141342619843063E-4</v>
      </c>
      <c r="M367" s="20">
        <v>1.6111306676493139E-4</v>
      </c>
      <c r="N367" s="20">
        <v>1.7142706832799402E-4</v>
      </c>
      <c r="O367" s="20">
        <v>2.2185884676771781E-4</v>
      </c>
      <c r="P367" s="20">
        <v>5.4178037872134555E-5</v>
      </c>
      <c r="Q367" s="20">
        <v>3.8668142394787052E-5</v>
      </c>
      <c r="R367" s="20">
        <v>8.7689651495853285E-5</v>
      </c>
      <c r="S367" s="20">
        <v>1.1750824286121374E-4</v>
      </c>
      <c r="T367" s="20">
        <v>1.0502496996469587E-5</v>
      </c>
      <c r="U367" s="20">
        <v>7.5885232861522487E-5</v>
      </c>
      <c r="V367" s="20">
        <v>5.901747138686799E-5</v>
      </c>
      <c r="W367" s="20">
        <v>3.9338077590538366E-5</v>
      </c>
      <c r="X367" s="20">
        <v>7.3676010361954557E-5</v>
      </c>
      <c r="Y367" s="20">
        <v>2.4601577766879116E-5</v>
      </c>
      <c r="Z367" s="20">
        <v>7.9175899939293781E-5</v>
      </c>
      <c r="AA367" s="20">
        <v>1.3408805904867291E-4</v>
      </c>
      <c r="AB367" s="20">
        <v>1.6445273472119753E-4</v>
      </c>
      <c r="AC367" s="20">
        <v>1.1098996011740366E-4</v>
      </c>
      <c r="AD367" s="20">
        <v>2.2948666868602495E-4</v>
      </c>
      <c r="AE367" s="20">
        <v>1.7323546364832141E-4</v>
      </c>
      <c r="AF367" s="20">
        <v>7.7779382356569165E-5</v>
      </c>
      <c r="AG367" s="20">
        <v>2.2242165331115728E-4</v>
      </c>
      <c r="AH367" s="20">
        <v>1.5622682651295807E-4</v>
      </c>
      <c r="AI367" s="20">
        <v>1.5605790884072981E-3</v>
      </c>
      <c r="AJ367" s="20">
        <v>7.469989381691883E-4</v>
      </c>
      <c r="AK367" s="20">
        <v>7.3976974140631149E-4</v>
      </c>
      <c r="AL367" s="20">
        <v>3.5367329017966576E-4</v>
      </c>
      <c r="AM367" s="20">
        <v>1.2366924136340277E-2</v>
      </c>
      <c r="AN367" s="20">
        <v>3.1742415483353468E-4</v>
      </c>
      <c r="AO367" s="20">
        <v>9.3024316666979947E-4</v>
      </c>
      <c r="AP367" s="20">
        <v>1.4368607269920559E-4</v>
      </c>
      <c r="AQ367" s="20">
        <v>1.421343786885268E-4</v>
      </c>
      <c r="AR367" s="20">
        <v>7.9840804067004124E-4</v>
      </c>
      <c r="AS367" s="20">
        <v>1.5473498234240624E-3</v>
      </c>
      <c r="AT367" s="20">
        <v>2.2254416725764955E-4</v>
      </c>
      <c r="AU367" s="20">
        <v>4.7544655765577337E-4</v>
      </c>
      <c r="AV367" s="20">
        <v>2.4959680519629255E-4</v>
      </c>
      <c r="AW367" s="20">
        <v>3.7434920818841887E-4</v>
      </c>
      <c r="AX367" s="20">
        <v>3.4611063699400112E-4</v>
      </c>
      <c r="AY367" s="20">
        <v>5.5607560998451474E-5</v>
      </c>
      <c r="AZ367" s="20">
        <v>1.9863741172223968E-4</v>
      </c>
      <c r="BA367" s="20">
        <v>1.2547185799268964E-4</v>
      </c>
      <c r="BB367" s="20">
        <v>1.0121164242800915E-3</v>
      </c>
      <c r="BC367" s="20">
        <v>1.3755115096852227E-3</v>
      </c>
      <c r="BD367" s="20">
        <v>1.8678821085278129E-4</v>
      </c>
      <c r="BE367" s="20">
        <v>1.8181328826548347E-4</v>
      </c>
      <c r="BF367" s="20">
        <v>1.0484552113631936E-4</v>
      </c>
      <c r="BG367" s="20">
        <v>7.9359021925332052E-4</v>
      </c>
      <c r="BH367" s="20">
        <v>1.2722219966511427E-4</v>
      </c>
      <c r="BI367" s="20">
        <v>1.0305112991048485E-3</v>
      </c>
      <c r="BJ367" s="20">
        <v>5.7684780158672351E-3</v>
      </c>
      <c r="BK367" s="20">
        <v>1.5514458599035297E-4</v>
      </c>
      <c r="BL367" s="20">
        <v>5.528482488342762E-4</v>
      </c>
      <c r="BM367" s="20">
        <v>2.5065775215560482E-3</v>
      </c>
      <c r="BN367" s="20">
        <v>1.1116457566756817</v>
      </c>
      <c r="BO367" s="20">
        <v>1.7348337766227096E-3</v>
      </c>
      <c r="BP367" s="20">
        <v>2.3901356922355994E-3</v>
      </c>
      <c r="BQ367" s="20">
        <v>3.1946491797166167E-4</v>
      </c>
      <c r="BR367" s="20">
        <v>0</v>
      </c>
    </row>
    <row r="368" spans="1:70" x14ac:dyDescent="0.3">
      <c r="A368" s="7">
        <v>62</v>
      </c>
      <c r="B368" s="150" t="s">
        <v>167</v>
      </c>
      <c r="C368" s="150"/>
      <c r="D368" s="150"/>
      <c r="E368" s="150"/>
      <c r="F368" s="20">
        <v>2.5133869299942841E-3</v>
      </c>
      <c r="G368" s="20">
        <v>2.2149965948529563E-3</v>
      </c>
      <c r="H368" s="20">
        <v>1.5318797676125602E-3</v>
      </c>
      <c r="I368" s="20">
        <v>5.0809147548413298E-4</v>
      </c>
      <c r="J368" s="20">
        <v>4.5717965140452763E-3</v>
      </c>
      <c r="K368" s="20">
        <v>2.0936523633024252E-4</v>
      </c>
      <c r="L368" s="20">
        <v>8.7263228346317679E-4</v>
      </c>
      <c r="M368" s="20">
        <v>2.9471416295852792E-4</v>
      </c>
      <c r="N368" s="20">
        <v>5.8918276218492547E-4</v>
      </c>
      <c r="O368" s="20">
        <v>4.662948144257732E-4</v>
      </c>
      <c r="P368" s="20">
        <v>1.8488179674251023E-4</v>
      </c>
      <c r="Q368" s="20">
        <v>3.5672953766966548E-5</v>
      </c>
      <c r="R368" s="20">
        <v>1.7282992079295482E-4</v>
      </c>
      <c r="S368" s="20">
        <v>5.2353250777684407E-4</v>
      </c>
      <c r="T368" s="20">
        <v>1.5000747612493206E-4</v>
      </c>
      <c r="U368" s="20">
        <v>1.9806909668462858E-4</v>
      </c>
      <c r="V368" s="20">
        <v>4.458029162228216E-5</v>
      </c>
      <c r="W368" s="20">
        <v>7.6192522921394952E-5</v>
      </c>
      <c r="X368" s="20">
        <v>1.3087732325753391E-4</v>
      </c>
      <c r="Y368" s="20">
        <v>8.918929857772525E-5</v>
      </c>
      <c r="Z368" s="20">
        <v>1.3413930488557991E-4</v>
      </c>
      <c r="AA368" s="20">
        <v>4.2026470939868156E-4</v>
      </c>
      <c r="AB368" s="20">
        <v>3.1153422401380688E-4</v>
      </c>
      <c r="AC368" s="20">
        <v>5.4155054195613201E-4</v>
      </c>
      <c r="AD368" s="20">
        <v>5.7143372134023493E-4</v>
      </c>
      <c r="AE368" s="20">
        <v>4.5809322306911409E-4</v>
      </c>
      <c r="AF368" s="20">
        <v>7.146168373769943E-4</v>
      </c>
      <c r="AG368" s="20">
        <v>6.0084994839243264E-3</v>
      </c>
      <c r="AH368" s="20">
        <v>5.2480999154435909E-4</v>
      </c>
      <c r="AI368" s="20">
        <v>1.4531434586652009E-3</v>
      </c>
      <c r="AJ368" s="20">
        <v>1.5103834080292308E-3</v>
      </c>
      <c r="AK368" s="20">
        <v>2.8129563785511675E-3</v>
      </c>
      <c r="AL368" s="20">
        <v>3.129356809021564E-3</v>
      </c>
      <c r="AM368" s="20">
        <v>3.5954732422578624E-4</v>
      </c>
      <c r="AN368" s="20">
        <v>5.5374399081587443E-4</v>
      </c>
      <c r="AO368" s="20">
        <v>8.0241196937718751E-4</v>
      </c>
      <c r="AP368" s="20">
        <v>6.6874181470097242E-4</v>
      </c>
      <c r="AQ368" s="20">
        <v>1.5118490191980477E-3</v>
      </c>
      <c r="AR368" s="20">
        <v>6.1323150440030006E-4</v>
      </c>
      <c r="AS368" s="20">
        <v>1.2367074671350588E-3</v>
      </c>
      <c r="AT368" s="20">
        <v>1.3917131947619376E-4</v>
      </c>
      <c r="AU368" s="20">
        <v>3.257141240084944E-4</v>
      </c>
      <c r="AV368" s="20">
        <v>2.0168118661749565E-4</v>
      </c>
      <c r="AW368" s="20">
        <v>4.1956403532183469E-4</v>
      </c>
      <c r="AX368" s="20">
        <v>7.7938918581096732E-4</v>
      </c>
      <c r="AY368" s="20">
        <v>2.5333265293623464E-4</v>
      </c>
      <c r="AZ368" s="20">
        <v>8.1866398928049765E-4</v>
      </c>
      <c r="BA368" s="20">
        <v>5.3219834233603723E-4</v>
      </c>
      <c r="BB368" s="20">
        <v>5.1671752142357552E-4</v>
      </c>
      <c r="BC368" s="20">
        <v>8.9731721838507317E-4</v>
      </c>
      <c r="BD368" s="20">
        <v>3.3554922976382714E-4</v>
      </c>
      <c r="BE368" s="20">
        <v>2.1585456059980811E-4</v>
      </c>
      <c r="BF368" s="20">
        <v>1.4779243567344315E-4</v>
      </c>
      <c r="BG368" s="20">
        <v>5.3777137603818652E-3</v>
      </c>
      <c r="BH368" s="20">
        <v>1.0173388598903122E-3</v>
      </c>
      <c r="BI368" s="20">
        <v>2.3818599138376439E-4</v>
      </c>
      <c r="BJ368" s="20">
        <v>9.3227502697389977E-4</v>
      </c>
      <c r="BK368" s="20">
        <v>1.8741613481635947E-4</v>
      </c>
      <c r="BL368" s="20">
        <v>3.8952326432498141E-4</v>
      </c>
      <c r="BM368" s="20">
        <v>4.6108874808448299E-4</v>
      </c>
      <c r="BN368" s="20">
        <v>4.7972774269621035E-4</v>
      </c>
      <c r="BO368" s="20">
        <v>1.0006329142713752</v>
      </c>
      <c r="BP368" s="20">
        <v>2.8470822836583573E-4</v>
      </c>
      <c r="BQ368" s="20">
        <v>3.0665772341355383E-4</v>
      </c>
      <c r="BR368" s="20">
        <v>0</v>
      </c>
    </row>
    <row r="369" spans="1:70" x14ac:dyDescent="0.3">
      <c r="A369" s="7">
        <v>63</v>
      </c>
      <c r="B369" s="150" t="s">
        <v>168</v>
      </c>
      <c r="C369" s="150"/>
      <c r="D369" s="150"/>
      <c r="E369" s="150"/>
      <c r="F369" s="20">
        <v>4.4675910177652945E-4</v>
      </c>
      <c r="G369" s="20">
        <v>8.8720233568017693E-4</v>
      </c>
      <c r="H369" s="20">
        <v>6.0573787286462451E-4</v>
      </c>
      <c r="I369" s="20">
        <v>2.2864900239532958E-4</v>
      </c>
      <c r="J369" s="20">
        <v>3.33931170686568E-4</v>
      </c>
      <c r="K369" s="20">
        <v>2.8236547598286036E-4</v>
      </c>
      <c r="L369" s="20">
        <v>5.9499444857259894E-4</v>
      </c>
      <c r="M369" s="20">
        <v>1.9385323329865629E-4</v>
      </c>
      <c r="N369" s="20">
        <v>7.4667382127778493E-4</v>
      </c>
      <c r="O369" s="20">
        <v>2.5091548764550334E-4</v>
      </c>
      <c r="P369" s="20">
        <v>1.7932277625501176E-4</v>
      </c>
      <c r="Q369" s="20">
        <v>6.9988754962496322E-5</v>
      </c>
      <c r="R369" s="20">
        <v>1.7667591275333323E-4</v>
      </c>
      <c r="S369" s="20">
        <v>3.6758509022162062E-4</v>
      </c>
      <c r="T369" s="20">
        <v>3.6560163142854283E-5</v>
      </c>
      <c r="U369" s="20">
        <v>2.6363439746205383E-4</v>
      </c>
      <c r="V369" s="20">
        <v>2.6091509593470603E-3</v>
      </c>
      <c r="W369" s="20">
        <v>6.6267960412550678E-4</v>
      </c>
      <c r="X369" s="20">
        <v>3.2410306639133612E-4</v>
      </c>
      <c r="Y369" s="20">
        <v>1.5998928377586934E-4</v>
      </c>
      <c r="Z369" s="20">
        <v>8.1923267590559054E-4</v>
      </c>
      <c r="AA369" s="20">
        <v>2.8235555970956681E-4</v>
      </c>
      <c r="AB369" s="20">
        <v>3.7883491839495219E-4</v>
      </c>
      <c r="AC369" s="20">
        <v>2.7157139804476167E-4</v>
      </c>
      <c r="AD369" s="20">
        <v>3.0880671004514015E-4</v>
      </c>
      <c r="AE369" s="20">
        <v>3.3699898876521334E-4</v>
      </c>
      <c r="AF369" s="20">
        <v>3.4946673617283546E-4</v>
      </c>
      <c r="AG369" s="20">
        <v>4.817622841233499E-4</v>
      </c>
      <c r="AH369" s="20">
        <v>6.1902894955726201E-4</v>
      </c>
      <c r="AI369" s="20">
        <v>9.7714965263320558E-4</v>
      </c>
      <c r="AJ369" s="20">
        <v>1.0443969059887464E-3</v>
      </c>
      <c r="AK369" s="20">
        <v>1.6484289537038429E-3</v>
      </c>
      <c r="AL369" s="20">
        <v>7.5530185065282021E-4</v>
      </c>
      <c r="AM369" s="20">
        <v>6.3053604522288068E-4</v>
      </c>
      <c r="AN369" s="20">
        <v>4.0683968924330163E-4</v>
      </c>
      <c r="AO369" s="20">
        <v>6.2422583902621207E-4</v>
      </c>
      <c r="AP369" s="20">
        <v>5.9239837216969995E-4</v>
      </c>
      <c r="AQ369" s="20">
        <v>1.1772666364431241E-3</v>
      </c>
      <c r="AR369" s="20">
        <v>2.3024736603965766E-3</v>
      </c>
      <c r="AS369" s="20">
        <v>2.9086140433895579E-3</v>
      </c>
      <c r="AT369" s="20">
        <v>7.9517770597747096E-3</v>
      </c>
      <c r="AU369" s="20">
        <v>3.3731222338629348E-3</v>
      </c>
      <c r="AV369" s="20">
        <v>1.9124900934277284E-3</v>
      </c>
      <c r="AW369" s="20">
        <v>3.2585180661614146E-3</v>
      </c>
      <c r="AX369" s="20">
        <v>7.4872258560409188E-3</v>
      </c>
      <c r="AY369" s="20">
        <v>6.1050789408970422E-4</v>
      </c>
      <c r="AZ369" s="20">
        <v>1.3641687335228174E-3</v>
      </c>
      <c r="BA369" s="20">
        <v>1.1722590988309048E-3</v>
      </c>
      <c r="BB369" s="20">
        <v>2.6473120218263972E-3</v>
      </c>
      <c r="BC369" s="20">
        <v>2.1237307007819532E-3</v>
      </c>
      <c r="BD369" s="20">
        <v>1.9501530667945374E-3</v>
      </c>
      <c r="BE369" s="20">
        <v>1.4508075326506557E-3</v>
      </c>
      <c r="BF369" s="20">
        <v>4.3898980170167784E-4</v>
      </c>
      <c r="BG369" s="20">
        <v>1.3881000268113049E-3</v>
      </c>
      <c r="BH369" s="20">
        <v>1.6172181253685789E-3</v>
      </c>
      <c r="BI369" s="20">
        <v>5.1894401806796752E-3</v>
      </c>
      <c r="BJ369" s="20">
        <v>1.8401979206479977E-3</v>
      </c>
      <c r="BK369" s="20">
        <v>1.3209080809542218E-3</v>
      </c>
      <c r="BL369" s="20">
        <v>2.0447487375056541E-3</v>
      </c>
      <c r="BM369" s="20">
        <v>3.2292652849697321E-3</v>
      </c>
      <c r="BN369" s="20">
        <v>2.0809710503649046E-3</v>
      </c>
      <c r="BO369" s="20">
        <v>1.9671416604497391E-3</v>
      </c>
      <c r="BP369" s="20">
        <v>1.0281261826090435</v>
      </c>
      <c r="BQ369" s="20">
        <v>1.8123741890962797E-3</v>
      </c>
      <c r="BR369" s="20">
        <v>0</v>
      </c>
    </row>
    <row r="370" spans="1:70" x14ac:dyDescent="0.3">
      <c r="A370" s="7">
        <v>64</v>
      </c>
      <c r="B370" s="150" t="s">
        <v>169</v>
      </c>
      <c r="C370" s="150"/>
      <c r="D370" s="150"/>
      <c r="E370" s="150"/>
      <c r="F370" s="20">
        <v>2.8873573382354206E-4</v>
      </c>
      <c r="G370" s="20">
        <v>5.1432285729927074E-4</v>
      </c>
      <c r="H370" s="20">
        <v>4.8533641598517567E-4</v>
      </c>
      <c r="I370" s="20">
        <v>1.8668934943150351E-4</v>
      </c>
      <c r="J370" s="20">
        <v>1.1307637017284431E-3</v>
      </c>
      <c r="K370" s="20">
        <v>4.0476473646768518E-4</v>
      </c>
      <c r="L370" s="20">
        <v>4.3303171371407933E-4</v>
      </c>
      <c r="M370" s="20">
        <v>1.9220402523452122E-4</v>
      </c>
      <c r="N370" s="20">
        <v>1.153126015672599E-3</v>
      </c>
      <c r="O370" s="20">
        <v>1.0667973566064102E-3</v>
      </c>
      <c r="P370" s="20">
        <v>1.1299881898270716E-4</v>
      </c>
      <c r="Q370" s="20">
        <v>8.4661521264464286E-5</v>
      </c>
      <c r="R370" s="20">
        <v>4.0912596562796386E-4</v>
      </c>
      <c r="S370" s="20">
        <v>6.8401108004056456E-4</v>
      </c>
      <c r="T370" s="20">
        <v>4.9156833393616055E-5</v>
      </c>
      <c r="U370" s="20">
        <v>3.1047738010602855E-4</v>
      </c>
      <c r="V370" s="20">
        <v>3.0631095989543155E-4</v>
      </c>
      <c r="W370" s="20">
        <v>8.3612036504893204E-4</v>
      </c>
      <c r="X370" s="20">
        <v>4.0264151760525415E-4</v>
      </c>
      <c r="Y370" s="20">
        <v>4.0488470217667644E-4</v>
      </c>
      <c r="Z370" s="20">
        <v>7.8061649119724166E-4</v>
      </c>
      <c r="AA370" s="20">
        <v>3.3239631271165957E-4</v>
      </c>
      <c r="AB370" s="20">
        <v>1.5704749020394059E-3</v>
      </c>
      <c r="AC370" s="20">
        <v>1.9516106722175446E-4</v>
      </c>
      <c r="AD370" s="20">
        <v>2.5406378207074379E-4</v>
      </c>
      <c r="AE370" s="20">
        <v>5.92584777895349E-4</v>
      </c>
      <c r="AF370" s="20">
        <v>1.5648743747392018E-4</v>
      </c>
      <c r="AG370" s="20">
        <v>3.6241417099130047E-4</v>
      </c>
      <c r="AH370" s="20">
        <v>3.0697780838772102E-4</v>
      </c>
      <c r="AI370" s="20">
        <v>2.1558677399320105E-4</v>
      </c>
      <c r="AJ370" s="20">
        <v>1.7550245730622437E-4</v>
      </c>
      <c r="AK370" s="20">
        <v>4.8209503028794347E-4</v>
      </c>
      <c r="AL370" s="20">
        <v>2.7156196495608696E-4</v>
      </c>
      <c r="AM370" s="20">
        <v>8.5578174790888533E-4</v>
      </c>
      <c r="AN370" s="20">
        <v>4.2693758721486333E-4</v>
      </c>
      <c r="AO370" s="20">
        <v>2.0400528475498554E-4</v>
      </c>
      <c r="AP370" s="20">
        <v>2.2929049706058431E-4</v>
      </c>
      <c r="AQ370" s="20">
        <v>1.0521449231326759E-3</v>
      </c>
      <c r="AR370" s="20">
        <v>2.9655085940340394E-4</v>
      </c>
      <c r="AS370" s="20">
        <v>2.8896401293300472E-4</v>
      </c>
      <c r="AT370" s="20">
        <v>1.4808905191090579E-4</v>
      </c>
      <c r="AU370" s="20">
        <v>2.3393355089161851E-4</v>
      </c>
      <c r="AV370" s="20">
        <v>1.9318821629791901E-4</v>
      </c>
      <c r="AW370" s="20">
        <v>4.0661513240805792E-4</v>
      </c>
      <c r="AX370" s="20">
        <v>2.504814799875086E-4</v>
      </c>
      <c r="AY370" s="20">
        <v>8.4620527284374894E-5</v>
      </c>
      <c r="AZ370" s="20">
        <v>9.7164971008514676E-5</v>
      </c>
      <c r="BA370" s="20">
        <v>1.2668803000766098E-4</v>
      </c>
      <c r="BB370" s="20">
        <v>1.1910540625960687E-3</v>
      </c>
      <c r="BC370" s="20">
        <v>5.5254619608447809E-4</v>
      </c>
      <c r="BD370" s="20">
        <v>2.1913415440946973E-4</v>
      </c>
      <c r="BE370" s="20">
        <v>2.2928915211063296E-3</v>
      </c>
      <c r="BF370" s="20">
        <v>7.8463975466978552E-5</v>
      </c>
      <c r="BG370" s="20">
        <v>3.8388623072821795E-4</v>
      </c>
      <c r="BH370" s="20">
        <v>5.2097578299537971E-4</v>
      </c>
      <c r="BI370" s="20">
        <v>1.2577402655931055E-3</v>
      </c>
      <c r="BJ370" s="20">
        <v>3.673144653970379E-4</v>
      </c>
      <c r="BK370" s="20">
        <v>1.5894285466961345E-3</v>
      </c>
      <c r="BL370" s="20">
        <v>2.8672056625315494E-3</v>
      </c>
      <c r="BM370" s="20">
        <v>1.7118973041699715E-3</v>
      </c>
      <c r="BN370" s="20">
        <v>2.4072731366276499E-3</v>
      </c>
      <c r="BO370" s="20">
        <v>9.086881373358437E-4</v>
      </c>
      <c r="BP370" s="20">
        <v>2.0088915092432417E-4</v>
      </c>
      <c r="BQ370" s="20">
        <v>1.0614099694067252</v>
      </c>
      <c r="BR370" s="20">
        <v>0</v>
      </c>
    </row>
    <row r="371" spans="1:70" x14ac:dyDescent="0.3">
      <c r="A371" s="7">
        <v>65</v>
      </c>
      <c r="B371" s="150" t="s">
        <v>170</v>
      </c>
      <c r="C371" s="150"/>
      <c r="D371" s="150"/>
      <c r="E371" s="150"/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0</v>
      </c>
      <c r="BI371" s="20">
        <v>0</v>
      </c>
      <c r="BJ371" s="20">
        <v>0</v>
      </c>
      <c r="BK371" s="20">
        <v>0</v>
      </c>
      <c r="BL371" s="20">
        <v>0</v>
      </c>
      <c r="BM371" s="20">
        <v>0</v>
      </c>
      <c r="BN371" s="20">
        <v>0</v>
      </c>
      <c r="BO371" s="20">
        <v>0</v>
      </c>
      <c r="BP371" s="20">
        <v>0</v>
      </c>
      <c r="BQ371" s="20">
        <v>0</v>
      </c>
      <c r="BR371" s="20">
        <v>1</v>
      </c>
    </row>
    <row r="372" spans="1:70" x14ac:dyDescent="0.3">
      <c r="A372" s="10">
        <v>66</v>
      </c>
      <c r="B372" s="10" t="s">
        <v>174</v>
      </c>
      <c r="C372" s="10"/>
      <c r="D372" s="10"/>
      <c r="E372" s="10"/>
      <c r="F372" s="78">
        <f>SUM(F307:F371)</f>
        <v>1.8810843999509088</v>
      </c>
      <c r="G372" s="78">
        <f t="shared" ref="G372:BR372" si="373">SUM(G307:G371)</f>
        <v>2.0754416759864434</v>
      </c>
      <c r="H372" s="78">
        <f t="shared" si="373"/>
        <v>1.7990153713548116</v>
      </c>
      <c r="I372" s="78">
        <f t="shared" si="373"/>
        <v>1.7443679304520803</v>
      </c>
      <c r="J372" s="78">
        <f t="shared" si="373"/>
        <v>1.8662382922891911</v>
      </c>
      <c r="K372" s="78">
        <f t="shared" si="373"/>
        <v>1.4611596090832739</v>
      </c>
      <c r="L372" s="78">
        <f t="shared" si="373"/>
        <v>2.2575376153942628</v>
      </c>
      <c r="M372" s="78">
        <f t="shared" si="373"/>
        <v>1.573358261127231</v>
      </c>
      <c r="N372" s="78">
        <f t="shared" si="373"/>
        <v>2.1078830071805919</v>
      </c>
      <c r="O372" s="78">
        <f t="shared" si="373"/>
        <v>2.0303792074492804</v>
      </c>
      <c r="P372" s="78">
        <f t="shared" si="373"/>
        <v>1.3726208905247184</v>
      </c>
      <c r="Q372" s="78">
        <f t="shared" si="373"/>
        <v>1.1270728362498208</v>
      </c>
      <c r="R372" s="78">
        <f t="shared" si="373"/>
        <v>1.4895523006599771</v>
      </c>
      <c r="S372" s="78">
        <f t="shared" si="373"/>
        <v>1.7728503330787158</v>
      </c>
      <c r="T372" s="78">
        <f t="shared" si="373"/>
        <v>1.1239207835908975</v>
      </c>
      <c r="U372" s="78">
        <f t="shared" si="373"/>
        <v>1.7236356753257356</v>
      </c>
      <c r="V372" s="78">
        <f t="shared" si="373"/>
        <v>1.6266801517377303</v>
      </c>
      <c r="W372" s="78">
        <f t="shared" si="373"/>
        <v>1.5242275229625875</v>
      </c>
      <c r="X372" s="78">
        <f t="shared" si="373"/>
        <v>1.3159036456966631</v>
      </c>
      <c r="Y372" s="78">
        <f t="shared" si="373"/>
        <v>1.3274541451345372</v>
      </c>
      <c r="Z372" s="78">
        <f t="shared" si="373"/>
        <v>1.3439692783303014</v>
      </c>
      <c r="AA372" s="78">
        <f t="shared" si="373"/>
        <v>1.809498790794476</v>
      </c>
      <c r="AB372" s="78">
        <f t="shared" si="373"/>
        <v>1.9406103825150223</v>
      </c>
      <c r="AC372" s="78">
        <f t="shared" si="373"/>
        <v>1.7379595955679319</v>
      </c>
      <c r="AD372" s="78">
        <f t="shared" si="373"/>
        <v>2.5922673627857944</v>
      </c>
      <c r="AE372" s="78">
        <f t="shared" si="373"/>
        <v>2.4647406447158398</v>
      </c>
      <c r="AF372" s="78">
        <f t="shared" si="373"/>
        <v>1.4644204996750818</v>
      </c>
      <c r="AG372" s="78">
        <f t="shared" si="373"/>
        <v>2.2117439311659153</v>
      </c>
      <c r="AH372" s="78">
        <f t="shared" si="373"/>
        <v>2.0707197983674743</v>
      </c>
      <c r="AI372" s="78">
        <f t="shared" si="373"/>
        <v>1.8844685459177015</v>
      </c>
      <c r="AJ372" s="78">
        <f t="shared" si="373"/>
        <v>1.8415641437729335</v>
      </c>
      <c r="AK372" s="78">
        <f t="shared" si="373"/>
        <v>1.7455038885618359</v>
      </c>
      <c r="AL372" s="78">
        <f t="shared" si="373"/>
        <v>1.9869865615251576</v>
      </c>
      <c r="AM372" s="78">
        <f t="shared" si="373"/>
        <v>2.361465157440747</v>
      </c>
      <c r="AN372" s="78">
        <f t="shared" si="373"/>
        <v>2.043131481229735</v>
      </c>
      <c r="AO372" s="78">
        <f t="shared" si="373"/>
        <v>2.1245466454585467</v>
      </c>
      <c r="AP372" s="78">
        <f t="shared" si="373"/>
        <v>1.7441372594599931</v>
      </c>
      <c r="AQ372" s="78">
        <f t="shared" si="373"/>
        <v>2.0162671450327672</v>
      </c>
      <c r="AR372" s="78">
        <f t="shared" si="373"/>
        <v>1.8577392925155671</v>
      </c>
      <c r="AS372" s="78">
        <f t="shared" si="373"/>
        <v>1.6644225140975564</v>
      </c>
      <c r="AT372" s="78">
        <f t="shared" si="373"/>
        <v>1.8286338101656072</v>
      </c>
      <c r="AU372" s="78">
        <f t="shared" si="373"/>
        <v>1.4740831851173666</v>
      </c>
      <c r="AV372" s="78">
        <f t="shared" si="373"/>
        <v>1.5521405016527012</v>
      </c>
      <c r="AW372" s="78">
        <f t="shared" si="373"/>
        <v>1.7891489025024596</v>
      </c>
      <c r="AX372" s="78">
        <f t="shared" si="373"/>
        <v>1.8305874148314241</v>
      </c>
      <c r="AY372" s="78">
        <f t="shared" si="373"/>
        <v>1.4624506974838478</v>
      </c>
      <c r="AZ372" s="78">
        <f t="shared" si="373"/>
        <v>1.412353077421866</v>
      </c>
      <c r="BA372" s="78">
        <f t="shared" si="373"/>
        <v>1.6558394041863713</v>
      </c>
      <c r="BB372" s="78">
        <f t="shared" si="373"/>
        <v>1.5394995614447819</v>
      </c>
      <c r="BC372" s="78">
        <f t="shared" si="373"/>
        <v>1.941183451963481</v>
      </c>
      <c r="BD372" s="78">
        <f t="shared" si="373"/>
        <v>1.8372511354187602</v>
      </c>
      <c r="BE372" s="78">
        <f t="shared" si="373"/>
        <v>1.5439582206602933</v>
      </c>
      <c r="BF372" s="78">
        <f t="shared" si="373"/>
        <v>1.3872485311238134</v>
      </c>
      <c r="BG372" s="78">
        <f t="shared" si="373"/>
        <v>2.3653395705465172</v>
      </c>
      <c r="BH372" s="78">
        <f t="shared" si="373"/>
        <v>1.7395479084913885</v>
      </c>
      <c r="BI372" s="78">
        <f t="shared" si="373"/>
        <v>1.5560610921370899</v>
      </c>
      <c r="BJ372" s="78">
        <f t="shared" si="373"/>
        <v>1.4204041204242237</v>
      </c>
      <c r="BK372" s="78">
        <f t="shared" si="373"/>
        <v>1.5400760111895748</v>
      </c>
      <c r="BL372" s="78">
        <f t="shared" si="373"/>
        <v>1.5520969205440607</v>
      </c>
      <c r="BM372" s="78">
        <f t="shared" si="373"/>
        <v>1.7434183754071817</v>
      </c>
      <c r="BN372" s="78">
        <f t="shared" si="373"/>
        <v>1.9758880401753125</v>
      </c>
      <c r="BO372" s="78">
        <f t="shared" si="373"/>
        <v>1.9048745314180169</v>
      </c>
      <c r="BP372" s="78">
        <f t="shared" si="373"/>
        <v>1.9246089783087612</v>
      </c>
      <c r="BQ372" s="78">
        <f>SUM(BQ307:BQ371)</f>
        <v>1.8877090478388361</v>
      </c>
      <c r="BR372" s="78">
        <f t="shared" si="373"/>
        <v>1</v>
      </c>
    </row>
    <row r="373" spans="1:70" x14ac:dyDescent="0.3">
      <c r="A373" s="84"/>
      <c r="B373" s="84"/>
      <c r="C373" s="84"/>
      <c r="D373" s="84"/>
      <c r="E373" s="84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</row>
    <row r="374" spans="1:70" x14ac:dyDescent="0.3">
      <c r="A374" s="84"/>
      <c r="B374" s="84"/>
      <c r="C374" s="84"/>
      <c r="D374" s="84"/>
      <c r="E374" s="84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</row>
    <row r="376" spans="1:70" s="69" customFormat="1" x14ac:dyDescent="0.3">
      <c r="A376" s="87" t="s">
        <v>203</v>
      </c>
    </row>
    <row r="377" spans="1:70" x14ac:dyDescent="0.3">
      <c r="B377" s="16" t="s">
        <v>101</v>
      </c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</row>
    <row r="378" spans="1:70" x14ac:dyDescent="0.3">
      <c r="B378" s="7" t="s">
        <v>106</v>
      </c>
      <c r="E378" s="76">
        <f t="shared" ref="E378:E384" si="374">SUM(F378:BR378)</f>
        <v>0.84514856594612398</v>
      </c>
      <c r="F378" s="28">
        <f t="array" ref="F378:BR378">TRANSPOSE(BT89:BT153)</f>
        <v>1.9810251458849952E-2</v>
      </c>
      <c r="G378" s="28">
        <v>1.3807693767469639E-3</v>
      </c>
      <c r="H378" s="28">
        <v>6.3817709707858689E-4</v>
      </c>
      <c r="I378" s="28">
        <v>2.0316442503904916E-4</v>
      </c>
      <c r="J378" s="28">
        <v>0.12400957184703616</v>
      </c>
      <c r="K378" s="28">
        <v>2.9712190096945878E-2</v>
      </c>
      <c r="L378" s="28">
        <v>1.0469468544047266E-3</v>
      </c>
      <c r="M378" s="28">
        <v>2.01053609392945E-3</v>
      </c>
      <c r="N378" s="28">
        <v>5.2192414669518681E-4</v>
      </c>
      <c r="O378" s="28">
        <v>1.79241004570681E-2</v>
      </c>
      <c r="P378" s="28">
        <v>6.6609702889607976E-3</v>
      </c>
      <c r="Q378" s="28">
        <v>8.2347863404958616E-3</v>
      </c>
      <c r="R378" s="28">
        <v>3.5429199581868795E-3</v>
      </c>
      <c r="S378" s="28">
        <v>2.2126508023799629E-3</v>
      </c>
      <c r="T378" s="28">
        <v>0</v>
      </c>
      <c r="U378" s="28">
        <v>1.7985059902330069E-3</v>
      </c>
      <c r="V378" s="28">
        <v>7.1871438907613831E-3</v>
      </c>
      <c r="W378" s="28">
        <v>5.4553265218699413E-3</v>
      </c>
      <c r="X378" s="28">
        <v>4.0421676971321276E-4</v>
      </c>
      <c r="Y378" s="28">
        <v>1.2522802721538228E-2</v>
      </c>
      <c r="Z378" s="28">
        <v>9.6093333008384922E-4</v>
      </c>
      <c r="AA378" s="28">
        <v>9.6746433787083651E-3</v>
      </c>
      <c r="AB378" s="28">
        <v>2.4763193739196852E-5</v>
      </c>
      <c r="AC378" s="28">
        <v>1.7661696604309749E-2</v>
      </c>
      <c r="AD378" s="28">
        <v>3.0169107698278718E-3</v>
      </c>
      <c r="AE378" s="28">
        <v>1.7629028918186997E-2</v>
      </c>
      <c r="AF378" s="28">
        <v>6.5570989354469958E-3</v>
      </c>
      <c r="AG378" s="28">
        <v>2.6556312027421229E-3</v>
      </c>
      <c r="AH378" s="28">
        <v>3.5652422446780349E-4</v>
      </c>
      <c r="AI378" s="28">
        <v>1.1868399282494682E-2</v>
      </c>
      <c r="AJ378" s="28">
        <v>4.359723406508402E-2</v>
      </c>
      <c r="AK378" s="28">
        <v>0.10309825621712672</v>
      </c>
      <c r="AL378" s="28">
        <v>2.9088013436777044E-2</v>
      </c>
      <c r="AM378" s="28">
        <v>6.3438926432838796E-3</v>
      </c>
      <c r="AN378" s="28">
        <v>2.2939342784585215E-3</v>
      </c>
      <c r="AO378" s="28">
        <v>4.1114742863511259E-4</v>
      </c>
      <c r="AP378" s="28">
        <v>1.7247728852792187E-3</v>
      </c>
      <c r="AQ378" s="28">
        <v>5.6422468988810918E-2</v>
      </c>
      <c r="AR378" s="28">
        <v>6.5113793515005208E-3</v>
      </c>
      <c r="AS378" s="28">
        <v>1.0895172885855928E-3</v>
      </c>
      <c r="AT378" s="28">
        <v>2.9231306074706101E-2</v>
      </c>
      <c r="AU378" s="28">
        <v>5.9694726480597108E-6</v>
      </c>
      <c r="AV378" s="28">
        <v>2.7313524456202228E-2</v>
      </c>
      <c r="AW378" s="28">
        <v>7.9755442846909299E-3</v>
      </c>
      <c r="AX378" s="28">
        <v>1.3901156485412779E-3</v>
      </c>
      <c r="AY378" s="28">
        <v>0.13684921191768284</v>
      </c>
      <c r="AZ378" s="28">
        <v>4.2064546668319066E-4</v>
      </c>
      <c r="BA378" s="28">
        <v>1.3034444704540888E-3</v>
      </c>
      <c r="BB378" s="28">
        <v>4.4100743906322482E-5</v>
      </c>
      <c r="BC378" s="28">
        <v>0</v>
      </c>
      <c r="BD378" s="28">
        <v>1.3968692468337861E-3</v>
      </c>
      <c r="BE378" s="28">
        <v>5.8601756509738378E-3</v>
      </c>
      <c r="BF378" s="28">
        <v>1.4111732162510647E-4</v>
      </c>
      <c r="BG378" s="28">
        <v>9.7748470477561997E-3</v>
      </c>
      <c r="BH378" s="28">
        <v>8.7027828783534913E-4</v>
      </c>
      <c r="BI378" s="28">
        <v>2.9436835523866316E-3</v>
      </c>
      <c r="BJ378" s="28">
        <v>1.2705516643882548E-2</v>
      </c>
      <c r="BK378" s="28">
        <v>1.1365749450027553E-2</v>
      </c>
      <c r="BL378" s="28">
        <v>3.2926068169784098E-3</v>
      </c>
      <c r="BM378" s="28">
        <v>9.4808252254636304E-3</v>
      </c>
      <c r="BN378" s="28">
        <v>6.1378699537989381E-3</v>
      </c>
      <c r="BO378" s="28">
        <v>0</v>
      </c>
      <c r="BP378" s="28">
        <v>2.5824292796765091E-4</v>
      </c>
      <c r="BQ378" s="28">
        <v>9.5754261903100001E-3</v>
      </c>
      <c r="BR378" s="28">
        <v>5.4829353328672168E-4</v>
      </c>
    </row>
    <row r="379" spans="1:70" x14ac:dyDescent="0.3">
      <c r="B379" s="7" t="s">
        <v>234</v>
      </c>
      <c r="E379" s="76">
        <f t="shared" si="374"/>
        <v>1.4811326329394581</v>
      </c>
      <c r="F379" s="28">
        <f t="shared" ref="F379:AK379" si="375">F378*F372</f>
        <v>3.7264754978347379E-2</v>
      </c>
      <c r="G379" s="28">
        <f t="shared" si="375"/>
        <v>2.8657063094264757E-3</v>
      </c>
      <c r="H379" s="28">
        <f t="shared" si="375"/>
        <v>1.1480904072909697E-3</v>
      </c>
      <c r="I379" s="28">
        <f t="shared" si="375"/>
        <v>3.5439350764685299E-4</v>
      </c>
      <c r="J379" s="28">
        <f t="shared" si="375"/>
        <v>0.23143141159132652</v>
      </c>
      <c r="K379" s="28">
        <f t="shared" si="375"/>
        <v>4.3414252067061364E-2</v>
      </c>
      <c r="L379" s="28">
        <f t="shared" si="375"/>
        <v>2.3635219051373708E-3</v>
      </c>
      <c r="M379" s="28">
        <f t="shared" si="375"/>
        <v>3.1632935726783745E-3</v>
      </c>
      <c r="N379" s="28">
        <f t="shared" si="375"/>
        <v>1.1001550398560148E-3</v>
      </c>
      <c r="O379" s="28">
        <f t="shared" si="375"/>
        <v>3.6392720880263213E-2</v>
      </c>
      <c r="P379" s="28">
        <f t="shared" si="375"/>
        <v>9.1429869697920614E-3</v>
      </c>
      <c r="Q379" s="28">
        <f t="shared" si="375"/>
        <v>9.2812039966939531E-3</v>
      </c>
      <c r="R379" s="28">
        <f t="shared" si="375"/>
        <v>5.2773645747714168E-3</v>
      </c>
      <c r="S379" s="28">
        <f t="shared" si="375"/>
        <v>3.9226987119862049E-3</v>
      </c>
      <c r="T379" s="28">
        <f>T378*T372</f>
        <v>0</v>
      </c>
      <c r="U379" s="28">
        <f t="shared" si="375"/>
        <v>3.0999690870526495E-3</v>
      </c>
      <c r="V379" s="28">
        <f t="shared" si="375"/>
        <v>1.1691184314784627E-2</v>
      </c>
      <c r="W379" s="28">
        <f t="shared" si="375"/>
        <v>8.3151588313819282E-3</v>
      </c>
      <c r="X379" s="28">
        <f t="shared" si="375"/>
        <v>5.3191032091734513E-4</v>
      </c>
      <c r="Y379" s="28">
        <f t="shared" si="375"/>
        <v>1.6623446381407985E-2</v>
      </c>
      <c r="Z379" s="28">
        <f t="shared" si="375"/>
        <v>1.2914648741563241E-3</v>
      </c>
      <c r="AA379" s="28">
        <f t="shared" si="375"/>
        <v>1.7506255495140569E-2</v>
      </c>
      <c r="AB379" s="28">
        <f t="shared" si="375"/>
        <v>4.8055710874516411E-5</v>
      </c>
      <c r="AC379" s="28">
        <f t="shared" si="375"/>
        <v>3.0695315087469689E-2</v>
      </c>
      <c r="AD379" s="28">
        <f t="shared" si="375"/>
        <v>7.8206393250617578E-3</v>
      </c>
      <c r="AE379" s="28">
        <f t="shared" si="375"/>
        <v>4.3450984101526403E-2</v>
      </c>
      <c r="AF379" s="28">
        <f t="shared" si="375"/>
        <v>9.6023500994662364E-3</v>
      </c>
      <c r="AG379" s="28">
        <f t="shared" si="375"/>
        <v>5.8735761960797307E-3</v>
      </c>
      <c r="AH379" s="28">
        <f t="shared" si="375"/>
        <v>7.3826177020309026E-4</v>
      </c>
      <c r="AI379" s="28">
        <f t="shared" si="375"/>
        <v>2.2365625138253447E-2</v>
      </c>
      <c r="AJ379" s="28">
        <f t="shared" si="375"/>
        <v>8.0287103021934619E-2</v>
      </c>
      <c r="AK379" s="28">
        <f t="shared" si="375"/>
        <v>0.17995840713093916</v>
      </c>
      <c r="AL379" s="28">
        <f t="shared" ref="AL379:BJ379" si="376">AL378*AL372</f>
        <v>5.7797491800339204E-2</v>
      </c>
      <c r="AM379" s="28">
        <f t="shared" si="376"/>
        <v>1.4980881439659564E-2</v>
      </c>
      <c r="AN379" s="28">
        <f t="shared" si="376"/>
        <v>4.6868093401906223E-3</v>
      </c>
      <c r="AO379" s="28">
        <f t="shared" si="376"/>
        <v>8.7350189029563566E-4</v>
      </c>
      <c r="AP379" s="28">
        <f t="shared" si="376"/>
        <v>3.0082406533218017E-3</v>
      </c>
      <c r="AQ379" s="28">
        <f t="shared" si="376"/>
        <v>0.11376277046376963</v>
      </c>
      <c r="AR379" s="28">
        <f t="shared" si="376"/>
        <v>1.2096445269757049E-2</v>
      </c>
      <c r="AS379" s="28">
        <f t="shared" si="376"/>
        <v>1.8134171046203854E-3</v>
      </c>
      <c r="AT379" s="28">
        <f t="shared" si="376"/>
        <v>5.3453354603506878E-2</v>
      </c>
      <c r="AU379" s="28">
        <f t="shared" si="376"/>
        <v>8.7994992545228584E-6</v>
      </c>
      <c r="AV379" s="28">
        <f t="shared" si="376"/>
        <v>4.2394427551353052E-2</v>
      </c>
      <c r="AW379" s="28">
        <f t="shared" si="376"/>
        <v>1.4269436303814541E-2</v>
      </c>
      <c r="AX379" s="28">
        <f t="shared" si="376"/>
        <v>2.5447282113798863E-3</v>
      </c>
      <c r="AY379" s="28">
        <f t="shared" si="376"/>
        <v>0.20013522541913017</v>
      </c>
      <c r="AZ379" s="28">
        <f t="shared" si="376"/>
        <v>5.9409991937356139E-4</v>
      </c>
      <c r="BA379" s="28">
        <f t="shared" si="376"/>
        <v>2.1582947153467188E-3</v>
      </c>
      <c r="BB379" s="28">
        <f t="shared" si="376"/>
        <v>6.7893075903172103E-5</v>
      </c>
      <c r="BC379" s="28">
        <f t="shared" si="376"/>
        <v>0</v>
      </c>
      <c r="BD379" s="28">
        <f t="shared" si="376"/>
        <v>2.5663996097769217E-3</v>
      </c>
      <c r="BE379" s="28">
        <f t="shared" si="376"/>
        <v>9.0478663708343423E-3</v>
      </c>
      <c r="BF379" s="28">
        <f t="shared" si="376"/>
        <v>1.957647971405557E-4</v>
      </c>
      <c r="BG379" s="28">
        <f t="shared" si="376"/>
        <v>2.3120832518097541E-2</v>
      </c>
      <c r="BH379" s="28">
        <f t="shared" si="376"/>
        <v>1.5138907754094482E-3</v>
      </c>
      <c r="BI379" s="28">
        <f t="shared" si="376"/>
        <v>4.5805514434327302E-3</v>
      </c>
      <c r="BJ379" s="28">
        <f t="shared" si="376"/>
        <v>1.8046968193089326E-2</v>
      </c>
      <c r="BK379" s="28">
        <f>BK378*BK372</f>
        <v>1.7504118077178537E-2</v>
      </c>
      <c r="BL379" s="28">
        <f t="shared" ref="BL379:BR379" si="377">BL378*BL372</f>
        <v>5.1104449011945717E-3</v>
      </c>
      <c r="BM379" s="28">
        <f t="shared" si="377"/>
        <v>1.6529044912097231E-2</v>
      </c>
      <c r="BN379" s="28">
        <f t="shared" si="377"/>
        <v>1.212774383386272E-2</v>
      </c>
      <c r="BO379" s="28">
        <f t="shared" si="377"/>
        <v>0</v>
      </c>
      <c r="BP379" s="28">
        <f t="shared" si="377"/>
        <v>4.9701665775128364E-4</v>
      </c>
      <c r="BQ379" s="28">
        <f t="shared" si="377"/>
        <v>1.8075618656361144E-2</v>
      </c>
      <c r="BR379" s="28">
        <f t="shared" si="377"/>
        <v>5.4829353328672168E-4</v>
      </c>
    </row>
    <row r="380" spans="1:70" x14ac:dyDescent="0.3">
      <c r="B380" s="3" t="s">
        <v>18</v>
      </c>
      <c r="E380" s="30">
        <f t="shared" si="374"/>
        <v>0.27262049546267175</v>
      </c>
      <c r="F380" s="28">
        <f>F157*F379</f>
        <v>4.630903242161327E-3</v>
      </c>
      <c r="G380" s="28">
        <f t="shared" ref="G380:BR380" si="378">G157*G379</f>
        <v>3.408094547508576E-4</v>
      </c>
      <c r="H380" s="28">
        <f t="shared" si="378"/>
        <v>7.9786177507694956E-5</v>
      </c>
      <c r="I380" s="28">
        <f t="shared" si="378"/>
        <v>9.1792576353169622E-5</v>
      </c>
      <c r="J380" s="28">
        <f t="shared" si="378"/>
        <v>1.770362838582833E-2</v>
      </c>
      <c r="K380" s="28">
        <f t="shared" si="378"/>
        <v>4.6223526520303157E-3</v>
      </c>
      <c r="L380" s="28">
        <f t="shared" si="378"/>
        <v>2.6472945473913546E-4</v>
      </c>
      <c r="M380" s="28">
        <f t="shared" si="378"/>
        <v>1.4821438783113434E-4</v>
      </c>
      <c r="N380" s="28">
        <f t="shared" si="378"/>
        <v>2.0572094762088782E-4</v>
      </c>
      <c r="O380" s="28">
        <f t="shared" si="378"/>
        <v>3.6008447968034316E-3</v>
      </c>
      <c r="P380" s="28">
        <f t="shared" si="378"/>
        <v>2.672908912367721E-4</v>
      </c>
      <c r="Q380" s="28">
        <f t="shared" si="378"/>
        <v>1.8659795730819161E-4</v>
      </c>
      <c r="R380" s="28">
        <f t="shared" si="378"/>
        <v>4.0547896412395593E-4</v>
      </c>
      <c r="S380" s="28">
        <f t="shared" si="378"/>
        <v>4.6990363898995462E-4</v>
      </c>
      <c r="T380" s="28">
        <f t="shared" si="378"/>
        <v>0</v>
      </c>
      <c r="U380" s="28">
        <f t="shared" si="378"/>
        <v>3.5921299895891643E-4</v>
      </c>
      <c r="V380" s="28">
        <f t="shared" si="378"/>
        <v>3.0112600122504288E-4</v>
      </c>
      <c r="W380" s="28">
        <f t="shared" si="378"/>
        <v>5.1578665145355664E-4</v>
      </c>
      <c r="X380" s="28">
        <f t="shared" si="378"/>
        <v>4.0909703137768453E-5</v>
      </c>
      <c r="Y380" s="28">
        <f t="shared" si="378"/>
        <v>7.9475670311710445E-4</v>
      </c>
      <c r="Z380" s="28">
        <f t="shared" si="378"/>
        <v>7.8092723245252977E-5</v>
      </c>
      <c r="AA380" s="28">
        <f t="shared" si="378"/>
        <v>2.5310488982293543E-3</v>
      </c>
      <c r="AB380" s="28">
        <f t="shared" si="378"/>
        <v>1.3825907917971169E-5</v>
      </c>
      <c r="AC380" s="28">
        <f t="shared" si="378"/>
        <v>2.6767708384047295E-3</v>
      </c>
      <c r="AD380" s="28">
        <f t="shared" si="378"/>
        <v>2.1141025984223127E-4</v>
      </c>
      <c r="AE380" s="28">
        <f t="shared" si="378"/>
        <v>4.5328826277905628E-3</v>
      </c>
      <c r="AF380" s="28">
        <f t="shared" si="378"/>
        <v>2.0379891223658562E-3</v>
      </c>
      <c r="AG380" s="28">
        <f t="shared" si="378"/>
        <v>4.9106710972828297E-4</v>
      </c>
      <c r="AH380" s="28">
        <f t="shared" si="378"/>
        <v>1.9113113968989408E-4</v>
      </c>
      <c r="AI380" s="28">
        <f t="shared" si="378"/>
        <v>7.099341426681333E-3</v>
      </c>
      <c r="AJ380" s="28">
        <f t="shared" si="378"/>
        <v>2.077121975702333E-2</v>
      </c>
      <c r="AK380" s="28">
        <f t="shared" si="378"/>
        <v>7.0498393758022193E-2</v>
      </c>
      <c r="AL380" s="28">
        <f t="shared" si="378"/>
        <v>1.0426039605990447E-2</v>
      </c>
      <c r="AM380" s="28">
        <f t="shared" si="378"/>
        <v>2.9510426557944111E-4</v>
      </c>
      <c r="AN380" s="28">
        <f t="shared" si="378"/>
        <v>3.3405888846601406E-4</v>
      </c>
      <c r="AO380" s="28">
        <f t="shared" si="378"/>
        <v>9.2852571632047698E-5</v>
      </c>
      <c r="AP380" s="28">
        <f t="shared" si="378"/>
        <v>1.2078229130799436E-3</v>
      </c>
      <c r="AQ380" s="28">
        <f t="shared" si="378"/>
        <v>3.0410552964447349E-2</v>
      </c>
      <c r="AR380" s="28">
        <f t="shared" si="378"/>
        <v>3.1765951325322212E-3</v>
      </c>
      <c r="AS380" s="28">
        <f t="shared" si="378"/>
        <v>4.1710913300325352E-4</v>
      </c>
      <c r="AT380" s="28">
        <f t="shared" si="378"/>
        <v>4.7107717791236058E-3</v>
      </c>
      <c r="AU380" s="28">
        <f t="shared" si="378"/>
        <v>3.5015223057205969E-6</v>
      </c>
      <c r="AV380" s="28">
        <f t="shared" si="378"/>
        <v>9.0260667694447121E-3</v>
      </c>
      <c r="AW380" s="28">
        <f t="shared" si="378"/>
        <v>3.2875740984080735E-3</v>
      </c>
      <c r="AX380" s="28">
        <f t="shared" si="378"/>
        <v>5.9464313697662433E-4</v>
      </c>
      <c r="AY380" s="28">
        <f t="shared" si="378"/>
        <v>1.3222746967779605E-2</v>
      </c>
      <c r="AZ380" s="28">
        <f t="shared" si="378"/>
        <v>1.2574692293128886E-4</v>
      </c>
      <c r="BA380" s="28">
        <f t="shared" si="378"/>
        <v>6.4882977269854552E-4</v>
      </c>
      <c r="BB380" s="28">
        <f t="shared" si="378"/>
        <v>4.0313537631816716E-5</v>
      </c>
      <c r="BC380" s="28">
        <f t="shared" si="378"/>
        <v>0</v>
      </c>
      <c r="BD380" s="28">
        <f t="shared" si="378"/>
        <v>8.3140259329862363E-4</v>
      </c>
      <c r="BE380" s="28">
        <f t="shared" si="378"/>
        <v>5.9115970496842268E-4</v>
      </c>
      <c r="BF380" s="28">
        <f t="shared" si="378"/>
        <v>1.4439269269123019E-4</v>
      </c>
      <c r="BG380" s="28">
        <f t="shared" si="378"/>
        <v>5.0359893150532572E-3</v>
      </c>
      <c r="BH380" s="28">
        <f t="shared" si="378"/>
        <v>6.4737584402650814E-4</v>
      </c>
      <c r="BI380" s="28">
        <f t="shared" si="378"/>
        <v>2.4070194950255946E-3</v>
      </c>
      <c r="BJ380" s="28">
        <f t="shared" si="378"/>
        <v>1.1563957204006737E-2</v>
      </c>
      <c r="BK380" s="28">
        <f t="shared" si="378"/>
        <v>9.0941305953891813E-3</v>
      </c>
      <c r="BL380" s="28">
        <f t="shared" si="378"/>
        <v>2.9762419064800496E-3</v>
      </c>
      <c r="BM380" s="28">
        <f t="shared" si="378"/>
        <v>6.2699708016264654E-3</v>
      </c>
      <c r="BN380" s="28">
        <f t="shared" si="378"/>
        <v>3.4128291668578804E-3</v>
      </c>
      <c r="BO380" s="28">
        <f t="shared" si="378"/>
        <v>0</v>
      </c>
      <c r="BP380" s="28">
        <f t="shared" si="378"/>
        <v>1.4114982772416357E-4</v>
      </c>
      <c r="BQ380" s="28">
        <f t="shared" si="378"/>
        <v>5.3215271793743794E-3</v>
      </c>
      <c r="BR380" s="28">
        <f t="shared" si="378"/>
        <v>0</v>
      </c>
    </row>
    <row r="381" spans="1:70" x14ac:dyDescent="0.3">
      <c r="B381" s="3" t="s">
        <v>44</v>
      </c>
      <c r="E381" s="30">
        <f t="shared" si="374"/>
        <v>0.57923655437102928</v>
      </c>
      <c r="F381" s="28">
        <f>F379*F162</f>
        <v>1.0528657378085535E-2</v>
      </c>
      <c r="G381" s="28">
        <f t="shared" ref="G381:BR381" si="379">G379*G162</f>
        <v>1.0670213271118331E-3</v>
      </c>
      <c r="H381" s="28">
        <f t="shared" si="379"/>
        <v>3.8596657458709498E-4</v>
      </c>
      <c r="I381" s="28">
        <f t="shared" si="379"/>
        <v>1.9650818722296128E-4</v>
      </c>
      <c r="J381" s="28">
        <f t="shared" si="379"/>
        <v>2.7421477009308054E-2</v>
      </c>
      <c r="K381" s="28">
        <f t="shared" si="379"/>
        <v>5.852322320673572E-3</v>
      </c>
      <c r="L381" s="28">
        <f t="shared" si="379"/>
        <v>4.8141710993883249E-4</v>
      </c>
      <c r="M381" s="28">
        <f t="shared" si="379"/>
        <v>4.7024675135630054E-4</v>
      </c>
      <c r="N381" s="28">
        <f t="shared" si="379"/>
        <v>3.5562652330994827E-4</v>
      </c>
      <c r="O381" s="28">
        <f t="shared" si="379"/>
        <v>1.480661112997461E-2</v>
      </c>
      <c r="P381" s="28">
        <f t="shared" si="379"/>
        <v>7.636677282266863E-4</v>
      </c>
      <c r="Q381" s="28">
        <f t="shared" si="379"/>
        <v>2.5536610198734205E-4</v>
      </c>
      <c r="R381" s="28">
        <f t="shared" si="379"/>
        <v>5.6604973691448733E-4</v>
      </c>
      <c r="S381" s="28">
        <f t="shared" si="379"/>
        <v>7.5656300898485629E-4</v>
      </c>
      <c r="T381" s="28">
        <f t="shared" si="379"/>
        <v>0</v>
      </c>
      <c r="U381" s="28">
        <f t="shared" si="379"/>
        <v>5.0859137039799892E-4</v>
      </c>
      <c r="V381" s="28">
        <f t="shared" si="379"/>
        <v>5.489997354518137E-4</v>
      </c>
      <c r="W381" s="28">
        <f t="shared" si="379"/>
        <v>8.318192261253639E-4</v>
      </c>
      <c r="X381" s="28">
        <f t="shared" si="379"/>
        <v>5.4506188094410228E-5</v>
      </c>
      <c r="Y381" s="28">
        <f t="shared" si="379"/>
        <v>1.5880277677147771E-3</v>
      </c>
      <c r="Z381" s="28">
        <f t="shared" si="379"/>
        <v>1.3788636411763138E-4</v>
      </c>
      <c r="AA381" s="28">
        <f t="shared" si="379"/>
        <v>3.5315865505359616E-3</v>
      </c>
      <c r="AB381" s="28">
        <f t="shared" si="379"/>
        <v>1.8545179078763872E-5</v>
      </c>
      <c r="AC381" s="28">
        <f t="shared" si="379"/>
        <v>1.5597726582387381E-2</v>
      </c>
      <c r="AD381" s="28">
        <f t="shared" si="379"/>
        <v>8.0500568294640507E-4</v>
      </c>
      <c r="AE381" s="28">
        <f t="shared" si="379"/>
        <v>1.3659526746627166E-2</v>
      </c>
      <c r="AF381" s="28">
        <f t="shared" si="379"/>
        <v>6.9028107759763748E-3</v>
      </c>
      <c r="AG381" s="28">
        <f t="shared" si="379"/>
        <v>1.1937463035684658E-3</v>
      </c>
      <c r="AH381" s="28">
        <f t="shared" si="379"/>
        <v>2.6600263313038985E-4</v>
      </c>
      <c r="AI381" s="28">
        <f t="shared" si="379"/>
        <v>9.5758485690688663E-3</v>
      </c>
      <c r="AJ381" s="28">
        <f t="shared" si="379"/>
        <v>4.2183936142985066E-2</v>
      </c>
      <c r="AK381" s="28">
        <f t="shared" si="379"/>
        <v>9.7216110335695619E-2</v>
      </c>
      <c r="AL381" s="28">
        <f t="shared" si="379"/>
        <v>1.91919362747974E-2</v>
      </c>
      <c r="AM381" s="28">
        <f t="shared" si="379"/>
        <v>1.4486650493109039E-3</v>
      </c>
      <c r="AN381" s="28">
        <f t="shared" si="379"/>
        <v>3.9929256462754772E-4</v>
      </c>
      <c r="AO381" s="28">
        <f t="shared" si="379"/>
        <v>2.7003865464408157E-4</v>
      </c>
      <c r="AP381" s="28">
        <f t="shared" si="379"/>
        <v>1.4142612737185151E-3</v>
      </c>
      <c r="AQ381" s="28">
        <f t="shared" si="379"/>
        <v>3.633781627740925E-2</v>
      </c>
      <c r="AR381" s="28">
        <f t="shared" si="379"/>
        <v>3.9694948301157032E-3</v>
      </c>
      <c r="AS381" s="28">
        <f t="shared" si="379"/>
        <v>7.6294049841508723E-4</v>
      </c>
      <c r="AT381" s="28">
        <f t="shared" si="379"/>
        <v>1.9077603608906899E-2</v>
      </c>
      <c r="AU381" s="28">
        <f t="shared" si="379"/>
        <v>4.8871159996142195E-6</v>
      </c>
      <c r="AV381" s="28">
        <f t="shared" si="379"/>
        <v>2.1503933809511641E-2</v>
      </c>
      <c r="AW381" s="28">
        <f t="shared" si="379"/>
        <v>6.9342400164132817E-3</v>
      </c>
      <c r="AX381" s="28">
        <f t="shared" si="379"/>
        <v>1.1364814403783451E-3</v>
      </c>
      <c r="AY381" s="28">
        <f t="shared" si="379"/>
        <v>0.14294958109524325</v>
      </c>
      <c r="AZ381" s="28">
        <f t="shared" si="379"/>
        <v>2.4634519294201683E-4</v>
      </c>
      <c r="BA381" s="28">
        <f t="shared" si="379"/>
        <v>1.0031965919558166E-3</v>
      </c>
      <c r="BB381" s="28">
        <f t="shared" si="379"/>
        <v>3.9797076832553278E-5</v>
      </c>
      <c r="BC381" s="28">
        <f t="shared" si="379"/>
        <v>0</v>
      </c>
      <c r="BD381" s="28">
        <f t="shared" si="379"/>
        <v>1.1241330303547205E-3</v>
      </c>
      <c r="BE381" s="28">
        <f t="shared" si="379"/>
        <v>3.5813086344808395E-3</v>
      </c>
      <c r="BF381" s="28">
        <f t="shared" si="379"/>
        <v>1.4635012209111468E-4</v>
      </c>
      <c r="BG381" s="28">
        <f t="shared" si="379"/>
        <v>6.8159072128067743E-3</v>
      </c>
      <c r="BH381" s="28">
        <f t="shared" si="379"/>
        <v>8.127234016273322E-4</v>
      </c>
      <c r="BI381" s="28">
        <f t="shared" si="379"/>
        <v>2.9195561635905944E-3</v>
      </c>
      <c r="BJ381" s="28">
        <f t="shared" si="379"/>
        <v>1.2857154473570208E-2</v>
      </c>
      <c r="BK381" s="28">
        <f t="shared" si="379"/>
        <v>1.0441219552927249E-2</v>
      </c>
      <c r="BL381" s="28">
        <f t="shared" si="379"/>
        <v>3.2397198498651742E-3</v>
      </c>
      <c r="BM381" s="28">
        <f t="shared" si="379"/>
        <v>8.2804335394288577E-3</v>
      </c>
      <c r="BN381" s="28">
        <f t="shared" si="379"/>
        <v>4.891918382959686E-3</v>
      </c>
      <c r="BO381" s="28">
        <f t="shared" si="379"/>
        <v>0</v>
      </c>
      <c r="BP381" s="28">
        <f t="shared" si="379"/>
        <v>2.0663205530991051E-4</v>
      </c>
      <c r="BQ381" s="28">
        <f t="shared" si="379"/>
        <v>8.1525160059238381E-3</v>
      </c>
      <c r="BR381" s="28">
        <f t="shared" si="379"/>
        <v>5.4829353328672168E-4</v>
      </c>
    </row>
    <row r="382" spans="1:70" x14ac:dyDescent="0.3">
      <c r="B382" s="3" t="s">
        <v>61</v>
      </c>
      <c r="E382" s="30">
        <f t="shared" si="374"/>
        <v>1.4811326329394581</v>
      </c>
      <c r="F382" s="28">
        <f>F378*F$372</f>
        <v>3.7264754978347379E-2</v>
      </c>
      <c r="G382" s="28">
        <f t="shared" ref="G382:BR382" si="380">G378*G$372</f>
        <v>2.8657063094264757E-3</v>
      </c>
      <c r="H382" s="28">
        <f t="shared" si="380"/>
        <v>1.1480904072909697E-3</v>
      </c>
      <c r="I382" s="28">
        <f t="shared" si="380"/>
        <v>3.5439350764685299E-4</v>
      </c>
      <c r="J382" s="28">
        <f t="shared" si="380"/>
        <v>0.23143141159132652</v>
      </c>
      <c r="K382" s="28">
        <f t="shared" si="380"/>
        <v>4.3414252067061364E-2</v>
      </c>
      <c r="L382" s="28">
        <f t="shared" si="380"/>
        <v>2.3635219051373708E-3</v>
      </c>
      <c r="M382" s="28">
        <f t="shared" si="380"/>
        <v>3.1632935726783745E-3</v>
      </c>
      <c r="N382" s="28">
        <f t="shared" si="380"/>
        <v>1.1001550398560148E-3</v>
      </c>
      <c r="O382" s="28">
        <f t="shared" si="380"/>
        <v>3.6392720880263213E-2</v>
      </c>
      <c r="P382" s="28">
        <f t="shared" si="380"/>
        <v>9.1429869697920614E-3</v>
      </c>
      <c r="Q382" s="28">
        <f t="shared" si="380"/>
        <v>9.2812039966939531E-3</v>
      </c>
      <c r="R382" s="28">
        <f t="shared" si="380"/>
        <v>5.2773645747714168E-3</v>
      </c>
      <c r="S382" s="28">
        <f t="shared" si="380"/>
        <v>3.9226987119862049E-3</v>
      </c>
      <c r="T382" s="28">
        <f t="shared" si="380"/>
        <v>0</v>
      </c>
      <c r="U382" s="28">
        <f t="shared" si="380"/>
        <v>3.0999690870526495E-3</v>
      </c>
      <c r="V382" s="28">
        <f t="shared" si="380"/>
        <v>1.1691184314784627E-2</v>
      </c>
      <c r="W382" s="28">
        <f t="shared" si="380"/>
        <v>8.3151588313819282E-3</v>
      </c>
      <c r="X382" s="28">
        <f t="shared" si="380"/>
        <v>5.3191032091734513E-4</v>
      </c>
      <c r="Y382" s="28">
        <f t="shared" si="380"/>
        <v>1.6623446381407985E-2</v>
      </c>
      <c r="Z382" s="28">
        <f t="shared" si="380"/>
        <v>1.2914648741563241E-3</v>
      </c>
      <c r="AA382" s="28">
        <f t="shared" si="380"/>
        <v>1.7506255495140569E-2</v>
      </c>
      <c r="AB382" s="28">
        <f t="shared" si="380"/>
        <v>4.8055710874516411E-5</v>
      </c>
      <c r="AC382" s="28">
        <f t="shared" si="380"/>
        <v>3.0695315087469689E-2</v>
      </c>
      <c r="AD382" s="28">
        <f t="shared" si="380"/>
        <v>7.8206393250617578E-3</v>
      </c>
      <c r="AE382" s="28">
        <f t="shared" si="380"/>
        <v>4.3450984101526403E-2</v>
      </c>
      <c r="AF382" s="28">
        <f t="shared" si="380"/>
        <v>9.6023500994662364E-3</v>
      </c>
      <c r="AG382" s="28">
        <f t="shared" si="380"/>
        <v>5.8735761960797307E-3</v>
      </c>
      <c r="AH382" s="28">
        <f t="shared" si="380"/>
        <v>7.3826177020309026E-4</v>
      </c>
      <c r="AI382" s="28">
        <f t="shared" si="380"/>
        <v>2.2365625138253447E-2</v>
      </c>
      <c r="AJ382" s="28">
        <f t="shared" si="380"/>
        <v>8.0287103021934619E-2</v>
      </c>
      <c r="AK382" s="28">
        <f t="shared" si="380"/>
        <v>0.17995840713093916</v>
      </c>
      <c r="AL382" s="28">
        <f t="shared" si="380"/>
        <v>5.7797491800339204E-2</v>
      </c>
      <c r="AM382" s="28">
        <f t="shared" si="380"/>
        <v>1.4980881439659564E-2</v>
      </c>
      <c r="AN382" s="28">
        <f t="shared" si="380"/>
        <v>4.6868093401906223E-3</v>
      </c>
      <c r="AO382" s="28">
        <f t="shared" si="380"/>
        <v>8.7350189029563566E-4</v>
      </c>
      <c r="AP382" s="28">
        <f t="shared" si="380"/>
        <v>3.0082406533218017E-3</v>
      </c>
      <c r="AQ382" s="28">
        <f t="shared" si="380"/>
        <v>0.11376277046376963</v>
      </c>
      <c r="AR382" s="28">
        <f t="shared" si="380"/>
        <v>1.2096445269757049E-2</v>
      </c>
      <c r="AS382" s="28">
        <f t="shared" si="380"/>
        <v>1.8134171046203854E-3</v>
      </c>
      <c r="AT382" s="28">
        <f t="shared" si="380"/>
        <v>5.3453354603506878E-2</v>
      </c>
      <c r="AU382" s="28">
        <f t="shared" si="380"/>
        <v>8.7994992545228584E-6</v>
      </c>
      <c r="AV382" s="28">
        <f t="shared" si="380"/>
        <v>4.2394427551353052E-2</v>
      </c>
      <c r="AW382" s="28">
        <f t="shared" si="380"/>
        <v>1.4269436303814541E-2</v>
      </c>
      <c r="AX382" s="28">
        <f t="shared" si="380"/>
        <v>2.5447282113798863E-3</v>
      </c>
      <c r="AY382" s="28">
        <f t="shared" si="380"/>
        <v>0.20013522541913017</v>
      </c>
      <c r="AZ382" s="28">
        <f t="shared" si="380"/>
        <v>5.9409991937356139E-4</v>
      </c>
      <c r="BA382" s="28">
        <f t="shared" si="380"/>
        <v>2.1582947153467188E-3</v>
      </c>
      <c r="BB382" s="28">
        <f t="shared" si="380"/>
        <v>6.7893075903172103E-5</v>
      </c>
      <c r="BC382" s="28">
        <f t="shared" si="380"/>
        <v>0</v>
      </c>
      <c r="BD382" s="28">
        <f t="shared" si="380"/>
        <v>2.5663996097769217E-3</v>
      </c>
      <c r="BE382" s="28">
        <f t="shared" si="380"/>
        <v>9.0478663708343423E-3</v>
      </c>
      <c r="BF382" s="28">
        <f t="shared" si="380"/>
        <v>1.957647971405557E-4</v>
      </c>
      <c r="BG382" s="28">
        <f t="shared" si="380"/>
        <v>2.3120832518097541E-2</v>
      </c>
      <c r="BH382" s="28">
        <f t="shared" si="380"/>
        <v>1.5138907754094482E-3</v>
      </c>
      <c r="BI382" s="28">
        <f t="shared" si="380"/>
        <v>4.5805514434327302E-3</v>
      </c>
      <c r="BJ382" s="28">
        <f t="shared" si="380"/>
        <v>1.8046968193089326E-2</v>
      </c>
      <c r="BK382" s="28">
        <f t="shared" si="380"/>
        <v>1.7504118077178537E-2</v>
      </c>
      <c r="BL382" s="28">
        <f t="shared" si="380"/>
        <v>5.1104449011945717E-3</v>
      </c>
      <c r="BM382" s="28">
        <f t="shared" si="380"/>
        <v>1.6529044912097231E-2</v>
      </c>
      <c r="BN382" s="28">
        <f t="shared" si="380"/>
        <v>1.212774383386272E-2</v>
      </c>
      <c r="BO382" s="28">
        <f t="shared" si="380"/>
        <v>0</v>
      </c>
      <c r="BP382" s="28">
        <f t="shared" si="380"/>
        <v>4.9701665775128364E-4</v>
      </c>
      <c r="BQ382" s="28">
        <f t="shared" si="380"/>
        <v>1.8075618656361144E-2</v>
      </c>
      <c r="BR382" s="28">
        <f t="shared" si="380"/>
        <v>5.4829353328672168E-4</v>
      </c>
    </row>
    <row r="383" spans="1:70" x14ac:dyDescent="0.3">
      <c r="B383" s="3" t="s">
        <v>25</v>
      </c>
      <c r="E383" s="30">
        <f t="shared" si="374"/>
        <v>0.22385556015180977</v>
      </c>
      <c r="F383" s="28">
        <f>F379*F164</f>
        <v>7.6432104028102271E-3</v>
      </c>
      <c r="G383" s="28">
        <f t="shared" ref="G383:BR383" si="381">G379*G164</f>
        <v>1.6230588146999231E-4</v>
      </c>
      <c r="H383" s="28">
        <f t="shared" si="381"/>
        <v>2.4624187002339742E-4</v>
      </c>
      <c r="I383" s="28">
        <f t="shared" si="381"/>
        <v>0</v>
      </c>
      <c r="J383" s="28">
        <f t="shared" si="381"/>
        <v>9.4017501572966067E-2</v>
      </c>
      <c r="K383" s="28">
        <f t="shared" si="381"/>
        <v>2.4538396960267786E-2</v>
      </c>
      <c r="L383" s="28">
        <f t="shared" si="381"/>
        <v>3.985588297350422E-4</v>
      </c>
      <c r="M383" s="28">
        <f t="shared" si="381"/>
        <v>1.6760291382497915E-3</v>
      </c>
      <c r="N383" s="28">
        <f t="shared" si="381"/>
        <v>1.3344748925418209E-5</v>
      </c>
      <c r="O383" s="28">
        <f t="shared" si="381"/>
        <v>0</v>
      </c>
      <c r="P383" s="28">
        <f t="shared" si="381"/>
        <v>6.1714187159976393E-3</v>
      </c>
      <c r="Q383" s="28">
        <f t="shared" si="381"/>
        <v>8.2252970810126509E-3</v>
      </c>
      <c r="R383" s="28">
        <f t="shared" si="381"/>
        <v>3.0558771088616725E-3</v>
      </c>
      <c r="S383" s="28">
        <f t="shared" si="381"/>
        <v>1.4516600434081219E-3</v>
      </c>
      <c r="T383" s="28">
        <f t="shared" si="381"/>
        <v>0</v>
      </c>
      <c r="U383" s="28">
        <f t="shared" si="381"/>
        <v>1.0240949303805089E-3</v>
      </c>
      <c r="V383" s="28">
        <f t="shared" si="381"/>
        <v>6.5976041629908066E-3</v>
      </c>
      <c r="W383" s="28">
        <f t="shared" si="381"/>
        <v>4.6126933714876724E-3</v>
      </c>
      <c r="X383" s="28">
        <f t="shared" si="381"/>
        <v>3.6477815989983156E-4</v>
      </c>
      <c r="Y383" s="28">
        <f t="shared" si="381"/>
        <v>1.1365653848406126E-2</v>
      </c>
      <c r="Z383" s="28">
        <f t="shared" si="381"/>
        <v>8.9185447449848171E-4</v>
      </c>
      <c r="AA383" s="28">
        <f t="shared" si="381"/>
        <v>6.1209253006157096E-3</v>
      </c>
      <c r="AB383" s="28">
        <f t="shared" si="381"/>
        <v>1.4822165934029155E-6</v>
      </c>
      <c r="AC383" s="28">
        <f t="shared" si="381"/>
        <v>2.342634086623537E-3</v>
      </c>
      <c r="AD383" s="28">
        <f t="shared" si="381"/>
        <v>0</v>
      </c>
      <c r="AE383" s="28">
        <f t="shared" si="381"/>
        <v>0</v>
      </c>
      <c r="AF383" s="28">
        <f t="shared" si="381"/>
        <v>0</v>
      </c>
      <c r="AG383" s="28">
        <f t="shared" si="381"/>
        <v>1.0338556545612294E-3</v>
      </c>
      <c r="AH383" s="28">
        <f t="shared" si="381"/>
        <v>2.4448336359335055E-5</v>
      </c>
      <c r="AI383" s="28">
        <f t="shared" si="381"/>
        <v>1.1484273315114123E-4</v>
      </c>
      <c r="AJ383" s="28">
        <f t="shared" si="381"/>
        <v>0</v>
      </c>
      <c r="AK383" s="28">
        <f t="shared" si="381"/>
        <v>0</v>
      </c>
      <c r="AL383" s="28">
        <f t="shared" si="381"/>
        <v>3.7067569690472538E-3</v>
      </c>
      <c r="AM383" s="28">
        <f t="shared" si="381"/>
        <v>2.247932821616437E-3</v>
      </c>
      <c r="AN383" s="28">
        <f t="shared" si="381"/>
        <v>1.7947404118799088E-3</v>
      </c>
      <c r="AO383" s="28">
        <f t="shared" si="381"/>
        <v>1.1460572480690917E-4</v>
      </c>
      <c r="AP383" s="28">
        <f t="shared" si="381"/>
        <v>3.0824100303536125E-4</v>
      </c>
      <c r="AQ383" s="28">
        <f t="shared" si="381"/>
        <v>1.0805139807835448E-2</v>
      </c>
      <c r="AR383" s="28">
        <f t="shared" si="381"/>
        <v>2.5300713867816666E-3</v>
      </c>
      <c r="AS383" s="28">
        <f t="shared" si="381"/>
        <v>3.2923893313914823E-4</v>
      </c>
      <c r="AT383" s="28">
        <f t="shared" si="381"/>
        <v>9.2814692949786462E-3</v>
      </c>
      <c r="AU383" s="28">
        <f t="shared" si="381"/>
        <v>1.3424190340624897E-6</v>
      </c>
      <c r="AV383" s="28">
        <f t="shared" si="381"/>
        <v>5.4737965844454013E-3</v>
      </c>
      <c r="AW383" s="28">
        <f t="shared" si="381"/>
        <v>2.4731344169341371E-4</v>
      </c>
      <c r="AX383" s="28">
        <f t="shared" si="381"/>
        <v>8.4579260711270001E-5</v>
      </c>
      <c r="AY383" s="28">
        <f t="shared" si="381"/>
        <v>6.5732064785305937E-4</v>
      </c>
      <c r="AZ383" s="28">
        <f t="shared" si="381"/>
        <v>1.9659526325734131E-4</v>
      </c>
      <c r="BA383" s="28">
        <f t="shared" si="381"/>
        <v>2.7446139460953839E-4</v>
      </c>
      <c r="BB383" s="28">
        <f t="shared" si="381"/>
        <v>4.1495253508516168E-6</v>
      </c>
      <c r="BC383" s="28">
        <f t="shared" si="381"/>
        <v>0</v>
      </c>
      <c r="BD383" s="28">
        <f t="shared" si="381"/>
        <v>1.4243292121483909E-4</v>
      </c>
      <c r="BE383" s="28">
        <f t="shared" si="381"/>
        <v>2.6600991233857317E-3</v>
      </c>
      <c r="BF383" s="28">
        <f t="shared" si="381"/>
        <v>8.3594020342461068E-7</v>
      </c>
      <c r="BG383" s="28">
        <f t="shared" si="381"/>
        <v>0</v>
      </c>
      <c r="BH383" s="28">
        <f t="shared" si="381"/>
        <v>1.070505417875655E-5</v>
      </c>
      <c r="BI383" s="28">
        <f t="shared" si="381"/>
        <v>1.5205320525218608E-5</v>
      </c>
      <c r="BJ383" s="28">
        <f t="shared" si="381"/>
        <v>2.8700534404400927E-4</v>
      </c>
      <c r="BK383" s="28">
        <f t="shared" si="381"/>
        <v>9.9370490864787028E-5</v>
      </c>
      <c r="BL383" s="28">
        <f t="shared" si="381"/>
        <v>0</v>
      </c>
      <c r="BM383" s="28">
        <f t="shared" si="381"/>
        <v>4.731645885523492E-4</v>
      </c>
      <c r="BN383" s="28">
        <f t="shared" si="381"/>
        <v>1.3074166213585231E-5</v>
      </c>
      <c r="BO383" s="28">
        <f t="shared" si="381"/>
        <v>0</v>
      </c>
      <c r="BP383" s="28">
        <f t="shared" si="381"/>
        <v>0</v>
      </c>
      <c r="BQ383" s="28">
        <f t="shared" si="381"/>
        <v>1.2026832556773391E-6</v>
      </c>
      <c r="BR383" s="28">
        <f t="shared" si="381"/>
        <v>0</v>
      </c>
    </row>
    <row r="384" spans="1:70" x14ac:dyDescent="0.3">
      <c r="B384" s="3" t="s">
        <v>18</v>
      </c>
      <c r="E384" s="30">
        <f t="shared" si="374"/>
        <v>0.27262049546267175</v>
      </c>
      <c r="F384" s="28">
        <f>F379*F157</f>
        <v>4.630903242161327E-3</v>
      </c>
      <c r="G384" s="28">
        <f t="shared" ref="G384:BR384" si="382">G379*G157</f>
        <v>3.408094547508576E-4</v>
      </c>
      <c r="H384" s="28">
        <f t="shared" si="382"/>
        <v>7.9786177507694956E-5</v>
      </c>
      <c r="I384" s="28">
        <f t="shared" si="382"/>
        <v>9.1792576353169622E-5</v>
      </c>
      <c r="J384" s="28">
        <f t="shared" si="382"/>
        <v>1.770362838582833E-2</v>
      </c>
      <c r="K384" s="28">
        <f t="shared" si="382"/>
        <v>4.6223526520303157E-3</v>
      </c>
      <c r="L384" s="28">
        <f t="shared" si="382"/>
        <v>2.6472945473913546E-4</v>
      </c>
      <c r="M384" s="28">
        <f t="shared" si="382"/>
        <v>1.4821438783113434E-4</v>
      </c>
      <c r="N384" s="28">
        <f t="shared" si="382"/>
        <v>2.0572094762088782E-4</v>
      </c>
      <c r="O384" s="28">
        <f t="shared" si="382"/>
        <v>3.6008447968034316E-3</v>
      </c>
      <c r="P384" s="28">
        <f t="shared" si="382"/>
        <v>2.672908912367721E-4</v>
      </c>
      <c r="Q384" s="28">
        <f t="shared" si="382"/>
        <v>1.8659795730819161E-4</v>
      </c>
      <c r="R384" s="28">
        <f t="shared" si="382"/>
        <v>4.0547896412395593E-4</v>
      </c>
      <c r="S384" s="28">
        <f t="shared" si="382"/>
        <v>4.6990363898995462E-4</v>
      </c>
      <c r="T384" s="28">
        <f t="shared" si="382"/>
        <v>0</v>
      </c>
      <c r="U384" s="28">
        <f t="shared" si="382"/>
        <v>3.5921299895891643E-4</v>
      </c>
      <c r="V384" s="28">
        <f t="shared" si="382"/>
        <v>3.0112600122504288E-4</v>
      </c>
      <c r="W384" s="28">
        <f t="shared" si="382"/>
        <v>5.1578665145355664E-4</v>
      </c>
      <c r="X384" s="28">
        <f t="shared" si="382"/>
        <v>4.0909703137768453E-5</v>
      </c>
      <c r="Y384" s="28">
        <f t="shared" si="382"/>
        <v>7.9475670311710445E-4</v>
      </c>
      <c r="Z384" s="28">
        <f t="shared" si="382"/>
        <v>7.8092723245252977E-5</v>
      </c>
      <c r="AA384" s="28">
        <f t="shared" si="382"/>
        <v>2.5310488982293543E-3</v>
      </c>
      <c r="AB384" s="28">
        <f t="shared" si="382"/>
        <v>1.3825907917971169E-5</v>
      </c>
      <c r="AC384" s="28">
        <f t="shared" si="382"/>
        <v>2.6767708384047295E-3</v>
      </c>
      <c r="AD384" s="28">
        <f t="shared" si="382"/>
        <v>2.1141025984223127E-4</v>
      </c>
      <c r="AE384" s="28">
        <f t="shared" si="382"/>
        <v>4.5328826277905628E-3</v>
      </c>
      <c r="AF384" s="28">
        <f t="shared" si="382"/>
        <v>2.0379891223658562E-3</v>
      </c>
      <c r="AG384" s="28">
        <f t="shared" si="382"/>
        <v>4.9106710972828297E-4</v>
      </c>
      <c r="AH384" s="28">
        <f t="shared" si="382"/>
        <v>1.9113113968989408E-4</v>
      </c>
      <c r="AI384" s="28">
        <f t="shared" si="382"/>
        <v>7.099341426681333E-3</v>
      </c>
      <c r="AJ384" s="28">
        <f t="shared" si="382"/>
        <v>2.077121975702333E-2</v>
      </c>
      <c r="AK384" s="28">
        <f t="shared" si="382"/>
        <v>7.0498393758022193E-2</v>
      </c>
      <c r="AL384" s="28">
        <f t="shared" si="382"/>
        <v>1.0426039605990447E-2</v>
      </c>
      <c r="AM384" s="28">
        <f t="shared" si="382"/>
        <v>2.9510426557944111E-4</v>
      </c>
      <c r="AN384" s="28">
        <f t="shared" si="382"/>
        <v>3.3405888846601406E-4</v>
      </c>
      <c r="AO384" s="28">
        <f t="shared" si="382"/>
        <v>9.2852571632047698E-5</v>
      </c>
      <c r="AP384" s="28">
        <f t="shared" si="382"/>
        <v>1.2078229130799436E-3</v>
      </c>
      <c r="AQ384" s="28">
        <f t="shared" si="382"/>
        <v>3.0410552964447349E-2</v>
      </c>
      <c r="AR384" s="28">
        <f t="shared" si="382"/>
        <v>3.1765951325322212E-3</v>
      </c>
      <c r="AS384" s="28">
        <f t="shared" si="382"/>
        <v>4.1710913300325352E-4</v>
      </c>
      <c r="AT384" s="28">
        <f t="shared" si="382"/>
        <v>4.7107717791236058E-3</v>
      </c>
      <c r="AU384" s="28">
        <f t="shared" si="382"/>
        <v>3.5015223057205969E-6</v>
      </c>
      <c r="AV384" s="28">
        <f t="shared" si="382"/>
        <v>9.0260667694447121E-3</v>
      </c>
      <c r="AW384" s="28">
        <f t="shared" si="382"/>
        <v>3.2875740984080735E-3</v>
      </c>
      <c r="AX384" s="28">
        <f t="shared" si="382"/>
        <v>5.9464313697662433E-4</v>
      </c>
      <c r="AY384" s="28">
        <f t="shared" si="382"/>
        <v>1.3222746967779605E-2</v>
      </c>
      <c r="AZ384" s="28">
        <f t="shared" si="382"/>
        <v>1.2574692293128886E-4</v>
      </c>
      <c r="BA384" s="28">
        <f t="shared" si="382"/>
        <v>6.4882977269854552E-4</v>
      </c>
      <c r="BB384" s="28">
        <f t="shared" si="382"/>
        <v>4.0313537631816716E-5</v>
      </c>
      <c r="BC384" s="28">
        <f t="shared" si="382"/>
        <v>0</v>
      </c>
      <c r="BD384" s="28">
        <f t="shared" si="382"/>
        <v>8.3140259329862363E-4</v>
      </c>
      <c r="BE384" s="28">
        <f t="shared" si="382"/>
        <v>5.9115970496842268E-4</v>
      </c>
      <c r="BF384" s="28">
        <f t="shared" si="382"/>
        <v>1.4439269269123019E-4</v>
      </c>
      <c r="BG384" s="28">
        <f t="shared" si="382"/>
        <v>5.0359893150532572E-3</v>
      </c>
      <c r="BH384" s="28">
        <f t="shared" si="382"/>
        <v>6.4737584402650814E-4</v>
      </c>
      <c r="BI384" s="28">
        <f t="shared" si="382"/>
        <v>2.4070194950255946E-3</v>
      </c>
      <c r="BJ384" s="28">
        <f t="shared" si="382"/>
        <v>1.1563957204006737E-2</v>
      </c>
      <c r="BK384" s="28">
        <f t="shared" si="382"/>
        <v>9.0941305953891813E-3</v>
      </c>
      <c r="BL384" s="28">
        <f t="shared" si="382"/>
        <v>2.9762419064800496E-3</v>
      </c>
      <c r="BM384" s="28">
        <f t="shared" si="382"/>
        <v>6.2699708016264654E-3</v>
      </c>
      <c r="BN384" s="28">
        <f t="shared" si="382"/>
        <v>3.4128291668578804E-3</v>
      </c>
      <c r="BO384" s="28">
        <f t="shared" si="382"/>
        <v>0</v>
      </c>
      <c r="BP384" s="28">
        <f t="shared" si="382"/>
        <v>1.4114982772416357E-4</v>
      </c>
      <c r="BQ384" s="28">
        <f t="shared" si="382"/>
        <v>5.3215271793743794E-3</v>
      </c>
      <c r="BR384" s="28">
        <f t="shared" si="382"/>
        <v>0</v>
      </c>
    </row>
    <row r="385" spans="2:70" x14ac:dyDescent="0.3">
      <c r="E385" s="31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</row>
    <row r="386" spans="2:70" x14ac:dyDescent="0.3">
      <c r="B386" s="16" t="s">
        <v>102</v>
      </c>
      <c r="E386" s="31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</row>
    <row r="387" spans="2:70" x14ac:dyDescent="0.3">
      <c r="B387" s="7" t="s">
        <v>103</v>
      </c>
      <c r="E387" s="76">
        <f t="shared" ref="E387:E393" si="383">SUM(F387:BR387)</f>
        <v>0.99960506372780344</v>
      </c>
      <c r="F387" s="28">
        <f t="array" ref="F387:BR387">TRANSPOSE(BV89:BV153)</f>
        <v>0</v>
      </c>
      <c r="G387" s="28">
        <v>0</v>
      </c>
      <c r="H387" s="28">
        <v>0</v>
      </c>
      <c r="I387" s="28">
        <v>0</v>
      </c>
      <c r="J387" s="28">
        <v>3.1279221422095662E-4</v>
      </c>
      <c r="K387" s="28">
        <v>6.1121089744700567E-6</v>
      </c>
      <c r="L387" s="28">
        <v>0</v>
      </c>
      <c r="M387" s="28">
        <v>0</v>
      </c>
      <c r="N387" s="28">
        <v>0</v>
      </c>
      <c r="O387" s="28">
        <v>0</v>
      </c>
      <c r="P387" s="28">
        <v>5.2470104734681411E-4</v>
      </c>
      <c r="Q387" s="28">
        <v>1.9515258712139685E-2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4.2919094886663368E-4</v>
      </c>
      <c r="AA387" s="28">
        <v>4.9454349867058265E-4</v>
      </c>
      <c r="AB387" s="28">
        <v>0</v>
      </c>
      <c r="AC387" s="28">
        <v>0</v>
      </c>
      <c r="AD387" s="28">
        <v>0</v>
      </c>
      <c r="AE387" s="28">
        <v>1.9657482786353312E-3</v>
      </c>
      <c r="AF387" s="28">
        <v>0</v>
      </c>
      <c r="AG387" s="28">
        <v>0</v>
      </c>
      <c r="AH387" s="28">
        <v>0</v>
      </c>
      <c r="AI387" s="28">
        <v>0</v>
      </c>
      <c r="AJ387" s="28">
        <v>6.1256093470400405E-3</v>
      </c>
      <c r="AK387" s="28">
        <v>6.9999767605526909E-3</v>
      </c>
      <c r="AL387" s="28">
        <v>4.4013901219453058E-4</v>
      </c>
      <c r="AM387" s="28">
        <v>0</v>
      </c>
      <c r="AN387" s="28">
        <v>0</v>
      </c>
      <c r="AO387" s="28">
        <v>0</v>
      </c>
      <c r="AP387" s="28">
        <v>0</v>
      </c>
      <c r="AQ387" s="28">
        <v>0</v>
      </c>
      <c r="AR387" s="28">
        <v>0</v>
      </c>
      <c r="AS387" s="28">
        <v>1.0155839972359835E-2</v>
      </c>
      <c r="AT387" s="28">
        <v>0</v>
      </c>
      <c r="AU387" s="28">
        <v>2.0661279144852818E-3</v>
      </c>
      <c r="AV387" s="28">
        <v>0</v>
      </c>
      <c r="AW387" s="28">
        <v>0</v>
      </c>
      <c r="AX387" s="28">
        <v>0</v>
      </c>
      <c r="AY387" s="28">
        <v>1.0060934368173832E-2</v>
      </c>
      <c r="AZ387" s="28">
        <v>1.0596784976946603E-3</v>
      </c>
      <c r="BA387" s="28">
        <v>1.9193365500489708E-3</v>
      </c>
      <c r="BB387" s="28">
        <v>2.6401691294435873E-2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0.43224068974679619</v>
      </c>
      <c r="BJ387" s="28">
        <v>0.23621061199136673</v>
      </c>
      <c r="BK387" s="28">
        <v>0.17967189124368521</v>
      </c>
      <c r="BL387" s="28">
        <v>1.8961004610410816E-2</v>
      </c>
      <c r="BM387" s="28">
        <v>2.9532199328903868E-2</v>
      </c>
      <c r="BN387" s="28">
        <v>1.4097344268500784E-2</v>
      </c>
      <c r="BO387" s="28">
        <v>0</v>
      </c>
      <c r="BP387" s="28">
        <v>0</v>
      </c>
      <c r="BQ387" s="28">
        <v>4.1364201229971255E-4</v>
      </c>
      <c r="BR387" s="28">
        <v>0</v>
      </c>
    </row>
    <row r="388" spans="2:70" x14ac:dyDescent="0.3">
      <c r="B388" s="7" t="s">
        <v>232</v>
      </c>
      <c r="E388" s="76">
        <f t="shared" si="383"/>
        <v>1.5283492441625925</v>
      </c>
      <c r="F388" s="28">
        <f>F387*F372</f>
        <v>0</v>
      </c>
      <c r="G388" s="28">
        <f t="shared" ref="G388:BR388" si="384">G387*G372</f>
        <v>0</v>
      </c>
      <c r="H388" s="28">
        <f t="shared" si="384"/>
        <v>0</v>
      </c>
      <c r="I388" s="28">
        <f t="shared" si="384"/>
        <v>0</v>
      </c>
      <c r="J388" s="28">
        <f t="shared" si="384"/>
        <v>5.8374480770907288E-4</v>
      </c>
      <c r="K388" s="28">
        <f t="shared" si="384"/>
        <v>8.9307667598110386E-6</v>
      </c>
      <c r="L388" s="28">
        <f t="shared" si="384"/>
        <v>0</v>
      </c>
      <c r="M388" s="28">
        <f t="shared" si="384"/>
        <v>0</v>
      </c>
      <c r="N388" s="28">
        <f t="shared" si="384"/>
        <v>0</v>
      </c>
      <c r="O388" s="28">
        <f t="shared" si="384"/>
        <v>0</v>
      </c>
      <c r="P388" s="28">
        <f t="shared" si="384"/>
        <v>7.2021561886843638E-4</v>
      </c>
      <c r="Q388" s="28">
        <f t="shared" si="384"/>
        <v>2.1995117986840299E-2</v>
      </c>
      <c r="R388" s="28">
        <f t="shared" si="384"/>
        <v>0</v>
      </c>
      <c r="S388" s="28">
        <f t="shared" si="384"/>
        <v>0</v>
      </c>
      <c r="T388" s="28">
        <f t="shared" si="384"/>
        <v>0</v>
      </c>
      <c r="U388" s="28">
        <f t="shared" si="384"/>
        <v>0</v>
      </c>
      <c r="V388" s="28">
        <f t="shared" si="384"/>
        <v>0</v>
      </c>
      <c r="W388" s="28">
        <f t="shared" si="384"/>
        <v>0</v>
      </c>
      <c r="X388" s="28">
        <f t="shared" si="384"/>
        <v>0</v>
      </c>
      <c r="Y388" s="28">
        <f t="shared" si="384"/>
        <v>0</v>
      </c>
      <c r="Z388" s="28">
        <f t="shared" si="384"/>
        <v>5.7681944981418699E-4</v>
      </c>
      <c r="AA388" s="28">
        <f t="shared" si="384"/>
        <v>8.9487586283968886E-4</v>
      </c>
      <c r="AB388" s="28">
        <f t="shared" si="384"/>
        <v>0</v>
      </c>
      <c r="AC388" s="28">
        <f t="shared" si="384"/>
        <v>0</v>
      </c>
      <c r="AD388" s="28">
        <f t="shared" si="384"/>
        <v>0</v>
      </c>
      <c r="AE388" s="28">
        <f t="shared" si="384"/>
        <v>4.8450596796326987E-3</v>
      </c>
      <c r="AF388" s="28">
        <f t="shared" si="384"/>
        <v>0</v>
      </c>
      <c r="AG388" s="28">
        <f t="shared" si="384"/>
        <v>0</v>
      </c>
      <c r="AH388" s="28">
        <f t="shared" si="384"/>
        <v>0</v>
      </c>
      <c r="AI388" s="28">
        <f t="shared" si="384"/>
        <v>0</v>
      </c>
      <c r="AJ388" s="28">
        <f t="shared" si="384"/>
        <v>1.128070253226927E-2</v>
      </c>
      <c r="AK388" s="28">
        <f t="shared" si="384"/>
        <v>1.2218486655387205E-2</v>
      </c>
      <c r="AL388" s="28">
        <f t="shared" si="384"/>
        <v>8.7455030243348969E-4</v>
      </c>
      <c r="AM388" s="28">
        <f t="shared" si="384"/>
        <v>0</v>
      </c>
      <c r="AN388" s="28">
        <f t="shared" si="384"/>
        <v>0</v>
      </c>
      <c r="AO388" s="28">
        <f t="shared" si="384"/>
        <v>0</v>
      </c>
      <c r="AP388" s="28">
        <f t="shared" si="384"/>
        <v>0</v>
      </c>
      <c r="AQ388" s="28">
        <f t="shared" si="384"/>
        <v>0</v>
      </c>
      <c r="AR388" s="28">
        <f t="shared" si="384"/>
        <v>0</v>
      </c>
      <c r="AS388" s="28">
        <f t="shared" si="384"/>
        <v>1.6903608699567613E-2</v>
      </c>
      <c r="AT388" s="28">
        <f t="shared" si="384"/>
        <v>0</v>
      </c>
      <c r="AU388" s="28">
        <f t="shared" si="384"/>
        <v>3.0456444170443662E-3</v>
      </c>
      <c r="AV388" s="28">
        <f t="shared" si="384"/>
        <v>0</v>
      </c>
      <c r="AW388" s="28">
        <f t="shared" si="384"/>
        <v>0</v>
      </c>
      <c r="AX388" s="28">
        <f t="shared" si="384"/>
        <v>0</v>
      </c>
      <c r="AY388" s="28">
        <f t="shared" si="384"/>
        <v>1.4713620484075037E-2</v>
      </c>
      <c r="AZ388" s="28">
        <f t="shared" si="384"/>
        <v>1.4966401872968332E-3</v>
      </c>
      <c r="BA388" s="28">
        <f t="shared" si="384"/>
        <v>3.1781130894662133E-3</v>
      </c>
      <c r="BB388" s="28">
        <f t="shared" si="384"/>
        <v>4.0645392169184544E-2</v>
      </c>
      <c r="BC388" s="28">
        <f t="shared" si="384"/>
        <v>0</v>
      </c>
      <c r="BD388" s="28">
        <f t="shared" si="384"/>
        <v>0</v>
      </c>
      <c r="BE388" s="28">
        <f t="shared" si="384"/>
        <v>0</v>
      </c>
      <c r="BF388" s="28">
        <f t="shared" si="384"/>
        <v>0</v>
      </c>
      <c r="BG388" s="28">
        <f t="shared" si="384"/>
        <v>0</v>
      </c>
      <c r="BH388" s="28">
        <f t="shared" si="384"/>
        <v>0</v>
      </c>
      <c r="BI388" s="28">
        <f t="shared" si="384"/>
        <v>0.67259291975348867</v>
      </c>
      <c r="BJ388" s="28">
        <f t="shared" si="384"/>
        <v>0.33551452656046482</v>
      </c>
      <c r="BK388" s="28">
        <f t="shared" si="384"/>
        <v>0.27670836958946182</v>
      </c>
      <c r="BL388" s="28">
        <f t="shared" si="384"/>
        <v>2.9429316866240365E-2</v>
      </c>
      <c r="BM388" s="28">
        <f t="shared" si="384"/>
        <v>5.1486978976198645E-2</v>
      </c>
      <c r="BN388" s="28">
        <f t="shared" si="384"/>
        <v>2.7854773938364687E-2</v>
      </c>
      <c r="BO388" s="28">
        <f t="shared" si="384"/>
        <v>0</v>
      </c>
      <c r="BP388" s="28">
        <f t="shared" si="384"/>
        <v>0</v>
      </c>
      <c r="BQ388" s="28">
        <f t="shared" si="384"/>
        <v>7.8083576918443046E-4</v>
      </c>
      <c r="BR388" s="28">
        <f t="shared" si="384"/>
        <v>0</v>
      </c>
    </row>
    <row r="389" spans="2:70" x14ac:dyDescent="0.3">
      <c r="B389" s="3" t="s">
        <v>18</v>
      </c>
      <c r="E389" s="30">
        <f t="shared" si="383"/>
        <v>0.7974463126794622</v>
      </c>
      <c r="F389" s="28">
        <f>F157*F388</f>
        <v>0</v>
      </c>
      <c r="G389" s="28">
        <f t="shared" ref="G389:BR389" si="385">G157*G388</f>
        <v>0</v>
      </c>
      <c r="H389" s="28">
        <f t="shared" si="385"/>
        <v>0</v>
      </c>
      <c r="I389" s="28">
        <f t="shared" si="385"/>
        <v>0</v>
      </c>
      <c r="J389" s="28">
        <f t="shared" si="385"/>
        <v>4.465427176362412E-5</v>
      </c>
      <c r="K389" s="28">
        <f t="shared" si="385"/>
        <v>9.5086639643383349E-7</v>
      </c>
      <c r="L389" s="28">
        <f t="shared" si="385"/>
        <v>0</v>
      </c>
      <c r="M389" s="28">
        <f t="shared" si="385"/>
        <v>0</v>
      </c>
      <c r="N389" s="28">
        <f t="shared" si="385"/>
        <v>0</v>
      </c>
      <c r="O389" s="28">
        <f t="shared" si="385"/>
        <v>0</v>
      </c>
      <c r="P389" s="28">
        <f t="shared" si="385"/>
        <v>2.1055162310306333E-5</v>
      </c>
      <c r="Q389" s="28">
        <f t="shared" si="385"/>
        <v>4.4221030898135971E-4</v>
      </c>
      <c r="R389" s="28">
        <f t="shared" si="385"/>
        <v>0</v>
      </c>
      <c r="S389" s="28">
        <f t="shared" si="385"/>
        <v>0</v>
      </c>
      <c r="T389" s="28">
        <f t="shared" si="385"/>
        <v>0</v>
      </c>
      <c r="U389" s="28">
        <f t="shared" si="385"/>
        <v>0</v>
      </c>
      <c r="V389" s="28">
        <f t="shared" si="385"/>
        <v>0</v>
      </c>
      <c r="W389" s="28">
        <f t="shared" si="385"/>
        <v>0</v>
      </c>
      <c r="X389" s="28">
        <f t="shared" si="385"/>
        <v>0</v>
      </c>
      <c r="Y389" s="28">
        <f t="shared" si="385"/>
        <v>0</v>
      </c>
      <c r="Z389" s="28">
        <f t="shared" si="385"/>
        <v>3.4879308418082397E-5</v>
      </c>
      <c r="AA389" s="28">
        <f t="shared" si="385"/>
        <v>1.2938087001650094E-4</v>
      </c>
      <c r="AB389" s="28">
        <f t="shared" si="385"/>
        <v>0</v>
      </c>
      <c r="AC389" s="28">
        <f t="shared" si="385"/>
        <v>0</v>
      </c>
      <c r="AD389" s="28">
        <f t="shared" si="385"/>
        <v>0</v>
      </c>
      <c r="AE389" s="28">
        <f t="shared" si="385"/>
        <v>5.0544509650459347E-4</v>
      </c>
      <c r="AF389" s="28">
        <f t="shared" si="385"/>
        <v>0</v>
      </c>
      <c r="AG389" s="28">
        <f t="shared" si="385"/>
        <v>0</v>
      </c>
      <c r="AH389" s="28">
        <f t="shared" si="385"/>
        <v>0</v>
      </c>
      <c r="AI389" s="28">
        <f t="shared" si="385"/>
        <v>0</v>
      </c>
      <c r="AJ389" s="28">
        <f t="shared" si="385"/>
        <v>2.9184506912319341E-3</v>
      </c>
      <c r="AK389" s="28">
        <f t="shared" si="385"/>
        <v>4.7865709476516824E-3</v>
      </c>
      <c r="AL389" s="28">
        <f t="shared" si="385"/>
        <v>1.5775937340154568E-4</v>
      </c>
      <c r="AM389" s="28">
        <f t="shared" si="385"/>
        <v>0</v>
      </c>
      <c r="AN389" s="28">
        <f t="shared" si="385"/>
        <v>0</v>
      </c>
      <c r="AO389" s="28">
        <f t="shared" si="385"/>
        <v>0</v>
      </c>
      <c r="AP389" s="28">
        <f t="shared" si="385"/>
        <v>0</v>
      </c>
      <c r="AQ389" s="28">
        <f t="shared" si="385"/>
        <v>0</v>
      </c>
      <c r="AR389" s="28">
        <f t="shared" si="385"/>
        <v>0</v>
      </c>
      <c r="AS389" s="28">
        <f t="shared" si="385"/>
        <v>3.888046247792981E-3</v>
      </c>
      <c r="AT389" s="28">
        <f t="shared" si="385"/>
        <v>0</v>
      </c>
      <c r="AU389" s="28">
        <f t="shared" si="385"/>
        <v>1.2119316739634767E-3</v>
      </c>
      <c r="AV389" s="28">
        <f t="shared" si="385"/>
        <v>0</v>
      </c>
      <c r="AW389" s="28">
        <f t="shared" si="385"/>
        <v>0</v>
      </c>
      <c r="AX389" s="28">
        <f t="shared" si="385"/>
        <v>0</v>
      </c>
      <c r="AY389" s="28">
        <f t="shared" si="385"/>
        <v>9.721151298249486E-4</v>
      </c>
      <c r="AZ389" s="28">
        <f t="shared" si="385"/>
        <v>3.1677819193499755E-4</v>
      </c>
      <c r="BA389" s="28">
        <f t="shared" si="385"/>
        <v>9.5540909162508756E-4</v>
      </c>
      <c r="BB389" s="28">
        <f t="shared" si="385"/>
        <v>2.4134413192727546E-2</v>
      </c>
      <c r="BC389" s="28">
        <f t="shared" si="385"/>
        <v>0</v>
      </c>
      <c r="BD389" s="28">
        <f t="shared" si="385"/>
        <v>0</v>
      </c>
      <c r="BE389" s="28">
        <f t="shared" si="385"/>
        <v>0</v>
      </c>
      <c r="BF389" s="28">
        <f t="shared" si="385"/>
        <v>0</v>
      </c>
      <c r="BG389" s="28">
        <f t="shared" si="385"/>
        <v>0</v>
      </c>
      <c r="BH389" s="28">
        <f t="shared" si="385"/>
        <v>0</v>
      </c>
      <c r="BI389" s="28">
        <f t="shared" si="385"/>
        <v>0.35343872676814053</v>
      </c>
      <c r="BJ389" s="28">
        <f t="shared" si="385"/>
        <v>0.21498766911738154</v>
      </c>
      <c r="BK389" s="28">
        <f t="shared" si="385"/>
        <v>0.14376171588813919</v>
      </c>
      <c r="BL389" s="28">
        <f t="shared" si="385"/>
        <v>1.7139166516776404E-2</v>
      </c>
      <c r="BM389" s="28">
        <f t="shared" si="385"/>
        <v>1.9530581262348391E-2</v>
      </c>
      <c r="BN389" s="28">
        <f t="shared" si="385"/>
        <v>7.8385218417666522E-3</v>
      </c>
      <c r="BO389" s="28">
        <f t="shared" si="385"/>
        <v>0</v>
      </c>
      <c r="BP389" s="28">
        <f t="shared" si="385"/>
        <v>0</v>
      </c>
      <c r="BQ389" s="28">
        <f t="shared" si="385"/>
        <v>2.2988086036437489E-4</v>
      </c>
      <c r="BR389" s="28">
        <f t="shared" si="385"/>
        <v>0</v>
      </c>
    </row>
    <row r="390" spans="2:70" x14ac:dyDescent="0.3">
      <c r="B390" s="3" t="s">
        <v>44</v>
      </c>
      <c r="E390" s="30">
        <f t="shared" si="383"/>
        <v>0.94937635164474188</v>
      </c>
      <c r="F390" s="28">
        <f>F388*F162</f>
        <v>0</v>
      </c>
      <c r="G390" s="28">
        <f t="shared" ref="G390:BR390" si="386">G388*G162</f>
        <v>0</v>
      </c>
      <c r="H390" s="28">
        <f t="shared" si="386"/>
        <v>0</v>
      </c>
      <c r="I390" s="28">
        <f t="shared" si="386"/>
        <v>0</v>
      </c>
      <c r="J390" s="28">
        <f t="shared" si="386"/>
        <v>6.9165826340650467E-5</v>
      </c>
      <c r="K390" s="28">
        <f t="shared" si="386"/>
        <v>1.2038840509894683E-6</v>
      </c>
      <c r="L390" s="28">
        <f t="shared" si="386"/>
        <v>0</v>
      </c>
      <c r="M390" s="28">
        <f t="shared" si="386"/>
        <v>0</v>
      </c>
      <c r="N390" s="28">
        <f t="shared" si="386"/>
        <v>0</v>
      </c>
      <c r="O390" s="28">
        <f t="shared" si="386"/>
        <v>0</v>
      </c>
      <c r="P390" s="28">
        <f t="shared" si="386"/>
        <v>6.0155989209196533E-5</v>
      </c>
      <c r="Q390" s="28">
        <f t="shared" si="386"/>
        <v>6.0518091672716573E-4</v>
      </c>
      <c r="R390" s="28">
        <f t="shared" si="386"/>
        <v>0</v>
      </c>
      <c r="S390" s="28">
        <f t="shared" si="386"/>
        <v>0</v>
      </c>
      <c r="T390" s="28">
        <f t="shared" si="386"/>
        <v>0</v>
      </c>
      <c r="U390" s="28">
        <f t="shared" si="386"/>
        <v>0</v>
      </c>
      <c r="V390" s="28">
        <f t="shared" si="386"/>
        <v>0</v>
      </c>
      <c r="W390" s="28">
        <f t="shared" si="386"/>
        <v>0</v>
      </c>
      <c r="X390" s="28">
        <f t="shared" si="386"/>
        <v>0</v>
      </c>
      <c r="Y390" s="28">
        <f t="shared" si="386"/>
        <v>0</v>
      </c>
      <c r="Z390" s="28">
        <f t="shared" si="386"/>
        <v>6.1585520658600178E-5</v>
      </c>
      <c r="AA390" s="28">
        <f t="shared" si="386"/>
        <v>1.8052584474624868E-4</v>
      </c>
      <c r="AB390" s="28">
        <f t="shared" si="386"/>
        <v>0</v>
      </c>
      <c r="AC390" s="28">
        <f t="shared" si="386"/>
        <v>0</v>
      </c>
      <c r="AD390" s="28">
        <f t="shared" si="386"/>
        <v>0</v>
      </c>
      <c r="AE390" s="28">
        <f t="shared" si="386"/>
        <v>1.523123668000486E-3</v>
      </c>
      <c r="AF390" s="28">
        <f t="shared" si="386"/>
        <v>0</v>
      </c>
      <c r="AG390" s="28">
        <f t="shared" si="386"/>
        <v>0</v>
      </c>
      <c r="AH390" s="28">
        <f t="shared" si="386"/>
        <v>0</v>
      </c>
      <c r="AI390" s="28">
        <f t="shared" si="386"/>
        <v>0</v>
      </c>
      <c r="AJ390" s="28">
        <f t="shared" si="386"/>
        <v>5.9270345716577865E-3</v>
      </c>
      <c r="AK390" s="28">
        <f t="shared" si="386"/>
        <v>6.6006015821259735E-3</v>
      </c>
      <c r="AL390" s="28">
        <f t="shared" si="386"/>
        <v>2.9039865140497015E-4</v>
      </c>
      <c r="AM390" s="28">
        <f t="shared" si="386"/>
        <v>0</v>
      </c>
      <c r="AN390" s="28">
        <f t="shared" si="386"/>
        <v>0</v>
      </c>
      <c r="AO390" s="28">
        <f t="shared" si="386"/>
        <v>0</v>
      </c>
      <c r="AP390" s="28">
        <f t="shared" si="386"/>
        <v>0</v>
      </c>
      <c r="AQ390" s="28">
        <f t="shared" si="386"/>
        <v>0</v>
      </c>
      <c r="AR390" s="28">
        <f t="shared" si="386"/>
        <v>0</v>
      </c>
      <c r="AS390" s="28">
        <f t="shared" si="386"/>
        <v>7.11168302835735E-3</v>
      </c>
      <c r="AT390" s="28">
        <f t="shared" si="386"/>
        <v>0</v>
      </c>
      <c r="AU390" s="28">
        <f t="shared" si="386"/>
        <v>1.6915073379911699E-3</v>
      </c>
      <c r="AV390" s="28">
        <f t="shared" si="386"/>
        <v>0</v>
      </c>
      <c r="AW390" s="28">
        <f t="shared" si="386"/>
        <v>0</v>
      </c>
      <c r="AX390" s="28">
        <f t="shared" si="386"/>
        <v>0</v>
      </c>
      <c r="AY390" s="28">
        <f t="shared" si="386"/>
        <v>1.0509423716829959E-2</v>
      </c>
      <c r="AZ390" s="28">
        <f t="shared" si="386"/>
        <v>6.2058603894976725E-4</v>
      </c>
      <c r="BA390" s="28">
        <f t="shared" si="386"/>
        <v>1.4772181933876891E-3</v>
      </c>
      <c r="BB390" s="28">
        <f t="shared" si="386"/>
        <v>2.3825224789538819E-2</v>
      </c>
      <c r="BC390" s="28">
        <f t="shared" si="386"/>
        <v>0</v>
      </c>
      <c r="BD390" s="28">
        <f t="shared" si="386"/>
        <v>0</v>
      </c>
      <c r="BE390" s="28">
        <f t="shared" si="386"/>
        <v>0</v>
      </c>
      <c r="BF390" s="28">
        <f t="shared" si="386"/>
        <v>0</v>
      </c>
      <c r="BG390" s="28">
        <f t="shared" si="386"/>
        <v>0</v>
      </c>
      <c r="BH390" s="28">
        <f t="shared" si="386"/>
        <v>0</v>
      </c>
      <c r="BI390" s="28">
        <f t="shared" si="386"/>
        <v>0.42869790432526783</v>
      </c>
      <c r="BJ390" s="28">
        <f t="shared" si="386"/>
        <v>0.2390297389545202</v>
      </c>
      <c r="BK390" s="28">
        <f t="shared" si="386"/>
        <v>0.16505674986179081</v>
      </c>
      <c r="BL390" s="28">
        <f t="shared" si="386"/>
        <v>1.8656446525280885E-2</v>
      </c>
      <c r="BM390" s="28">
        <f t="shared" si="386"/>
        <v>2.5793051554137844E-2</v>
      </c>
      <c r="BN390" s="28">
        <f t="shared" si="386"/>
        <v>1.1235666134520617E-2</v>
      </c>
      <c r="BO390" s="28">
        <f t="shared" si="386"/>
        <v>0</v>
      </c>
      <c r="BP390" s="28">
        <f t="shared" si="386"/>
        <v>0</v>
      </c>
      <c r="BQ390" s="28">
        <f t="shared" si="386"/>
        <v>3.5217472924688458E-4</v>
      </c>
      <c r="BR390" s="28">
        <f t="shared" si="386"/>
        <v>0</v>
      </c>
    </row>
    <row r="391" spans="2:70" x14ac:dyDescent="0.3">
      <c r="B391" s="3" t="s">
        <v>61</v>
      </c>
      <c r="E391" s="30">
        <f t="shared" si="383"/>
        <v>1.5283492441625925</v>
      </c>
      <c r="F391" s="28">
        <f>F387*F$372</f>
        <v>0</v>
      </c>
      <c r="G391" s="28">
        <f t="shared" ref="G391:BR391" si="387">G387*G$372</f>
        <v>0</v>
      </c>
      <c r="H391" s="28">
        <f t="shared" si="387"/>
        <v>0</v>
      </c>
      <c r="I391" s="28">
        <f t="shared" si="387"/>
        <v>0</v>
      </c>
      <c r="J391" s="28">
        <f t="shared" si="387"/>
        <v>5.8374480770907288E-4</v>
      </c>
      <c r="K391" s="28">
        <f t="shared" si="387"/>
        <v>8.9307667598110386E-6</v>
      </c>
      <c r="L391" s="28">
        <f t="shared" si="387"/>
        <v>0</v>
      </c>
      <c r="M391" s="28">
        <f t="shared" si="387"/>
        <v>0</v>
      </c>
      <c r="N391" s="28">
        <f t="shared" si="387"/>
        <v>0</v>
      </c>
      <c r="O391" s="28">
        <f t="shared" si="387"/>
        <v>0</v>
      </c>
      <c r="P391" s="28">
        <f t="shared" si="387"/>
        <v>7.2021561886843638E-4</v>
      </c>
      <c r="Q391" s="28">
        <f t="shared" si="387"/>
        <v>2.1995117986840299E-2</v>
      </c>
      <c r="R391" s="28">
        <f t="shared" si="387"/>
        <v>0</v>
      </c>
      <c r="S391" s="28">
        <f t="shared" si="387"/>
        <v>0</v>
      </c>
      <c r="T391" s="28">
        <f t="shared" si="387"/>
        <v>0</v>
      </c>
      <c r="U391" s="28">
        <f t="shared" si="387"/>
        <v>0</v>
      </c>
      <c r="V391" s="28">
        <f t="shared" si="387"/>
        <v>0</v>
      </c>
      <c r="W391" s="28">
        <f t="shared" si="387"/>
        <v>0</v>
      </c>
      <c r="X391" s="28">
        <f t="shared" si="387"/>
        <v>0</v>
      </c>
      <c r="Y391" s="28">
        <f t="shared" si="387"/>
        <v>0</v>
      </c>
      <c r="Z391" s="28">
        <f t="shared" si="387"/>
        <v>5.7681944981418699E-4</v>
      </c>
      <c r="AA391" s="28">
        <f t="shared" si="387"/>
        <v>8.9487586283968886E-4</v>
      </c>
      <c r="AB391" s="28">
        <f t="shared" si="387"/>
        <v>0</v>
      </c>
      <c r="AC391" s="28">
        <f t="shared" si="387"/>
        <v>0</v>
      </c>
      <c r="AD391" s="28">
        <f t="shared" si="387"/>
        <v>0</v>
      </c>
      <c r="AE391" s="28">
        <f t="shared" si="387"/>
        <v>4.8450596796326987E-3</v>
      </c>
      <c r="AF391" s="28">
        <f t="shared" si="387"/>
        <v>0</v>
      </c>
      <c r="AG391" s="28">
        <f t="shared" si="387"/>
        <v>0</v>
      </c>
      <c r="AH391" s="28">
        <f t="shared" si="387"/>
        <v>0</v>
      </c>
      <c r="AI391" s="28">
        <f t="shared" si="387"/>
        <v>0</v>
      </c>
      <c r="AJ391" s="28">
        <f t="shared" si="387"/>
        <v>1.128070253226927E-2</v>
      </c>
      <c r="AK391" s="28">
        <f t="shared" si="387"/>
        <v>1.2218486655387205E-2</v>
      </c>
      <c r="AL391" s="28">
        <f t="shared" si="387"/>
        <v>8.7455030243348969E-4</v>
      </c>
      <c r="AM391" s="28">
        <f t="shared" si="387"/>
        <v>0</v>
      </c>
      <c r="AN391" s="28">
        <f t="shared" si="387"/>
        <v>0</v>
      </c>
      <c r="AO391" s="28">
        <f t="shared" si="387"/>
        <v>0</v>
      </c>
      <c r="AP391" s="28">
        <f t="shared" si="387"/>
        <v>0</v>
      </c>
      <c r="AQ391" s="28">
        <f t="shared" si="387"/>
        <v>0</v>
      </c>
      <c r="AR391" s="28">
        <f t="shared" si="387"/>
        <v>0</v>
      </c>
      <c r="AS391" s="28">
        <f t="shared" si="387"/>
        <v>1.6903608699567613E-2</v>
      </c>
      <c r="AT391" s="28">
        <f t="shared" si="387"/>
        <v>0</v>
      </c>
      <c r="AU391" s="28">
        <f t="shared" si="387"/>
        <v>3.0456444170443662E-3</v>
      </c>
      <c r="AV391" s="28">
        <f t="shared" si="387"/>
        <v>0</v>
      </c>
      <c r="AW391" s="28">
        <f t="shared" si="387"/>
        <v>0</v>
      </c>
      <c r="AX391" s="28">
        <f t="shared" si="387"/>
        <v>0</v>
      </c>
      <c r="AY391" s="28">
        <f t="shared" si="387"/>
        <v>1.4713620484075037E-2</v>
      </c>
      <c r="AZ391" s="28">
        <f t="shared" si="387"/>
        <v>1.4966401872968332E-3</v>
      </c>
      <c r="BA391" s="28">
        <f t="shared" si="387"/>
        <v>3.1781130894662133E-3</v>
      </c>
      <c r="BB391" s="28">
        <f t="shared" si="387"/>
        <v>4.0645392169184544E-2</v>
      </c>
      <c r="BC391" s="28">
        <f t="shared" si="387"/>
        <v>0</v>
      </c>
      <c r="BD391" s="28">
        <f t="shared" si="387"/>
        <v>0</v>
      </c>
      <c r="BE391" s="28">
        <f t="shared" si="387"/>
        <v>0</v>
      </c>
      <c r="BF391" s="28">
        <f t="shared" si="387"/>
        <v>0</v>
      </c>
      <c r="BG391" s="28">
        <f t="shared" si="387"/>
        <v>0</v>
      </c>
      <c r="BH391" s="28">
        <f t="shared" si="387"/>
        <v>0</v>
      </c>
      <c r="BI391" s="28">
        <f t="shared" si="387"/>
        <v>0.67259291975348867</v>
      </c>
      <c r="BJ391" s="28">
        <f t="shared" si="387"/>
        <v>0.33551452656046482</v>
      </c>
      <c r="BK391" s="28">
        <f t="shared" si="387"/>
        <v>0.27670836958946182</v>
      </c>
      <c r="BL391" s="28">
        <f t="shared" si="387"/>
        <v>2.9429316866240365E-2</v>
      </c>
      <c r="BM391" s="28">
        <f t="shared" si="387"/>
        <v>5.1486978976198645E-2</v>
      </c>
      <c r="BN391" s="28">
        <f t="shared" si="387"/>
        <v>2.7854773938364687E-2</v>
      </c>
      <c r="BO391" s="28">
        <f t="shared" si="387"/>
        <v>0</v>
      </c>
      <c r="BP391" s="28">
        <f t="shared" si="387"/>
        <v>0</v>
      </c>
      <c r="BQ391" s="28">
        <f t="shared" si="387"/>
        <v>7.8083576918443046E-4</v>
      </c>
      <c r="BR391" s="28">
        <f t="shared" si="387"/>
        <v>0</v>
      </c>
    </row>
    <row r="392" spans="2:70" x14ac:dyDescent="0.3">
      <c r="B392" s="3" t="s">
        <v>25</v>
      </c>
      <c r="E392" s="30">
        <f t="shared" si="383"/>
        <v>3.8597226652372904E-2</v>
      </c>
      <c r="F392" s="28">
        <f>F388*F164</f>
        <v>0</v>
      </c>
      <c r="G392" s="28">
        <f t="shared" ref="G392:BR392" si="388">G388*G164</f>
        <v>0</v>
      </c>
      <c r="H392" s="28">
        <f t="shared" si="388"/>
        <v>0</v>
      </c>
      <c r="I392" s="28">
        <f t="shared" si="388"/>
        <v>0</v>
      </c>
      <c r="J392" s="28">
        <f t="shared" si="388"/>
        <v>2.3714252097253069E-4</v>
      </c>
      <c r="K392" s="28">
        <f t="shared" si="388"/>
        <v>5.0478054896188246E-6</v>
      </c>
      <c r="L392" s="28">
        <f t="shared" si="388"/>
        <v>0</v>
      </c>
      <c r="M392" s="28">
        <f t="shared" si="388"/>
        <v>0</v>
      </c>
      <c r="N392" s="28">
        <f t="shared" si="388"/>
        <v>0</v>
      </c>
      <c r="O392" s="28">
        <f t="shared" si="388"/>
        <v>0</v>
      </c>
      <c r="P392" s="28">
        <f t="shared" si="388"/>
        <v>4.8613786331794121E-4</v>
      </c>
      <c r="Q392" s="28">
        <f t="shared" si="388"/>
        <v>1.9492770532587189E-2</v>
      </c>
      <c r="R392" s="28">
        <f t="shared" si="388"/>
        <v>0</v>
      </c>
      <c r="S392" s="28">
        <f t="shared" si="388"/>
        <v>0</v>
      </c>
      <c r="T392" s="28">
        <f t="shared" si="388"/>
        <v>0</v>
      </c>
      <c r="U392" s="28">
        <f t="shared" si="388"/>
        <v>0</v>
      </c>
      <c r="V392" s="28">
        <f t="shared" si="388"/>
        <v>0</v>
      </c>
      <c r="W392" s="28">
        <f t="shared" si="388"/>
        <v>0</v>
      </c>
      <c r="X392" s="28">
        <f t="shared" si="388"/>
        <v>0</v>
      </c>
      <c r="Y392" s="28">
        <f t="shared" si="388"/>
        <v>0</v>
      </c>
      <c r="Z392" s="28">
        <f t="shared" si="388"/>
        <v>3.9833759135772306E-4</v>
      </c>
      <c r="AA392" s="28">
        <f t="shared" si="388"/>
        <v>3.1288634575716174E-4</v>
      </c>
      <c r="AB392" s="28">
        <f t="shared" si="388"/>
        <v>0</v>
      </c>
      <c r="AC392" s="28">
        <f t="shared" si="388"/>
        <v>0</v>
      </c>
      <c r="AD392" s="28">
        <f t="shared" si="388"/>
        <v>0</v>
      </c>
      <c r="AE392" s="28">
        <f t="shared" si="388"/>
        <v>0</v>
      </c>
      <c r="AF392" s="28">
        <f t="shared" si="388"/>
        <v>0</v>
      </c>
      <c r="AG392" s="28">
        <f t="shared" si="388"/>
        <v>0</v>
      </c>
      <c r="AH392" s="28">
        <f t="shared" si="388"/>
        <v>0</v>
      </c>
      <c r="AI392" s="28">
        <f t="shared" si="388"/>
        <v>0</v>
      </c>
      <c r="AJ392" s="28">
        <f t="shared" si="388"/>
        <v>0</v>
      </c>
      <c r="AK392" s="28">
        <f t="shared" si="388"/>
        <v>0</v>
      </c>
      <c r="AL392" s="28">
        <f t="shared" si="388"/>
        <v>5.6087994951862191E-5</v>
      </c>
      <c r="AM392" s="28">
        <f t="shared" si="388"/>
        <v>0</v>
      </c>
      <c r="AN392" s="28">
        <f t="shared" si="388"/>
        <v>0</v>
      </c>
      <c r="AO392" s="28">
        <f t="shared" si="388"/>
        <v>0</v>
      </c>
      <c r="AP392" s="28">
        <f t="shared" si="388"/>
        <v>0</v>
      </c>
      <c r="AQ392" s="28">
        <f t="shared" si="388"/>
        <v>0</v>
      </c>
      <c r="AR392" s="28">
        <f t="shared" si="388"/>
        <v>0</v>
      </c>
      <c r="AS392" s="28">
        <f t="shared" si="388"/>
        <v>3.0689718765017893E-3</v>
      </c>
      <c r="AT392" s="28">
        <f t="shared" si="388"/>
        <v>0</v>
      </c>
      <c r="AU392" s="28">
        <f t="shared" si="388"/>
        <v>4.646322385134639E-4</v>
      </c>
      <c r="AV392" s="28">
        <f t="shared" si="388"/>
        <v>0</v>
      </c>
      <c r="AW392" s="28">
        <f t="shared" si="388"/>
        <v>0</v>
      </c>
      <c r="AX392" s="28">
        <f t="shared" si="388"/>
        <v>0</v>
      </c>
      <c r="AY392" s="28">
        <f t="shared" si="388"/>
        <v>4.8325158795018295E-5</v>
      </c>
      <c r="AZ392" s="28">
        <f t="shared" si="388"/>
        <v>4.952573835279862E-4</v>
      </c>
      <c r="BA392" s="28">
        <f t="shared" si="388"/>
        <v>4.041474709451809E-4</v>
      </c>
      <c r="BB392" s="28">
        <f t="shared" si="388"/>
        <v>2.4841868328646008E-3</v>
      </c>
      <c r="BC392" s="28">
        <f t="shared" si="388"/>
        <v>0</v>
      </c>
      <c r="BD392" s="28">
        <f t="shared" si="388"/>
        <v>0</v>
      </c>
      <c r="BE392" s="28">
        <f t="shared" si="388"/>
        <v>0</v>
      </c>
      <c r="BF392" s="28">
        <f t="shared" si="388"/>
        <v>0</v>
      </c>
      <c r="BG392" s="28">
        <f t="shared" si="388"/>
        <v>0</v>
      </c>
      <c r="BH392" s="28">
        <f t="shared" si="388"/>
        <v>0</v>
      </c>
      <c r="BI392" s="28">
        <f t="shared" si="388"/>
        <v>2.2326986290061575E-3</v>
      </c>
      <c r="BJ392" s="28">
        <f t="shared" si="388"/>
        <v>5.3357694819965856E-3</v>
      </c>
      <c r="BK392" s="28">
        <f t="shared" si="388"/>
        <v>1.5708672891294774E-3</v>
      </c>
      <c r="BL392" s="28">
        <f t="shared" si="388"/>
        <v>0</v>
      </c>
      <c r="BM392" s="28">
        <f t="shared" si="388"/>
        <v>1.4738791837419856E-3</v>
      </c>
      <c r="BN392" s="28">
        <f t="shared" si="388"/>
        <v>3.0028499059748884E-5</v>
      </c>
      <c r="BO392" s="28">
        <f t="shared" si="388"/>
        <v>0</v>
      </c>
      <c r="BP392" s="28">
        <f t="shared" si="388"/>
        <v>0</v>
      </c>
      <c r="BQ392" s="28">
        <f t="shared" si="388"/>
        <v>5.1953856898920806E-8</v>
      </c>
      <c r="BR392" s="28">
        <f t="shared" si="388"/>
        <v>0</v>
      </c>
    </row>
    <row r="393" spans="2:70" x14ac:dyDescent="0.3">
      <c r="B393" s="3" t="s">
        <v>18</v>
      </c>
      <c r="E393" s="30">
        <f t="shared" si="383"/>
        <v>0.7974463126794622</v>
      </c>
      <c r="F393" s="28">
        <f>F388*F157</f>
        <v>0</v>
      </c>
      <c r="G393" s="28">
        <f t="shared" ref="G393:BR393" si="389">G388*G157</f>
        <v>0</v>
      </c>
      <c r="H393" s="28">
        <f t="shared" si="389"/>
        <v>0</v>
      </c>
      <c r="I393" s="28">
        <f t="shared" si="389"/>
        <v>0</v>
      </c>
      <c r="J393" s="28">
        <f t="shared" si="389"/>
        <v>4.465427176362412E-5</v>
      </c>
      <c r="K393" s="28">
        <f t="shared" si="389"/>
        <v>9.5086639643383349E-7</v>
      </c>
      <c r="L393" s="28">
        <f t="shared" si="389"/>
        <v>0</v>
      </c>
      <c r="M393" s="28">
        <f t="shared" si="389"/>
        <v>0</v>
      </c>
      <c r="N393" s="28">
        <f t="shared" si="389"/>
        <v>0</v>
      </c>
      <c r="O393" s="28">
        <f t="shared" si="389"/>
        <v>0</v>
      </c>
      <c r="P393" s="28">
        <f t="shared" si="389"/>
        <v>2.1055162310306333E-5</v>
      </c>
      <c r="Q393" s="28">
        <f t="shared" si="389"/>
        <v>4.4221030898135971E-4</v>
      </c>
      <c r="R393" s="28">
        <f t="shared" si="389"/>
        <v>0</v>
      </c>
      <c r="S393" s="28">
        <f t="shared" si="389"/>
        <v>0</v>
      </c>
      <c r="T393" s="28">
        <f t="shared" si="389"/>
        <v>0</v>
      </c>
      <c r="U393" s="28">
        <f t="shared" si="389"/>
        <v>0</v>
      </c>
      <c r="V393" s="28">
        <f t="shared" si="389"/>
        <v>0</v>
      </c>
      <c r="W393" s="28">
        <f t="shared" si="389"/>
        <v>0</v>
      </c>
      <c r="X393" s="28">
        <f t="shared" si="389"/>
        <v>0</v>
      </c>
      <c r="Y393" s="28">
        <f t="shared" si="389"/>
        <v>0</v>
      </c>
      <c r="Z393" s="28">
        <f t="shared" si="389"/>
        <v>3.4879308418082397E-5</v>
      </c>
      <c r="AA393" s="28">
        <f t="shared" si="389"/>
        <v>1.2938087001650094E-4</v>
      </c>
      <c r="AB393" s="28">
        <f t="shared" si="389"/>
        <v>0</v>
      </c>
      <c r="AC393" s="28">
        <f t="shared" si="389"/>
        <v>0</v>
      </c>
      <c r="AD393" s="28">
        <f t="shared" si="389"/>
        <v>0</v>
      </c>
      <c r="AE393" s="28">
        <f t="shared" si="389"/>
        <v>5.0544509650459347E-4</v>
      </c>
      <c r="AF393" s="28">
        <f t="shared" si="389"/>
        <v>0</v>
      </c>
      <c r="AG393" s="28">
        <f t="shared" si="389"/>
        <v>0</v>
      </c>
      <c r="AH393" s="28">
        <f t="shared" si="389"/>
        <v>0</v>
      </c>
      <c r="AI393" s="28">
        <f t="shared" si="389"/>
        <v>0</v>
      </c>
      <c r="AJ393" s="28">
        <f t="shared" si="389"/>
        <v>2.9184506912319341E-3</v>
      </c>
      <c r="AK393" s="28">
        <f t="shared" si="389"/>
        <v>4.7865709476516824E-3</v>
      </c>
      <c r="AL393" s="28">
        <f t="shared" si="389"/>
        <v>1.5775937340154568E-4</v>
      </c>
      <c r="AM393" s="28">
        <f t="shared" si="389"/>
        <v>0</v>
      </c>
      <c r="AN393" s="28">
        <f t="shared" si="389"/>
        <v>0</v>
      </c>
      <c r="AO393" s="28">
        <f t="shared" si="389"/>
        <v>0</v>
      </c>
      <c r="AP393" s="28">
        <f t="shared" si="389"/>
        <v>0</v>
      </c>
      <c r="AQ393" s="28">
        <f t="shared" si="389"/>
        <v>0</v>
      </c>
      <c r="AR393" s="28">
        <f t="shared" si="389"/>
        <v>0</v>
      </c>
      <c r="AS393" s="28">
        <f t="shared" si="389"/>
        <v>3.888046247792981E-3</v>
      </c>
      <c r="AT393" s="28">
        <f t="shared" si="389"/>
        <v>0</v>
      </c>
      <c r="AU393" s="28">
        <f t="shared" si="389"/>
        <v>1.2119316739634767E-3</v>
      </c>
      <c r="AV393" s="28">
        <f t="shared" si="389"/>
        <v>0</v>
      </c>
      <c r="AW393" s="28">
        <f t="shared" si="389"/>
        <v>0</v>
      </c>
      <c r="AX393" s="28">
        <f t="shared" si="389"/>
        <v>0</v>
      </c>
      <c r="AY393" s="28">
        <f t="shared" si="389"/>
        <v>9.721151298249486E-4</v>
      </c>
      <c r="AZ393" s="28">
        <f t="shared" si="389"/>
        <v>3.1677819193499755E-4</v>
      </c>
      <c r="BA393" s="28">
        <f t="shared" si="389"/>
        <v>9.5540909162508756E-4</v>
      </c>
      <c r="BB393" s="28">
        <f t="shared" si="389"/>
        <v>2.4134413192727546E-2</v>
      </c>
      <c r="BC393" s="28">
        <f t="shared" si="389"/>
        <v>0</v>
      </c>
      <c r="BD393" s="28">
        <f t="shared" si="389"/>
        <v>0</v>
      </c>
      <c r="BE393" s="28">
        <f t="shared" si="389"/>
        <v>0</v>
      </c>
      <c r="BF393" s="28">
        <f t="shared" si="389"/>
        <v>0</v>
      </c>
      <c r="BG393" s="28">
        <f t="shared" si="389"/>
        <v>0</v>
      </c>
      <c r="BH393" s="28">
        <f t="shared" si="389"/>
        <v>0</v>
      </c>
      <c r="BI393" s="28">
        <f t="shared" si="389"/>
        <v>0.35343872676814053</v>
      </c>
      <c r="BJ393" s="28">
        <f t="shared" si="389"/>
        <v>0.21498766911738154</v>
      </c>
      <c r="BK393" s="28">
        <f t="shared" si="389"/>
        <v>0.14376171588813919</v>
      </c>
      <c r="BL393" s="28">
        <f t="shared" si="389"/>
        <v>1.7139166516776404E-2</v>
      </c>
      <c r="BM393" s="28">
        <f t="shared" si="389"/>
        <v>1.9530581262348391E-2</v>
      </c>
      <c r="BN393" s="28">
        <f t="shared" si="389"/>
        <v>7.8385218417666522E-3</v>
      </c>
      <c r="BO393" s="28">
        <f t="shared" si="389"/>
        <v>0</v>
      </c>
      <c r="BP393" s="28">
        <f t="shared" si="389"/>
        <v>0</v>
      </c>
      <c r="BQ393" s="28">
        <f t="shared" si="389"/>
        <v>2.2988086036437489E-4</v>
      </c>
      <c r="BR393" s="28">
        <f t="shared" si="389"/>
        <v>0</v>
      </c>
    </row>
    <row r="395" spans="2:70" x14ac:dyDescent="0.3">
      <c r="B395" s="16" t="s">
        <v>104</v>
      </c>
    </row>
    <row r="396" spans="2:70" x14ac:dyDescent="0.3">
      <c r="B396" s="7" t="s">
        <v>105</v>
      </c>
      <c r="E396" s="76">
        <f t="shared" ref="E396:E402" si="390">SUM(F396:BR396)</f>
        <v>0.9491547257774765</v>
      </c>
      <c r="F396" s="28">
        <f t="array" ref="F396:BR396">TRANSPOSE(BX89:BX153)</f>
        <v>6.4555023380540571E-3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3.910756535851861E-5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7.57709078821298E-5</v>
      </c>
      <c r="S396" s="28">
        <v>1.5353850484066284E-4</v>
      </c>
      <c r="T396" s="28">
        <v>0</v>
      </c>
      <c r="U396" s="28">
        <v>8.075367989796781E-3</v>
      </c>
      <c r="V396" s="28">
        <v>6.5781678986926787E-2</v>
      </c>
      <c r="W396" s="28">
        <v>1.9815176819899472E-2</v>
      </c>
      <c r="X396" s="28">
        <v>8.3906899483367034E-2</v>
      </c>
      <c r="Y396" s="28">
        <v>7.0740112051436918E-2</v>
      </c>
      <c r="Z396" s="28">
        <v>1.0438931471152249E-2</v>
      </c>
      <c r="AA396" s="28">
        <v>3.4050261759052784E-2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0.52592425360319761</v>
      </c>
      <c r="AI396" s="28">
        <v>1.6813017090832279E-2</v>
      </c>
      <c r="AJ396" s="28">
        <v>3.6187132178889019E-2</v>
      </c>
      <c r="AK396" s="28">
        <v>1.3745138750612435E-3</v>
      </c>
      <c r="AL396" s="28">
        <v>2.1002415029863584E-3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1.4038445490801323E-3</v>
      </c>
      <c r="AS396" s="28">
        <v>3.6404117200416084E-3</v>
      </c>
      <c r="AT396" s="28">
        <v>0</v>
      </c>
      <c r="AU396" s="28">
        <v>3.8141477676603024E-2</v>
      </c>
      <c r="AV396" s="28">
        <v>0</v>
      </c>
      <c r="AW396" s="28">
        <v>0</v>
      </c>
      <c r="AX396" s="28">
        <v>0</v>
      </c>
      <c r="AY396" s="28">
        <v>1.2282219745409752E-2</v>
      </c>
      <c r="AZ396" s="28">
        <v>8.7216411627505409E-3</v>
      </c>
      <c r="BA396" s="28">
        <v>0</v>
      </c>
      <c r="BB396" s="28">
        <v>0</v>
      </c>
      <c r="BC396" s="28">
        <v>0</v>
      </c>
      <c r="BD396" s="28">
        <v>0</v>
      </c>
      <c r="BE396" s="28">
        <v>0</v>
      </c>
      <c r="BF396" s="28">
        <v>0</v>
      </c>
      <c r="BG396" s="28">
        <v>0</v>
      </c>
      <c r="BH396" s="28">
        <v>0</v>
      </c>
      <c r="BI396" s="28">
        <v>1.5952168693512635E-3</v>
      </c>
      <c r="BJ396" s="28">
        <v>0</v>
      </c>
      <c r="BK396" s="28">
        <v>0</v>
      </c>
      <c r="BL396" s="28">
        <v>0</v>
      </c>
      <c r="BM396" s="28">
        <v>1.438407925506147E-3</v>
      </c>
      <c r="BN396" s="28">
        <v>0</v>
      </c>
      <c r="BO396" s="3">
        <v>0</v>
      </c>
      <c r="BP396" s="3">
        <v>0</v>
      </c>
      <c r="BQ396" s="3">
        <v>0</v>
      </c>
      <c r="BR396" s="3">
        <v>0</v>
      </c>
    </row>
    <row r="397" spans="2:70" x14ac:dyDescent="0.3">
      <c r="B397" s="7" t="s">
        <v>232</v>
      </c>
      <c r="E397" s="76">
        <f t="shared" si="390"/>
        <v>1.7378051523095355</v>
      </c>
      <c r="F397" s="28">
        <f>F396*F372</f>
        <v>1.2143344741960105E-2</v>
      </c>
      <c r="G397" s="28">
        <f t="shared" ref="G397:BR397" si="391">G396*G372</f>
        <v>0</v>
      </c>
      <c r="H397" s="28">
        <f t="shared" si="391"/>
        <v>0</v>
      </c>
      <c r="I397" s="28">
        <f t="shared" si="391"/>
        <v>0</v>
      </c>
      <c r="J397" s="28">
        <f t="shared" si="391"/>
        <v>0</v>
      </c>
      <c r="K397" s="28">
        <f t="shared" si="391"/>
        <v>0</v>
      </c>
      <c r="L397" s="28">
        <f t="shared" si="391"/>
        <v>8.828679984334538E-5</v>
      </c>
      <c r="M397" s="28">
        <f t="shared" si="391"/>
        <v>0</v>
      </c>
      <c r="N397" s="28">
        <f t="shared" si="391"/>
        <v>0</v>
      </c>
      <c r="O397" s="28">
        <f t="shared" si="391"/>
        <v>0</v>
      </c>
      <c r="P397" s="28">
        <f t="shared" si="391"/>
        <v>0</v>
      </c>
      <c r="Q397" s="28">
        <f t="shared" si="391"/>
        <v>0</v>
      </c>
      <c r="R397" s="28">
        <f t="shared" si="391"/>
        <v>1.1286473015892164E-4</v>
      </c>
      <c r="S397" s="28">
        <f t="shared" si="391"/>
        <v>2.7220078944717712E-4</v>
      </c>
      <c r="T397" s="28">
        <f t="shared" si="391"/>
        <v>0</v>
      </c>
      <c r="U397" s="28">
        <f t="shared" si="391"/>
        <v>1.3918992358597202E-2</v>
      </c>
      <c r="V397" s="28">
        <f t="shared" si="391"/>
        <v>0.10700575155601673</v>
      </c>
      <c r="W397" s="28">
        <f t="shared" si="391"/>
        <v>3.0202837881261053E-2</v>
      </c>
      <c r="X397" s="28">
        <f t="shared" si="391"/>
        <v>0.11041339492926613</v>
      </c>
      <c r="Y397" s="28">
        <f t="shared" si="391"/>
        <v>9.3904254969961562E-2</v>
      </c>
      <c r="Z397" s="28">
        <f t="shared" si="391"/>
        <v>1.4029603195823961E-2</v>
      </c>
      <c r="AA397" s="28">
        <f t="shared" si="391"/>
        <v>6.1613907479241399E-2</v>
      </c>
      <c r="AB397" s="28">
        <f t="shared" si="391"/>
        <v>0</v>
      </c>
      <c r="AC397" s="28">
        <f t="shared" si="391"/>
        <v>0</v>
      </c>
      <c r="AD397" s="28">
        <f t="shared" si="391"/>
        <v>0</v>
      </c>
      <c r="AE397" s="28">
        <f t="shared" si="391"/>
        <v>0</v>
      </c>
      <c r="AF397" s="28">
        <f t="shared" si="391"/>
        <v>0</v>
      </c>
      <c r="AG397" s="28">
        <f t="shared" si="391"/>
        <v>0</v>
      </c>
      <c r="AH397" s="28">
        <f t="shared" si="391"/>
        <v>1.0890417643777779</v>
      </c>
      <c r="AI397" s="28">
        <f t="shared" si="391"/>
        <v>3.168360186965017E-2</v>
      </c>
      <c r="AJ397" s="28">
        <f t="shared" si="391"/>
        <v>6.664092508661372E-2</v>
      </c>
      <c r="AK397" s="28">
        <f t="shared" si="391"/>
        <v>2.3992193138015982E-3</v>
      </c>
      <c r="AL397" s="28">
        <f t="shared" si="391"/>
        <v>4.1731516423912929E-3</v>
      </c>
      <c r="AM397" s="28">
        <f t="shared" si="391"/>
        <v>0</v>
      </c>
      <c r="AN397" s="28">
        <f t="shared" si="391"/>
        <v>0</v>
      </c>
      <c r="AO397" s="28">
        <f t="shared" si="391"/>
        <v>0</v>
      </c>
      <c r="AP397" s="28">
        <f t="shared" si="391"/>
        <v>0</v>
      </c>
      <c r="AQ397" s="28">
        <f t="shared" si="391"/>
        <v>0</v>
      </c>
      <c r="AR397" s="28">
        <f t="shared" si="391"/>
        <v>2.6079771794099605E-3</v>
      </c>
      <c r="AS397" s="28">
        <f t="shared" si="391"/>
        <v>6.0591832274218636E-3</v>
      </c>
      <c r="AT397" s="28">
        <f t="shared" si="391"/>
        <v>0</v>
      </c>
      <c r="AU397" s="28">
        <f t="shared" si="391"/>
        <v>5.6223710898609919E-2</v>
      </c>
      <c r="AV397" s="28">
        <f t="shared" si="391"/>
        <v>0</v>
      </c>
      <c r="AW397" s="28">
        <f t="shared" si="391"/>
        <v>0</v>
      </c>
      <c r="AX397" s="28">
        <f t="shared" si="391"/>
        <v>0</v>
      </c>
      <c r="AY397" s="28">
        <f t="shared" si="391"/>
        <v>1.796214083332438E-2</v>
      </c>
      <c r="AZ397" s="28">
        <f t="shared" si="391"/>
        <v>1.2318036736379948E-2</v>
      </c>
      <c r="BA397" s="28">
        <f t="shared" si="391"/>
        <v>0</v>
      </c>
      <c r="BB397" s="28">
        <f t="shared" si="391"/>
        <v>0</v>
      </c>
      <c r="BC397" s="28">
        <f t="shared" si="391"/>
        <v>0</v>
      </c>
      <c r="BD397" s="28">
        <f t="shared" si="391"/>
        <v>0</v>
      </c>
      <c r="BE397" s="28">
        <f t="shared" si="391"/>
        <v>0</v>
      </c>
      <c r="BF397" s="28">
        <f t="shared" si="391"/>
        <v>0</v>
      </c>
      <c r="BG397" s="28">
        <f t="shared" si="391"/>
        <v>0</v>
      </c>
      <c r="BH397" s="28">
        <f t="shared" si="391"/>
        <v>0</v>
      </c>
      <c r="BI397" s="28">
        <f t="shared" si="391"/>
        <v>2.4822549039182364E-3</v>
      </c>
      <c r="BJ397" s="28">
        <f t="shared" si="391"/>
        <v>0</v>
      </c>
      <c r="BK397" s="28">
        <f t="shared" si="391"/>
        <v>0</v>
      </c>
      <c r="BL397" s="28">
        <f t="shared" si="391"/>
        <v>0</v>
      </c>
      <c r="BM397" s="28">
        <f t="shared" si="391"/>
        <v>2.5077468086587415E-3</v>
      </c>
      <c r="BN397" s="28">
        <f t="shared" si="391"/>
        <v>0</v>
      </c>
      <c r="BO397" s="28">
        <f t="shared" si="391"/>
        <v>0</v>
      </c>
      <c r="BP397" s="28">
        <f t="shared" si="391"/>
        <v>0</v>
      </c>
      <c r="BQ397" s="28">
        <f t="shared" si="391"/>
        <v>0</v>
      </c>
      <c r="BR397" s="28">
        <f t="shared" si="391"/>
        <v>0</v>
      </c>
    </row>
    <row r="398" spans="2:70" x14ac:dyDescent="0.3">
      <c r="B398" s="3" t="s">
        <v>18</v>
      </c>
      <c r="E398" s="30">
        <f t="shared" si="390"/>
        <v>0.37197787627596757</v>
      </c>
      <c r="F398" s="28">
        <f>F157*F397</f>
        <v>1.5090574074323258E-3</v>
      </c>
      <c r="G398" s="28">
        <f t="shared" ref="G398:BR398" si="392">G157*G397</f>
        <v>0</v>
      </c>
      <c r="H398" s="28">
        <f t="shared" si="392"/>
        <v>0</v>
      </c>
      <c r="I398" s="28">
        <f t="shared" si="392"/>
        <v>0</v>
      </c>
      <c r="J398" s="28">
        <f t="shared" si="392"/>
        <v>0</v>
      </c>
      <c r="K398" s="28">
        <f t="shared" si="392"/>
        <v>0</v>
      </c>
      <c r="L398" s="28">
        <f t="shared" si="392"/>
        <v>9.8886819421432856E-6</v>
      </c>
      <c r="M398" s="28">
        <f t="shared" si="392"/>
        <v>0</v>
      </c>
      <c r="N398" s="28">
        <f t="shared" si="392"/>
        <v>0</v>
      </c>
      <c r="O398" s="28">
        <f t="shared" si="392"/>
        <v>0</v>
      </c>
      <c r="P398" s="28">
        <f t="shared" si="392"/>
        <v>0</v>
      </c>
      <c r="Q398" s="28">
        <f t="shared" si="392"/>
        <v>0</v>
      </c>
      <c r="R398" s="28">
        <f t="shared" si="392"/>
        <v>8.6718045006302378E-6</v>
      </c>
      <c r="S398" s="28">
        <f t="shared" si="392"/>
        <v>3.2607179620073963E-5</v>
      </c>
      <c r="T398" s="28">
        <f t="shared" si="392"/>
        <v>0</v>
      </c>
      <c r="U398" s="28">
        <f t="shared" si="392"/>
        <v>1.6128815634002564E-3</v>
      </c>
      <c r="V398" s="28">
        <f t="shared" si="392"/>
        <v>2.7561120590148974E-3</v>
      </c>
      <c r="W398" s="28">
        <f t="shared" si="392"/>
        <v>1.873472405166465E-3</v>
      </c>
      <c r="X398" s="28">
        <f t="shared" si="392"/>
        <v>8.491993915815314E-3</v>
      </c>
      <c r="Y398" s="28">
        <f t="shared" si="392"/>
        <v>4.4895044250308743E-3</v>
      </c>
      <c r="Z398" s="28">
        <f t="shared" si="392"/>
        <v>8.4834666550875177E-4</v>
      </c>
      <c r="AA398" s="28">
        <f t="shared" si="392"/>
        <v>8.9081193110787001E-3</v>
      </c>
      <c r="AB398" s="28">
        <f t="shared" si="392"/>
        <v>0</v>
      </c>
      <c r="AC398" s="28">
        <f t="shared" si="392"/>
        <v>0</v>
      </c>
      <c r="AD398" s="28">
        <f t="shared" si="392"/>
        <v>0</v>
      </c>
      <c r="AE398" s="28">
        <f t="shared" si="392"/>
        <v>0</v>
      </c>
      <c r="AF398" s="28">
        <f t="shared" si="392"/>
        <v>0</v>
      </c>
      <c r="AG398" s="28">
        <f t="shared" si="392"/>
        <v>0</v>
      </c>
      <c r="AH398" s="28">
        <f t="shared" si="392"/>
        <v>0.28194578399766973</v>
      </c>
      <c r="AI398" s="28">
        <f t="shared" si="392"/>
        <v>1.0057072221735842E-2</v>
      </c>
      <c r="AJ398" s="28">
        <f t="shared" si="392"/>
        <v>1.7240792701253803E-2</v>
      </c>
      <c r="AK398" s="28">
        <f t="shared" si="392"/>
        <v>9.3989000343378492E-4</v>
      </c>
      <c r="AL398" s="28">
        <f t="shared" si="392"/>
        <v>7.5279121896290233E-4</v>
      </c>
      <c r="AM398" s="28">
        <f t="shared" si="392"/>
        <v>0</v>
      </c>
      <c r="AN398" s="28">
        <f t="shared" si="392"/>
        <v>0</v>
      </c>
      <c r="AO398" s="28">
        <f t="shared" si="392"/>
        <v>0</v>
      </c>
      <c r="AP398" s="28">
        <f t="shared" si="392"/>
        <v>0</v>
      </c>
      <c r="AQ398" s="28">
        <f t="shared" si="392"/>
        <v>0</v>
      </c>
      <c r="AR398" s="28">
        <f t="shared" si="392"/>
        <v>6.8486959839195649E-4</v>
      </c>
      <c r="AS398" s="28">
        <f t="shared" si="392"/>
        <v>1.3936896570890425E-3</v>
      </c>
      <c r="AT398" s="28">
        <f t="shared" si="392"/>
        <v>0</v>
      </c>
      <c r="AU398" s="28">
        <f t="shared" si="392"/>
        <v>2.2372702369476343E-2</v>
      </c>
      <c r="AV398" s="28">
        <f t="shared" si="392"/>
        <v>0</v>
      </c>
      <c r="AW398" s="28">
        <f t="shared" si="392"/>
        <v>0</v>
      </c>
      <c r="AX398" s="28">
        <f t="shared" si="392"/>
        <v>0</v>
      </c>
      <c r="AY398" s="28">
        <f t="shared" si="392"/>
        <v>1.1867418278879735E-3</v>
      </c>
      <c r="AZ398" s="28">
        <f t="shared" si="392"/>
        <v>2.6072301403232368E-3</v>
      </c>
      <c r="BA398" s="28">
        <f t="shared" si="392"/>
        <v>0</v>
      </c>
      <c r="BB398" s="28">
        <f t="shared" si="392"/>
        <v>0</v>
      </c>
      <c r="BC398" s="28">
        <f t="shared" si="392"/>
        <v>0</v>
      </c>
      <c r="BD398" s="28">
        <f t="shared" si="392"/>
        <v>0</v>
      </c>
      <c r="BE398" s="28">
        <f t="shared" si="392"/>
        <v>0</v>
      </c>
      <c r="BF398" s="28">
        <f t="shared" si="392"/>
        <v>0</v>
      </c>
      <c r="BG398" s="28">
        <f t="shared" si="392"/>
        <v>0</v>
      </c>
      <c r="BH398" s="28">
        <f t="shared" si="392"/>
        <v>0</v>
      </c>
      <c r="BI398" s="28">
        <f t="shared" si="392"/>
        <v>1.3043922809600522E-3</v>
      </c>
      <c r="BJ398" s="28">
        <f t="shared" si="392"/>
        <v>0</v>
      </c>
      <c r="BK398" s="28">
        <f t="shared" si="392"/>
        <v>0</v>
      </c>
      <c r="BL398" s="28">
        <f t="shared" si="392"/>
        <v>0</v>
      </c>
      <c r="BM398" s="28">
        <f t="shared" si="392"/>
        <v>9.5126484027244608E-4</v>
      </c>
      <c r="BN398" s="28">
        <f t="shared" si="392"/>
        <v>0</v>
      </c>
      <c r="BO398" s="28">
        <f t="shared" si="392"/>
        <v>0</v>
      </c>
      <c r="BP398" s="28">
        <f t="shared" si="392"/>
        <v>0</v>
      </c>
      <c r="BQ398" s="28">
        <f t="shared" si="392"/>
        <v>0</v>
      </c>
      <c r="BR398" s="28">
        <f t="shared" si="392"/>
        <v>0</v>
      </c>
    </row>
    <row r="399" spans="2:70" x14ac:dyDescent="0.3">
      <c r="B399" s="3" t="s">
        <v>44</v>
      </c>
      <c r="E399" s="30">
        <f t="shared" si="390"/>
        <v>0.54711563716550204</v>
      </c>
      <c r="F399" s="28">
        <f>F397*F162</f>
        <v>3.4309394033682303E-3</v>
      </c>
      <c r="G399" s="28">
        <f t="shared" ref="G399:BR399" si="393">G397*G162</f>
        <v>0</v>
      </c>
      <c r="H399" s="28">
        <f t="shared" si="393"/>
        <v>0</v>
      </c>
      <c r="I399" s="28">
        <f t="shared" si="393"/>
        <v>0</v>
      </c>
      <c r="J399" s="28">
        <f t="shared" si="393"/>
        <v>0</v>
      </c>
      <c r="K399" s="28">
        <f t="shared" si="393"/>
        <v>0</v>
      </c>
      <c r="L399" s="28">
        <f t="shared" si="393"/>
        <v>1.798281451673755E-5</v>
      </c>
      <c r="M399" s="28">
        <f t="shared" si="393"/>
        <v>0</v>
      </c>
      <c r="N399" s="28">
        <f t="shared" si="393"/>
        <v>0</v>
      </c>
      <c r="O399" s="28">
        <f t="shared" si="393"/>
        <v>0</v>
      </c>
      <c r="P399" s="28">
        <f t="shared" si="393"/>
        <v>0</v>
      </c>
      <c r="Q399" s="28">
        <f t="shared" si="393"/>
        <v>0</v>
      </c>
      <c r="R399" s="28">
        <f t="shared" si="393"/>
        <v>1.2105862672212558E-5</v>
      </c>
      <c r="S399" s="28">
        <f t="shared" si="393"/>
        <v>5.2498818653328651E-5</v>
      </c>
      <c r="T399" s="28">
        <f t="shared" si="393"/>
        <v>0</v>
      </c>
      <c r="U399" s="28">
        <f t="shared" si="393"/>
        <v>2.2835967712661245E-3</v>
      </c>
      <c r="V399" s="28">
        <f t="shared" si="393"/>
        <v>5.0248227822210926E-3</v>
      </c>
      <c r="W399" s="28">
        <f t="shared" si="393"/>
        <v>3.0213856094201703E-3</v>
      </c>
      <c r="X399" s="28">
        <f t="shared" si="393"/>
        <v>1.1314338217348044E-2</v>
      </c>
      <c r="Y399" s="28">
        <f t="shared" si="393"/>
        <v>8.9706166204890671E-3</v>
      </c>
      <c r="Z399" s="28">
        <f t="shared" si="393"/>
        <v>1.4979044443225863E-3</v>
      </c>
      <c r="AA399" s="28">
        <f t="shared" si="393"/>
        <v>1.242954822863499E-2</v>
      </c>
      <c r="AB399" s="28">
        <f t="shared" si="393"/>
        <v>0</v>
      </c>
      <c r="AC399" s="28">
        <f t="shared" si="393"/>
        <v>0</v>
      </c>
      <c r="AD399" s="28">
        <f t="shared" si="393"/>
        <v>0</v>
      </c>
      <c r="AE399" s="28">
        <f t="shared" si="393"/>
        <v>0</v>
      </c>
      <c r="AF399" s="28">
        <f t="shared" si="393"/>
        <v>0</v>
      </c>
      <c r="AG399" s="28">
        <f t="shared" si="393"/>
        <v>0</v>
      </c>
      <c r="AH399" s="28">
        <f t="shared" si="393"/>
        <v>0.3923919517514276</v>
      </c>
      <c r="AI399" s="28">
        <f t="shared" si="393"/>
        <v>1.3565342875550395E-2</v>
      </c>
      <c r="AJ399" s="28">
        <f t="shared" si="393"/>
        <v>3.50140486149456E-2</v>
      </c>
      <c r="AK399" s="28">
        <f t="shared" si="393"/>
        <v>1.2960926541228986E-3</v>
      </c>
      <c r="AL399" s="28">
        <f t="shared" si="393"/>
        <v>1.3857151563343403E-3</v>
      </c>
      <c r="AM399" s="28">
        <f t="shared" si="393"/>
        <v>0</v>
      </c>
      <c r="AN399" s="28">
        <f t="shared" si="393"/>
        <v>0</v>
      </c>
      <c r="AO399" s="28">
        <f t="shared" si="393"/>
        <v>0</v>
      </c>
      <c r="AP399" s="28">
        <f t="shared" si="393"/>
        <v>0</v>
      </c>
      <c r="AQ399" s="28">
        <f t="shared" si="393"/>
        <v>0</v>
      </c>
      <c r="AR399" s="28">
        <f t="shared" si="393"/>
        <v>8.5581769684107305E-4</v>
      </c>
      <c r="AS399" s="28">
        <f t="shared" si="393"/>
        <v>2.5492184118806435E-3</v>
      </c>
      <c r="AT399" s="28">
        <f t="shared" si="393"/>
        <v>0</v>
      </c>
      <c r="AU399" s="28">
        <f t="shared" si="393"/>
        <v>3.1225844692134137E-2</v>
      </c>
      <c r="AV399" s="28">
        <f t="shared" si="393"/>
        <v>0</v>
      </c>
      <c r="AW399" s="28">
        <f t="shared" si="393"/>
        <v>0</v>
      </c>
      <c r="AX399" s="28">
        <f t="shared" si="393"/>
        <v>0</v>
      </c>
      <c r="AY399" s="28">
        <f t="shared" si="393"/>
        <v>1.2829728011748844E-2</v>
      </c>
      <c r="AZ399" s="28">
        <f t="shared" si="393"/>
        <v>5.1077083795770164E-3</v>
      </c>
      <c r="BA399" s="28">
        <f t="shared" si="393"/>
        <v>0</v>
      </c>
      <c r="BB399" s="28">
        <f t="shared" si="393"/>
        <v>0</v>
      </c>
      <c r="BC399" s="28">
        <f t="shared" si="393"/>
        <v>0</v>
      </c>
      <c r="BD399" s="28">
        <f t="shared" si="393"/>
        <v>0</v>
      </c>
      <c r="BE399" s="28">
        <f t="shared" si="393"/>
        <v>0</v>
      </c>
      <c r="BF399" s="28">
        <f t="shared" si="393"/>
        <v>0</v>
      </c>
      <c r="BG399" s="28">
        <f t="shared" si="393"/>
        <v>0</v>
      </c>
      <c r="BH399" s="28">
        <f t="shared" si="393"/>
        <v>0</v>
      </c>
      <c r="BI399" s="28">
        <f t="shared" si="393"/>
        <v>1.5821419525214196E-3</v>
      </c>
      <c r="BJ399" s="28">
        <f t="shared" si="393"/>
        <v>0</v>
      </c>
      <c r="BK399" s="28">
        <f t="shared" si="393"/>
        <v>0</v>
      </c>
      <c r="BL399" s="28">
        <f t="shared" si="393"/>
        <v>0</v>
      </c>
      <c r="BM399" s="28">
        <f t="shared" si="393"/>
        <v>1.2562873955055882E-3</v>
      </c>
      <c r="BN399" s="28">
        <f t="shared" si="393"/>
        <v>0</v>
      </c>
      <c r="BO399" s="28">
        <f t="shared" si="393"/>
        <v>0</v>
      </c>
      <c r="BP399" s="28">
        <f t="shared" si="393"/>
        <v>0</v>
      </c>
      <c r="BQ399" s="28">
        <f t="shared" si="393"/>
        <v>0</v>
      </c>
      <c r="BR399" s="28">
        <f t="shared" si="393"/>
        <v>0</v>
      </c>
    </row>
    <row r="400" spans="2:70" x14ac:dyDescent="0.3">
      <c r="B400" s="3" t="s">
        <v>61</v>
      </c>
      <c r="E400" s="30">
        <f t="shared" si="390"/>
        <v>1.7378051523095355</v>
      </c>
      <c r="F400" s="28">
        <f>F396*F$372</f>
        <v>1.2143344741960105E-2</v>
      </c>
      <c r="G400" s="28">
        <f t="shared" ref="G400:BR400" si="394">G396*G$372</f>
        <v>0</v>
      </c>
      <c r="H400" s="28">
        <f t="shared" si="394"/>
        <v>0</v>
      </c>
      <c r="I400" s="28">
        <f t="shared" si="394"/>
        <v>0</v>
      </c>
      <c r="J400" s="28">
        <f t="shared" si="394"/>
        <v>0</v>
      </c>
      <c r="K400" s="28">
        <f t="shared" si="394"/>
        <v>0</v>
      </c>
      <c r="L400" s="28">
        <f t="shared" si="394"/>
        <v>8.828679984334538E-5</v>
      </c>
      <c r="M400" s="28">
        <f t="shared" si="394"/>
        <v>0</v>
      </c>
      <c r="N400" s="28">
        <f t="shared" si="394"/>
        <v>0</v>
      </c>
      <c r="O400" s="28">
        <f t="shared" si="394"/>
        <v>0</v>
      </c>
      <c r="P400" s="28">
        <f t="shared" si="394"/>
        <v>0</v>
      </c>
      <c r="Q400" s="28">
        <f t="shared" si="394"/>
        <v>0</v>
      </c>
      <c r="R400" s="28">
        <f t="shared" si="394"/>
        <v>1.1286473015892164E-4</v>
      </c>
      <c r="S400" s="28">
        <f t="shared" si="394"/>
        <v>2.7220078944717712E-4</v>
      </c>
      <c r="T400" s="28">
        <f t="shared" si="394"/>
        <v>0</v>
      </c>
      <c r="U400" s="28">
        <f t="shared" si="394"/>
        <v>1.3918992358597202E-2</v>
      </c>
      <c r="V400" s="28">
        <f t="shared" si="394"/>
        <v>0.10700575155601673</v>
      </c>
      <c r="W400" s="28">
        <f t="shared" si="394"/>
        <v>3.0202837881261053E-2</v>
      </c>
      <c r="X400" s="28">
        <f t="shared" si="394"/>
        <v>0.11041339492926613</v>
      </c>
      <c r="Y400" s="28">
        <f t="shared" si="394"/>
        <v>9.3904254969961562E-2</v>
      </c>
      <c r="Z400" s="28">
        <f t="shared" si="394"/>
        <v>1.4029603195823961E-2</v>
      </c>
      <c r="AA400" s="28">
        <f t="shared" si="394"/>
        <v>6.1613907479241399E-2</v>
      </c>
      <c r="AB400" s="28">
        <f t="shared" si="394"/>
        <v>0</v>
      </c>
      <c r="AC400" s="28">
        <f t="shared" si="394"/>
        <v>0</v>
      </c>
      <c r="AD400" s="28">
        <f t="shared" si="394"/>
        <v>0</v>
      </c>
      <c r="AE400" s="28">
        <f t="shared" si="394"/>
        <v>0</v>
      </c>
      <c r="AF400" s="28">
        <f t="shared" si="394"/>
        <v>0</v>
      </c>
      <c r="AG400" s="28">
        <f t="shared" si="394"/>
        <v>0</v>
      </c>
      <c r="AH400" s="28">
        <f t="shared" si="394"/>
        <v>1.0890417643777779</v>
      </c>
      <c r="AI400" s="28">
        <f t="shared" si="394"/>
        <v>3.168360186965017E-2</v>
      </c>
      <c r="AJ400" s="28">
        <f t="shared" si="394"/>
        <v>6.664092508661372E-2</v>
      </c>
      <c r="AK400" s="28">
        <f t="shared" si="394"/>
        <v>2.3992193138015982E-3</v>
      </c>
      <c r="AL400" s="28">
        <f t="shared" si="394"/>
        <v>4.1731516423912929E-3</v>
      </c>
      <c r="AM400" s="28">
        <f t="shared" si="394"/>
        <v>0</v>
      </c>
      <c r="AN400" s="28">
        <f t="shared" si="394"/>
        <v>0</v>
      </c>
      <c r="AO400" s="28">
        <f t="shared" si="394"/>
        <v>0</v>
      </c>
      <c r="AP400" s="28">
        <f t="shared" si="394"/>
        <v>0</v>
      </c>
      <c r="AQ400" s="28">
        <f t="shared" si="394"/>
        <v>0</v>
      </c>
      <c r="AR400" s="28">
        <f t="shared" si="394"/>
        <v>2.6079771794099605E-3</v>
      </c>
      <c r="AS400" s="28">
        <f t="shared" si="394"/>
        <v>6.0591832274218636E-3</v>
      </c>
      <c r="AT400" s="28">
        <f t="shared" si="394"/>
        <v>0</v>
      </c>
      <c r="AU400" s="28">
        <f t="shared" si="394"/>
        <v>5.6223710898609919E-2</v>
      </c>
      <c r="AV400" s="28">
        <f t="shared" si="394"/>
        <v>0</v>
      </c>
      <c r="AW400" s="28">
        <f t="shared" si="394"/>
        <v>0</v>
      </c>
      <c r="AX400" s="28">
        <f t="shared" si="394"/>
        <v>0</v>
      </c>
      <c r="AY400" s="28">
        <f t="shared" si="394"/>
        <v>1.796214083332438E-2</v>
      </c>
      <c r="AZ400" s="28">
        <f t="shared" si="394"/>
        <v>1.2318036736379948E-2</v>
      </c>
      <c r="BA400" s="28">
        <f t="shared" si="394"/>
        <v>0</v>
      </c>
      <c r="BB400" s="28">
        <f t="shared" si="394"/>
        <v>0</v>
      </c>
      <c r="BC400" s="28">
        <f t="shared" si="394"/>
        <v>0</v>
      </c>
      <c r="BD400" s="28">
        <f t="shared" si="394"/>
        <v>0</v>
      </c>
      <c r="BE400" s="28">
        <f t="shared" si="394"/>
        <v>0</v>
      </c>
      <c r="BF400" s="28">
        <f t="shared" si="394"/>
        <v>0</v>
      </c>
      <c r="BG400" s="28">
        <f t="shared" si="394"/>
        <v>0</v>
      </c>
      <c r="BH400" s="28">
        <f t="shared" si="394"/>
        <v>0</v>
      </c>
      <c r="BI400" s="28">
        <f t="shared" si="394"/>
        <v>2.4822549039182364E-3</v>
      </c>
      <c r="BJ400" s="28">
        <f t="shared" si="394"/>
        <v>0</v>
      </c>
      <c r="BK400" s="28">
        <f t="shared" si="394"/>
        <v>0</v>
      </c>
      <c r="BL400" s="28">
        <f t="shared" si="394"/>
        <v>0</v>
      </c>
      <c r="BM400" s="28">
        <f t="shared" si="394"/>
        <v>2.5077468086587415E-3</v>
      </c>
      <c r="BN400" s="28">
        <f t="shared" si="394"/>
        <v>0</v>
      </c>
      <c r="BO400" s="28">
        <f t="shared" si="394"/>
        <v>0</v>
      </c>
      <c r="BP400" s="28">
        <f t="shared" si="394"/>
        <v>0</v>
      </c>
      <c r="BQ400" s="28">
        <f t="shared" si="394"/>
        <v>0</v>
      </c>
      <c r="BR400" s="28">
        <f t="shared" si="394"/>
        <v>0</v>
      </c>
    </row>
    <row r="401" spans="1:70" x14ac:dyDescent="0.3">
      <c r="B401" s="3" t="s">
        <v>25</v>
      </c>
      <c r="E401" s="30">
        <f t="shared" si="390"/>
        <v>0.30649846974311767</v>
      </c>
      <c r="F401" s="28">
        <f>F397*F164</f>
        <v>2.4906681638075935E-3</v>
      </c>
      <c r="G401" s="28">
        <f t="shared" ref="G401:BR401" si="395">G397*G164</f>
        <v>0</v>
      </c>
      <c r="H401" s="28">
        <f t="shared" si="395"/>
        <v>0</v>
      </c>
      <c r="I401" s="28">
        <f t="shared" si="395"/>
        <v>0</v>
      </c>
      <c r="J401" s="28">
        <f t="shared" si="395"/>
        <v>0</v>
      </c>
      <c r="K401" s="28">
        <f t="shared" si="395"/>
        <v>0</v>
      </c>
      <c r="L401" s="28">
        <f t="shared" si="395"/>
        <v>1.4887733238321946E-5</v>
      </c>
      <c r="M401" s="28">
        <f t="shared" si="395"/>
        <v>0</v>
      </c>
      <c r="N401" s="28">
        <f t="shared" si="395"/>
        <v>0</v>
      </c>
      <c r="O401" s="28">
        <f t="shared" si="395"/>
        <v>0</v>
      </c>
      <c r="P401" s="28">
        <f t="shared" si="395"/>
        <v>0</v>
      </c>
      <c r="Q401" s="28">
        <f t="shared" si="395"/>
        <v>0</v>
      </c>
      <c r="R401" s="28">
        <f t="shared" si="395"/>
        <v>6.5354731590708286E-5</v>
      </c>
      <c r="S401" s="28">
        <f t="shared" si="395"/>
        <v>1.0073243928146062E-4</v>
      </c>
      <c r="T401" s="28">
        <f t="shared" si="395"/>
        <v>0</v>
      </c>
      <c r="U401" s="28">
        <f t="shared" si="395"/>
        <v>4.598229566217072E-3</v>
      </c>
      <c r="V401" s="28">
        <f t="shared" si="395"/>
        <v>6.0385806341035471E-2</v>
      </c>
      <c r="W401" s="28">
        <f t="shared" si="395"/>
        <v>1.6754512201164546E-2</v>
      </c>
      <c r="X401" s="28">
        <f t="shared" si="395"/>
        <v>7.5720273600123927E-2</v>
      </c>
      <c r="Y401" s="28">
        <f t="shared" si="395"/>
        <v>6.4203488999412653E-2</v>
      </c>
      <c r="Z401" s="28">
        <f t="shared" si="395"/>
        <v>9.6885053833212133E-3</v>
      </c>
      <c r="AA401" s="28">
        <f t="shared" si="395"/>
        <v>2.154282080849157E-2</v>
      </c>
      <c r="AB401" s="28">
        <f t="shared" si="395"/>
        <v>0</v>
      </c>
      <c r="AC401" s="28">
        <f t="shared" si="395"/>
        <v>0</v>
      </c>
      <c r="AD401" s="28">
        <f t="shared" si="395"/>
        <v>0</v>
      </c>
      <c r="AE401" s="28">
        <f t="shared" si="395"/>
        <v>0</v>
      </c>
      <c r="AF401" s="28">
        <f t="shared" si="395"/>
        <v>0</v>
      </c>
      <c r="AG401" s="28">
        <f t="shared" si="395"/>
        <v>0</v>
      </c>
      <c r="AH401" s="28">
        <f t="shared" si="395"/>
        <v>3.6064794954162691E-2</v>
      </c>
      <c r="AI401" s="28">
        <f t="shared" si="395"/>
        <v>1.6268856391408597E-4</v>
      </c>
      <c r="AJ401" s="28">
        <f t="shared" si="395"/>
        <v>0</v>
      </c>
      <c r="AK401" s="28">
        <f t="shared" si="395"/>
        <v>0</v>
      </c>
      <c r="AL401" s="28">
        <f t="shared" si="395"/>
        <v>2.6763893123185899E-4</v>
      </c>
      <c r="AM401" s="28">
        <f t="shared" si="395"/>
        <v>0</v>
      </c>
      <c r="AN401" s="28">
        <f t="shared" si="395"/>
        <v>0</v>
      </c>
      <c r="AO401" s="28">
        <f t="shared" si="395"/>
        <v>0</v>
      </c>
      <c r="AP401" s="28">
        <f t="shared" si="395"/>
        <v>0</v>
      </c>
      <c r="AQ401" s="28">
        <f t="shared" si="395"/>
        <v>0</v>
      </c>
      <c r="AR401" s="28">
        <f t="shared" si="395"/>
        <v>5.454799564547795E-4</v>
      </c>
      <c r="AS401" s="28">
        <f t="shared" si="395"/>
        <v>1.1000883450410627E-3</v>
      </c>
      <c r="AT401" s="28">
        <f t="shared" si="395"/>
        <v>0</v>
      </c>
      <c r="AU401" s="28">
        <f t="shared" si="395"/>
        <v>8.5772812171245744E-3</v>
      </c>
      <c r="AV401" s="28">
        <f t="shared" si="395"/>
        <v>0</v>
      </c>
      <c r="AW401" s="28">
        <f t="shared" si="395"/>
        <v>0</v>
      </c>
      <c r="AX401" s="28">
        <f t="shared" si="395"/>
        <v>0</v>
      </c>
      <c r="AY401" s="28">
        <f t="shared" si="395"/>
        <v>5.8994542438305297E-5</v>
      </c>
      <c r="AZ401" s="28">
        <f t="shared" si="395"/>
        <v>4.076195932757749E-3</v>
      </c>
      <c r="BA401" s="28">
        <f t="shared" si="395"/>
        <v>0</v>
      </c>
      <c r="BB401" s="28">
        <f t="shared" si="395"/>
        <v>0</v>
      </c>
      <c r="BC401" s="28">
        <f t="shared" si="395"/>
        <v>0</v>
      </c>
      <c r="BD401" s="28">
        <f t="shared" si="395"/>
        <v>0</v>
      </c>
      <c r="BE401" s="28">
        <f t="shared" si="395"/>
        <v>0</v>
      </c>
      <c r="BF401" s="28">
        <f t="shared" si="395"/>
        <v>0</v>
      </c>
      <c r="BG401" s="28">
        <f t="shared" si="395"/>
        <v>0</v>
      </c>
      <c r="BH401" s="28">
        <f t="shared" si="395"/>
        <v>0</v>
      </c>
      <c r="BI401" s="28">
        <f t="shared" si="395"/>
        <v>8.2399427024199087E-6</v>
      </c>
      <c r="BJ401" s="28">
        <f t="shared" si="395"/>
        <v>0</v>
      </c>
      <c r="BK401" s="28">
        <f t="shared" si="395"/>
        <v>0</v>
      </c>
      <c r="BL401" s="28">
        <f t="shared" si="395"/>
        <v>0</v>
      </c>
      <c r="BM401" s="28">
        <f t="shared" si="395"/>
        <v>7.1787389605557406E-5</v>
      </c>
      <c r="BN401" s="28">
        <f t="shared" si="395"/>
        <v>0</v>
      </c>
      <c r="BO401" s="28">
        <f t="shared" si="395"/>
        <v>0</v>
      </c>
      <c r="BP401" s="28">
        <f t="shared" si="395"/>
        <v>0</v>
      </c>
      <c r="BQ401" s="28">
        <f t="shared" si="395"/>
        <v>0</v>
      </c>
      <c r="BR401" s="28">
        <f t="shared" si="395"/>
        <v>0</v>
      </c>
    </row>
    <row r="402" spans="1:70" x14ac:dyDescent="0.3">
      <c r="B402" s="3" t="s">
        <v>18</v>
      </c>
      <c r="E402" s="30">
        <f t="shared" si="390"/>
        <v>0.37197787627596757</v>
      </c>
      <c r="F402" s="28">
        <f>F397*F157</f>
        <v>1.5090574074323258E-3</v>
      </c>
      <c r="G402" s="28">
        <f t="shared" ref="G402:BR402" si="396">G397*G157</f>
        <v>0</v>
      </c>
      <c r="H402" s="28">
        <f t="shared" si="396"/>
        <v>0</v>
      </c>
      <c r="I402" s="28">
        <f t="shared" si="396"/>
        <v>0</v>
      </c>
      <c r="J402" s="28">
        <f t="shared" si="396"/>
        <v>0</v>
      </c>
      <c r="K402" s="28">
        <f t="shared" si="396"/>
        <v>0</v>
      </c>
      <c r="L402" s="28">
        <f t="shared" si="396"/>
        <v>9.8886819421432856E-6</v>
      </c>
      <c r="M402" s="28">
        <f t="shared" si="396"/>
        <v>0</v>
      </c>
      <c r="N402" s="28">
        <f t="shared" si="396"/>
        <v>0</v>
      </c>
      <c r="O402" s="28">
        <f t="shared" si="396"/>
        <v>0</v>
      </c>
      <c r="P402" s="28">
        <f t="shared" si="396"/>
        <v>0</v>
      </c>
      <c r="Q402" s="28">
        <f t="shared" si="396"/>
        <v>0</v>
      </c>
      <c r="R402" s="28">
        <f t="shared" si="396"/>
        <v>8.6718045006302378E-6</v>
      </c>
      <c r="S402" s="28">
        <f t="shared" si="396"/>
        <v>3.2607179620073963E-5</v>
      </c>
      <c r="T402" s="28">
        <f t="shared" si="396"/>
        <v>0</v>
      </c>
      <c r="U402" s="28">
        <f t="shared" si="396"/>
        <v>1.6128815634002564E-3</v>
      </c>
      <c r="V402" s="28">
        <f t="shared" si="396"/>
        <v>2.7561120590148974E-3</v>
      </c>
      <c r="W402" s="28">
        <f t="shared" si="396"/>
        <v>1.873472405166465E-3</v>
      </c>
      <c r="X402" s="28">
        <f t="shared" si="396"/>
        <v>8.491993915815314E-3</v>
      </c>
      <c r="Y402" s="28">
        <f t="shared" si="396"/>
        <v>4.4895044250308743E-3</v>
      </c>
      <c r="Z402" s="28">
        <f t="shared" si="396"/>
        <v>8.4834666550875177E-4</v>
      </c>
      <c r="AA402" s="28">
        <f t="shared" si="396"/>
        <v>8.9081193110787001E-3</v>
      </c>
      <c r="AB402" s="28">
        <f t="shared" si="396"/>
        <v>0</v>
      </c>
      <c r="AC402" s="28">
        <f t="shared" si="396"/>
        <v>0</v>
      </c>
      <c r="AD402" s="28">
        <f t="shared" si="396"/>
        <v>0</v>
      </c>
      <c r="AE402" s="28">
        <f t="shared" si="396"/>
        <v>0</v>
      </c>
      <c r="AF402" s="28">
        <f t="shared" si="396"/>
        <v>0</v>
      </c>
      <c r="AG402" s="28">
        <f t="shared" si="396"/>
        <v>0</v>
      </c>
      <c r="AH402" s="28">
        <f t="shared" si="396"/>
        <v>0.28194578399766973</v>
      </c>
      <c r="AI402" s="28">
        <f t="shared" si="396"/>
        <v>1.0057072221735842E-2</v>
      </c>
      <c r="AJ402" s="28">
        <f t="shared" si="396"/>
        <v>1.7240792701253803E-2</v>
      </c>
      <c r="AK402" s="28">
        <f t="shared" si="396"/>
        <v>9.3989000343378492E-4</v>
      </c>
      <c r="AL402" s="28">
        <f t="shared" si="396"/>
        <v>7.5279121896290233E-4</v>
      </c>
      <c r="AM402" s="28">
        <f t="shared" si="396"/>
        <v>0</v>
      </c>
      <c r="AN402" s="28">
        <f t="shared" si="396"/>
        <v>0</v>
      </c>
      <c r="AO402" s="28">
        <f t="shared" si="396"/>
        <v>0</v>
      </c>
      <c r="AP402" s="28">
        <f t="shared" si="396"/>
        <v>0</v>
      </c>
      <c r="AQ402" s="28">
        <f t="shared" si="396"/>
        <v>0</v>
      </c>
      <c r="AR402" s="28">
        <f t="shared" si="396"/>
        <v>6.8486959839195649E-4</v>
      </c>
      <c r="AS402" s="28">
        <f t="shared" si="396"/>
        <v>1.3936896570890425E-3</v>
      </c>
      <c r="AT402" s="28">
        <f t="shared" si="396"/>
        <v>0</v>
      </c>
      <c r="AU402" s="28">
        <f t="shared" si="396"/>
        <v>2.2372702369476343E-2</v>
      </c>
      <c r="AV402" s="28">
        <f t="shared" si="396"/>
        <v>0</v>
      </c>
      <c r="AW402" s="28">
        <f t="shared" si="396"/>
        <v>0</v>
      </c>
      <c r="AX402" s="28">
        <f t="shared" si="396"/>
        <v>0</v>
      </c>
      <c r="AY402" s="28">
        <f t="shared" si="396"/>
        <v>1.1867418278879735E-3</v>
      </c>
      <c r="AZ402" s="28">
        <f t="shared" si="396"/>
        <v>2.6072301403232368E-3</v>
      </c>
      <c r="BA402" s="28">
        <f t="shared" si="396"/>
        <v>0</v>
      </c>
      <c r="BB402" s="28">
        <f t="shared" si="396"/>
        <v>0</v>
      </c>
      <c r="BC402" s="28">
        <f t="shared" si="396"/>
        <v>0</v>
      </c>
      <c r="BD402" s="28">
        <f t="shared" si="396"/>
        <v>0</v>
      </c>
      <c r="BE402" s="28">
        <f t="shared" si="396"/>
        <v>0</v>
      </c>
      <c r="BF402" s="28">
        <f t="shared" si="396"/>
        <v>0</v>
      </c>
      <c r="BG402" s="28">
        <f t="shared" si="396"/>
        <v>0</v>
      </c>
      <c r="BH402" s="28">
        <f t="shared" si="396"/>
        <v>0</v>
      </c>
      <c r="BI402" s="28">
        <f t="shared" si="396"/>
        <v>1.3043922809600522E-3</v>
      </c>
      <c r="BJ402" s="28">
        <f t="shared" si="396"/>
        <v>0</v>
      </c>
      <c r="BK402" s="28">
        <f t="shared" si="396"/>
        <v>0</v>
      </c>
      <c r="BL402" s="28">
        <f t="shared" si="396"/>
        <v>0</v>
      </c>
      <c r="BM402" s="28">
        <f t="shared" si="396"/>
        <v>9.5126484027244608E-4</v>
      </c>
      <c r="BN402" s="28">
        <f t="shared" si="396"/>
        <v>0</v>
      </c>
      <c r="BO402" s="28">
        <f t="shared" si="396"/>
        <v>0</v>
      </c>
      <c r="BP402" s="28">
        <f t="shared" si="396"/>
        <v>0</v>
      </c>
      <c r="BQ402" s="28">
        <f t="shared" si="396"/>
        <v>0</v>
      </c>
      <c r="BR402" s="28">
        <f t="shared" si="396"/>
        <v>0</v>
      </c>
    </row>
    <row r="404" spans="1:70" s="69" customFormat="1" x14ac:dyDescent="0.3">
      <c r="A404" s="86" t="s">
        <v>202</v>
      </c>
    </row>
    <row r="405" spans="1:70" x14ac:dyDescent="0.3">
      <c r="A405" s="73">
        <v>1</v>
      </c>
      <c r="B405" s="16" t="s">
        <v>36</v>
      </c>
    </row>
    <row r="406" spans="1:70" x14ac:dyDescent="0.3">
      <c r="A406" s="3">
        <v>1</v>
      </c>
      <c r="B406" s="7" t="s">
        <v>498</v>
      </c>
      <c r="D406" s="377" t="s">
        <v>398</v>
      </c>
      <c r="E406" s="88">
        <f>HLOOKUP(A405,$F$305:$BK$372,A405+2)</f>
        <v>1.2255033532943498</v>
      </c>
    </row>
    <row r="407" spans="1:70" x14ac:dyDescent="0.3">
      <c r="D407" s="377" t="s">
        <v>399</v>
      </c>
      <c r="E407" s="88">
        <f>HLOOKUP(A405,$F$305:$BK$372,68)-E406</f>
        <v>0.65558104665655903</v>
      </c>
      <c r="F407" s="32"/>
    </row>
    <row r="408" spans="1:70" x14ac:dyDescent="0.3">
      <c r="C408" s="378"/>
      <c r="D408" s="379" t="s">
        <v>201</v>
      </c>
      <c r="E408" s="30">
        <f>E407+E406</f>
        <v>1.8810843999509088</v>
      </c>
      <c r="F408" s="95">
        <f t="shared" ref="F408:AK408" si="397">HLOOKUP($A405,$F$305:$BK$372,F$305+2)</f>
        <v>1.2255033532943498</v>
      </c>
      <c r="G408" s="95">
        <f t="shared" si="397"/>
        <v>8.9506968999379763E-4</v>
      </c>
      <c r="H408" s="95">
        <f t="shared" si="397"/>
        <v>1.5455352050888966E-3</v>
      </c>
      <c r="I408" s="95">
        <f t="shared" si="397"/>
        <v>3.941594533685866E-2</v>
      </c>
      <c r="J408" s="95">
        <f t="shared" si="397"/>
        <v>0.10182606919261214</v>
      </c>
      <c r="K408" s="95">
        <f t="shared" si="397"/>
        <v>1.9513182338674936E-3</v>
      </c>
      <c r="L408" s="95">
        <f t="shared" si="397"/>
        <v>3.083971043065899E-3</v>
      </c>
      <c r="M408" s="95">
        <f t="shared" si="397"/>
        <v>3.9629167130035428E-3</v>
      </c>
      <c r="N408" s="95">
        <f t="shared" si="397"/>
        <v>1.9752815300963966E-3</v>
      </c>
      <c r="O408" s="95">
        <f t="shared" si="397"/>
        <v>4.9659744897999805E-2</v>
      </c>
      <c r="P408" s="95">
        <f t="shared" si="397"/>
        <v>7.5912473024374857E-2</v>
      </c>
      <c r="Q408" s="95">
        <f t="shared" si="397"/>
        <v>4.3844888566286514E-3</v>
      </c>
      <c r="R408" s="95">
        <f t="shared" si="397"/>
        <v>7.3266704653697492E-3</v>
      </c>
      <c r="S408" s="95">
        <f t="shared" si="397"/>
        <v>4.7721102552445924E-3</v>
      </c>
      <c r="T408" s="95">
        <f t="shared" si="397"/>
        <v>8.0256823416535294E-3</v>
      </c>
      <c r="U408" s="95">
        <f t="shared" si="397"/>
        <v>1.6434641288971708E-2</v>
      </c>
      <c r="V408" s="95">
        <f t="shared" si="397"/>
        <v>2.8114511784080756E-3</v>
      </c>
      <c r="W408" s="95">
        <f t="shared" si="397"/>
        <v>4.8189366000270049E-3</v>
      </c>
      <c r="X408" s="95">
        <f t="shared" si="397"/>
        <v>2.6516129756161015E-2</v>
      </c>
      <c r="Y408" s="95">
        <f t="shared" si="397"/>
        <v>4.3999372747321784E-3</v>
      </c>
      <c r="Z408" s="95">
        <f t="shared" si="397"/>
        <v>2.8024253915868931E-4</v>
      </c>
      <c r="AA408" s="95">
        <f t="shared" si="397"/>
        <v>9.2770435043970168E-4</v>
      </c>
      <c r="AB408" s="95">
        <f t="shared" si="397"/>
        <v>1.6957039357154303E-2</v>
      </c>
      <c r="AC408" s="95">
        <f t="shared" si="397"/>
        <v>2.9091411252775666E-2</v>
      </c>
      <c r="AD408" s="95">
        <f t="shared" si="397"/>
        <v>8.6988876070065897E-3</v>
      </c>
      <c r="AE408" s="95">
        <f t="shared" si="397"/>
        <v>3.0089162276514701E-3</v>
      </c>
      <c r="AF408" s="95">
        <f t="shared" si="397"/>
        <v>2.3593176549148382E-3</v>
      </c>
      <c r="AG408" s="95">
        <f t="shared" si="397"/>
        <v>4.7026365351068673E-3</v>
      </c>
      <c r="AH408" s="95">
        <f t="shared" si="397"/>
        <v>1.2564459933450694E-2</v>
      </c>
      <c r="AI408" s="95">
        <f t="shared" si="397"/>
        <v>4.5677714476511011E-3</v>
      </c>
      <c r="AJ408" s="95">
        <f t="shared" si="397"/>
        <v>5.4169075180543626E-2</v>
      </c>
      <c r="AK408" s="95">
        <f t="shared" si="397"/>
        <v>1.0556001075375847E-2</v>
      </c>
      <c r="AL408" s="95">
        <f t="shared" ref="AL408:BK408" si="398">HLOOKUP($A405,$F$305:$BK$372,AL$305+2)</f>
        <v>2.1830128632205022E-2</v>
      </c>
      <c r="AM408" s="95">
        <f t="shared" si="398"/>
        <v>2.7250435440209575E-3</v>
      </c>
      <c r="AN408" s="95">
        <f t="shared" si="398"/>
        <v>1.1861175986083588E-3</v>
      </c>
      <c r="AO408" s="95">
        <f t="shared" si="398"/>
        <v>2.3130436314130254E-2</v>
      </c>
      <c r="AP408" s="95">
        <f t="shared" si="398"/>
        <v>8.6113095771507629E-4</v>
      </c>
      <c r="AQ408" s="95">
        <f t="shared" si="398"/>
        <v>1.174431000625586E-3</v>
      </c>
      <c r="AR408" s="95">
        <f t="shared" si="398"/>
        <v>1.8315778798704942E-3</v>
      </c>
      <c r="AS408" s="95">
        <f t="shared" si="398"/>
        <v>1.1677035654818174E-3</v>
      </c>
      <c r="AT408" s="95">
        <f t="shared" si="398"/>
        <v>9.0058247144267859E-3</v>
      </c>
      <c r="AU408" s="95">
        <f t="shared" si="398"/>
        <v>2.9652262916300335E-3</v>
      </c>
      <c r="AV408" s="95">
        <f t="shared" si="398"/>
        <v>1.289309540495461E-2</v>
      </c>
      <c r="AW408" s="95">
        <f t="shared" si="398"/>
        <v>1.6272583727965518E-3</v>
      </c>
      <c r="AX408" s="95">
        <f t="shared" si="398"/>
        <v>2.0284083041991487E-3</v>
      </c>
      <c r="AY408" s="95">
        <f t="shared" si="398"/>
        <v>1.367196258532194E-2</v>
      </c>
      <c r="AZ408" s="95">
        <f t="shared" si="398"/>
        <v>1.3778461496184983E-2</v>
      </c>
      <c r="BA408" s="95">
        <f t="shared" si="398"/>
        <v>3.747376632873744E-3</v>
      </c>
      <c r="BB408" s="95">
        <f t="shared" si="398"/>
        <v>8.7931695091135703E-4</v>
      </c>
      <c r="BC408" s="95">
        <f t="shared" si="398"/>
        <v>4.277947547417252E-3</v>
      </c>
      <c r="BD408" s="95">
        <f t="shared" si="398"/>
        <v>1.150657405256234E-2</v>
      </c>
      <c r="BE408" s="95">
        <f t="shared" si="398"/>
        <v>6.7812546456758405E-3</v>
      </c>
      <c r="BF408" s="95">
        <f t="shared" si="398"/>
        <v>7.0689414429144632E-4</v>
      </c>
      <c r="BG408" s="95">
        <f t="shared" si="398"/>
        <v>1.2610273439455098E-4</v>
      </c>
      <c r="BH408" s="95">
        <f t="shared" si="398"/>
        <v>4.5196886253782275E-3</v>
      </c>
      <c r="BI408" s="95">
        <f t="shared" si="398"/>
        <v>1.0803628066181875E-3</v>
      </c>
      <c r="BJ408" s="95">
        <f t="shared" si="398"/>
        <v>8.6578495434521026E-4</v>
      </c>
      <c r="BK408" s="95">
        <f t="shared" si="398"/>
        <v>2.0680225383827515E-4</v>
      </c>
      <c r="BL408" s="95">
        <f t="shared" ref="BL408:BR408" si="399">HLOOKUP($A405,$F$305:$BK$372,BL$305+2)</f>
        <v>1.4660097296244986E-6</v>
      </c>
      <c r="BM408" s="95">
        <f t="shared" si="399"/>
        <v>5.6817599522872022E-5</v>
      </c>
      <c r="BN408" s="95">
        <f t="shared" si="399"/>
        <v>9.7133225847544571E-5</v>
      </c>
      <c r="BO408" s="95">
        <f t="shared" si="399"/>
        <v>2.5133869299942841E-3</v>
      </c>
      <c r="BP408" s="95">
        <f t="shared" si="399"/>
        <v>4.4675910177652945E-4</v>
      </c>
      <c r="BQ408" s="95">
        <f t="shared" si="399"/>
        <v>2.8873573382354206E-4</v>
      </c>
      <c r="BR408" s="95">
        <f t="shared" si="399"/>
        <v>0</v>
      </c>
    </row>
    <row r="409" spans="1:70" ht="17.25" customHeight="1" x14ac:dyDescent="0.3">
      <c r="B409" s="3" t="s">
        <v>110</v>
      </c>
      <c r="C409" s="29"/>
      <c r="D409" s="327"/>
      <c r="E409" s="30">
        <f>SUM(F409:BR409)</f>
        <v>3.3901182672618067E-2</v>
      </c>
      <c r="F409" s="28">
        <f>F408*F$155</f>
        <v>2.8205874328983863E-2</v>
      </c>
      <c r="G409" s="28">
        <f t="shared" ref="G409:AK409" si="400">G408*G$155</f>
        <v>1.0804937289309526E-5</v>
      </c>
      <c r="H409" s="28">
        <f t="shared" si="400"/>
        <v>3.0989395693737119E-5</v>
      </c>
      <c r="I409" s="28">
        <f t="shared" si="400"/>
        <v>6.6749299360080059E-4</v>
      </c>
      <c r="J409" s="28">
        <f t="shared" si="400"/>
        <v>1.0643729613954764E-4</v>
      </c>
      <c r="K409" s="28">
        <f t="shared" si="400"/>
        <v>8.220158752819451E-6</v>
      </c>
      <c r="L409" s="28">
        <f t="shared" si="400"/>
        <v>9.7350714878316667E-6</v>
      </c>
      <c r="M409" s="28">
        <f t="shared" si="400"/>
        <v>2.0550460985008705E-5</v>
      </c>
      <c r="N409" s="28">
        <f t="shared" si="400"/>
        <v>4.1030571150471172E-6</v>
      </c>
      <c r="O409" s="28">
        <f t="shared" si="400"/>
        <v>5.7802561871888767E-4</v>
      </c>
      <c r="P409" s="28">
        <f t="shared" si="400"/>
        <v>8.5260934045850817E-5</v>
      </c>
      <c r="Q409" s="28">
        <f t="shared" si="400"/>
        <v>7.8431193909213151E-7</v>
      </c>
      <c r="R409" s="28">
        <f t="shared" si="400"/>
        <v>1.2663622151146254E-5</v>
      </c>
      <c r="S409" s="28">
        <f t="shared" si="400"/>
        <v>1.4556253830271385E-5</v>
      </c>
      <c r="T409" s="28">
        <f t="shared" si="400"/>
        <v>5.3174397665480834E-6</v>
      </c>
      <c r="U409" s="28">
        <f t="shared" si="400"/>
        <v>3.816790431882941E-5</v>
      </c>
      <c r="V409" s="28">
        <f t="shared" si="400"/>
        <v>1.9579328307215605E-6</v>
      </c>
      <c r="W409" s="28">
        <f t="shared" si="400"/>
        <v>4.2574189284907295E-6</v>
      </c>
      <c r="X409" s="28">
        <f t="shared" si="400"/>
        <v>2.3096234399715045E-5</v>
      </c>
      <c r="Y409" s="28">
        <f t="shared" si="400"/>
        <v>3.3048675790141676E-6</v>
      </c>
      <c r="Z409" s="28">
        <f t="shared" si="400"/>
        <v>1.7862878934977731E-7</v>
      </c>
      <c r="AA409" s="28">
        <f t="shared" si="400"/>
        <v>4.0287386329726018E-6</v>
      </c>
      <c r="AB409" s="28">
        <f t="shared" si="400"/>
        <v>7.7722252918150601E-5</v>
      </c>
      <c r="AC409" s="28">
        <f t="shared" si="400"/>
        <v>5.2696968572301524E-5</v>
      </c>
      <c r="AD409" s="28">
        <f t="shared" si="400"/>
        <v>8.4835421994777021E-7</v>
      </c>
      <c r="AE409" s="28">
        <f t="shared" si="400"/>
        <v>9.5128702619768141E-5</v>
      </c>
      <c r="AF409" s="28">
        <f t="shared" si="400"/>
        <v>1.6693302516866898E-5</v>
      </c>
      <c r="AG409" s="28">
        <f t="shared" si="400"/>
        <v>2.2369236973721372E-5</v>
      </c>
      <c r="AH409" s="28">
        <f t="shared" si="400"/>
        <v>1.4547412363420493E-4</v>
      </c>
      <c r="AI409" s="28">
        <f t="shared" si="400"/>
        <v>2.8813438703826562E-5</v>
      </c>
      <c r="AJ409" s="28">
        <f t="shared" si="400"/>
        <v>3.0100055549019269E-4</v>
      </c>
      <c r="AK409" s="28">
        <f t="shared" si="400"/>
        <v>5.7014106728448534E-5</v>
      </c>
      <c r="AL409" s="28">
        <f t="shared" ref="AL409:BK409" si="401">AL408*AL$155</f>
        <v>1.8515892041015038E-3</v>
      </c>
      <c r="AM409" s="28">
        <f t="shared" si="401"/>
        <v>0</v>
      </c>
      <c r="AN409" s="28">
        <f t="shared" si="401"/>
        <v>1.052376425338964E-6</v>
      </c>
      <c r="AO409" s="28">
        <f t="shared" si="401"/>
        <v>5.8205826511179243E-5</v>
      </c>
      <c r="AP409" s="28">
        <f t="shared" si="401"/>
        <v>1.7292119655980599E-5</v>
      </c>
      <c r="AQ409" s="28">
        <f t="shared" si="401"/>
        <v>4.7181622459294655E-6</v>
      </c>
      <c r="AR409" s="28">
        <f t="shared" si="401"/>
        <v>3.5404197279788255E-6</v>
      </c>
      <c r="AS409" s="28">
        <f t="shared" si="401"/>
        <v>9.7355430388062956E-6</v>
      </c>
      <c r="AT409" s="28">
        <f t="shared" si="401"/>
        <v>1.0168323824042171E-5</v>
      </c>
      <c r="AU409" s="28">
        <f t="shared" si="401"/>
        <v>1.0016998788612696E-5</v>
      </c>
      <c r="AV409" s="28">
        <f t="shared" si="401"/>
        <v>3.8369377635262287E-4</v>
      </c>
      <c r="AW409" s="28">
        <f t="shared" si="401"/>
        <v>6.2755846354895555E-5</v>
      </c>
      <c r="AX409" s="28">
        <f t="shared" si="401"/>
        <v>5.7254162216937241E-5</v>
      </c>
      <c r="AY409" s="28">
        <f t="shared" si="401"/>
        <v>2.3557056632703328E-4</v>
      </c>
      <c r="AZ409" s="28">
        <f t="shared" si="401"/>
        <v>5.2475190016866237E-5</v>
      </c>
      <c r="BA409" s="28">
        <f t="shared" si="401"/>
        <v>3.6079568197216075E-5</v>
      </c>
      <c r="BB409" s="28">
        <f t="shared" si="401"/>
        <v>2.4003127416154264E-5</v>
      </c>
      <c r="BC409" s="28">
        <f t="shared" si="401"/>
        <v>1.6612393349577261E-5</v>
      </c>
      <c r="BD409" s="28">
        <f t="shared" si="401"/>
        <v>9.5558236891983455E-5</v>
      </c>
      <c r="BE409" s="28">
        <f t="shared" si="401"/>
        <v>1.2231692666933707E-5</v>
      </c>
      <c r="BF409" s="28">
        <f t="shared" si="401"/>
        <v>1.4003378451147532E-6</v>
      </c>
      <c r="BG409" s="28">
        <f t="shared" si="401"/>
        <v>2.056894880728352E-7</v>
      </c>
      <c r="BH409" s="28">
        <f t="shared" si="401"/>
        <v>4.4057475007572428E-5</v>
      </c>
      <c r="BI409" s="28">
        <f t="shared" si="401"/>
        <v>5.3803866180660766E-5</v>
      </c>
      <c r="BJ409" s="28">
        <f t="shared" si="401"/>
        <v>3.5578223639294675E-5</v>
      </c>
      <c r="BK409" s="28">
        <f t="shared" si="401"/>
        <v>9.6923645528848613E-6</v>
      </c>
      <c r="BL409" s="28">
        <f t="shared" ref="BL409:BR409" si="402">BL408*BL$155</f>
        <v>8.3558661804162798E-8</v>
      </c>
      <c r="BM409" s="28">
        <f t="shared" si="402"/>
        <v>2.5746418421317905E-6</v>
      </c>
      <c r="BN409" s="28">
        <f t="shared" si="402"/>
        <v>5.043871362311278E-6</v>
      </c>
      <c r="BO409" s="28">
        <f t="shared" si="402"/>
        <v>1.5266116050068637E-4</v>
      </c>
      <c r="BP409" s="28">
        <f t="shared" si="402"/>
        <v>1.21146530265298E-5</v>
      </c>
      <c r="BQ409" s="28">
        <f t="shared" si="402"/>
        <v>7.8446480451402432E-6</v>
      </c>
      <c r="BR409" s="28">
        <f t="shared" si="402"/>
        <v>0</v>
      </c>
    </row>
    <row r="410" spans="1:70" x14ac:dyDescent="0.3">
      <c r="B410" s="3" t="s">
        <v>56</v>
      </c>
      <c r="C410" s="28"/>
      <c r="D410" s="328"/>
      <c r="E410" s="30">
        <f t="shared" ref="E410:E414" si="403">SUM(F410:BR410)</f>
        <v>0.24545499175091723</v>
      </c>
      <c r="F410" s="28">
        <f>F408*F$157</f>
        <v>0.15229370098764744</v>
      </c>
      <c r="G410" s="28">
        <f t="shared" ref="G410:AK410" si="404">G408*G$157</f>
        <v>1.064478282395434E-4</v>
      </c>
      <c r="H410" s="28">
        <f t="shared" si="404"/>
        <v>1.0740647725520314E-4</v>
      </c>
      <c r="I410" s="28">
        <f t="shared" si="404"/>
        <v>1.0209247894776121E-2</v>
      </c>
      <c r="J410" s="28">
        <f t="shared" si="404"/>
        <v>7.7893094830140527E-3</v>
      </c>
      <c r="K410" s="28">
        <f t="shared" si="404"/>
        <v>2.0775852591770904E-4</v>
      </c>
      <c r="L410" s="28">
        <f t="shared" si="404"/>
        <v>3.4542433090530933E-4</v>
      </c>
      <c r="M410" s="28">
        <f t="shared" si="404"/>
        <v>1.8568029212232424E-4</v>
      </c>
      <c r="N410" s="28">
        <f t="shared" si="404"/>
        <v>3.6936320197437884E-4</v>
      </c>
      <c r="O410" s="28">
        <f t="shared" si="404"/>
        <v>4.9135384687196007E-3</v>
      </c>
      <c r="P410" s="28">
        <f t="shared" si="404"/>
        <v>2.219265174249072E-3</v>
      </c>
      <c r="Q410" s="28">
        <f t="shared" si="404"/>
        <v>8.8149841850137384E-5</v>
      </c>
      <c r="R410" s="28">
        <f t="shared" si="404"/>
        <v>5.6293453080307333E-4</v>
      </c>
      <c r="S410" s="28">
        <f t="shared" si="404"/>
        <v>5.7165541869140654E-4</v>
      </c>
      <c r="T410" s="28">
        <f t="shared" si="404"/>
        <v>1.3913098526427197E-4</v>
      </c>
      <c r="U410" s="28">
        <f t="shared" si="404"/>
        <v>1.9043856949678333E-3</v>
      </c>
      <c r="V410" s="28">
        <f t="shared" si="404"/>
        <v>7.2413626216024157E-5</v>
      </c>
      <c r="W410" s="28">
        <f t="shared" si="404"/>
        <v>2.9891710103171104E-4</v>
      </c>
      <c r="X410" s="28">
        <f t="shared" si="404"/>
        <v>2.0393794856551775E-3</v>
      </c>
      <c r="Y410" s="28">
        <f t="shared" si="404"/>
        <v>2.1035828324379163E-4</v>
      </c>
      <c r="Z410" s="28">
        <f t="shared" si="404"/>
        <v>1.6945798132034568E-5</v>
      </c>
      <c r="AA410" s="28">
        <f t="shared" si="404"/>
        <v>1.3412720240000881E-4</v>
      </c>
      <c r="AB410" s="28">
        <f t="shared" si="404"/>
        <v>4.8786389889355197E-3</v>
      </c>
      <c r="AC410" s="28">
        <f t="shared" si="404"/>
        <v>2.5369031419800376E-3</v>
      </c>
      <c r="AD410" s="28">
        <f t="shared" si="404"/>
        <v>2.3515137482971776E-4</v>
      </c>
      <c r="AE410" s="28">
        <f t="shared" si="404"/>
        <v>3.1389540142358558E-4</v>
      </c>
      <c r="AF410" s="28">
        <f t="shared" si="404"/>
        <v>5.0073822211392158E-4</v>
      </c>
      <c r="AG410" s="28">
        <f t="shared" si="404"/>
        <v>3.9316934935463785E-4</v>
      </c>
      <c r="AH410" s="28">
        <f t="shared" si="404"/>
        <v>3.2528564305961804E-3</v>
      </c>
      <c r="AI410" s="28">
        <f t="shared" si="404"/>
        <v>1.4499111411134906E-3</v>
      </c>
      <c r="AJ410" s="28">
        <f t="shared" si="404"/>
        <v>1.4014178146425263E-2</v>
      </c>
      <c r="AK410" s="28">
        <f t="shared" si="404"/>
        <v>4.1352951061657262E-3</v>
      </c>
      <c r="AL410" s="28">
        <f t="shared" ref="AL410:BK410" si="405">AL408*AL$157</f>
        <v>3.937918041659722E-3</v>
      </c>
      <c r="AM410" s="28">
        <f t="shared" si="405"/>
        <v>5.3679883721753604E-5</v>
      </c>
      <c r="AN410" s="28">
        <f t="shared" si="405"/>
        <v>8.4542190181128757E-5</v>
      </c>
      <c r="AO410" s="28">
        <f t="shared" si="405"/>
        <v>2.4587473920765109E-3</v>
      </c>
      <c r="AP410" s="28">
        <f t="shared" si="405"/>
        <v>3.4574817036071837E-4</v>
      </c>
      <c r="AQ410" s="28">
        <f t="shared" si="405"/>
        <v>3.1394362146786476E-4</v>
      </c>
      <c r="AR410" s="28">
        <f t="shared" si="405"/>
        <v>4.8098273900322062E-4</v>
      </c>
      <c r="AS410" s="28">
        <f t="shared" si="405"/>
        <v>2.6858675842527041E-4</v>
      </c>
      <c r="AT410" s="28">
        <f t="shared" si="405"/>
        <v>7.9367114051383226E-4</v>
      </c>
      <c r="AU410" s="28">
        <f t="shared" si="405"/>
        <v>1.1799314598856369E-3</v>
      </c>
      <c r="AV410" s="28">
        <f t="shared" si="405"/>
        <v>2.7450291633016035E-3</v>
      </c>
      <c r="AW410" s="28">
        <f t="shared" si="405"/>
        <v>3.749084661735032E-4</v>
      </c>
      <c r="AX410" s="28">
        <f t="shared" si="405"/>
        <v>4.7399131729842483E-4</v>
      </c>
      <c r="AY410" s="28">
        <f t="shared" si="405"/>
        <v>9.0329376770163382E-4</v>
      </c>
      <c r="AZ410" s="28">
        <f t="shared" si="405"/>
        <v>2.9163429910904781E-3</v>
      </c>
      <c r="BA410" s="28">
        <f t="shared" si="405"/>
        <v>1.1265419461181968E-3</v>
      </c>
      <c r="BB410" s="28">
        <f t="shared" si="405"/>
        <v>5.2212065102802483E-4</v>
      </c>
      <c r="BC410" s="28">
        <f t="shared" si="405"/>
        <v>8.3413058157306541E-4</v>
      </c>
      <c r="BD410" s="28">
        <f t="shared" si="405"/>
        <v>3.7276328560985625E-3</v>
      </c>
      <c r="BE410" s="28">
        <f t="shared" si="405"/>
        <v>4.4306628008740215E-4</v>
      </c>
      <c r="BF410" s="28">
        <f t="shared" si="405"/>
        <v>5.213927653633264E-4</v>
      </c>
      <c r="BG410" s="28">
        <f t="shared" si="405"/>
        <v>2.7466659018998499E-5</v>
      </c>
      <c r="BH410" s="28">
        <f t="shared" si="405"/>
        <v>1.9327267766724365E-3</v>
      </c>
      <c r="BI410" s="28">
        <f t="shared" si="405"/>
        <v>5.6771643531236624E-4</v>
      </c>
      <c r="BJ410" s="28">
        <f t="shared" si="405"/>
        <v>5.5476909211569212E-4</v>
      </c>
      <c r="BK410" s="28">
        <f t="shared" si="405"/>
        <v>1.0744252841153383E-4</v>
      </c>
      <c r="BL410" s="28">
        <f t="shared" ref="BL410:BR410" si="406">BL408*BL$157</f>
        <v>8.5378077192379425E-7</v>
      </c>
      <c r="BM410" s="28">
        <f t="shared" si="406"/>
        <v>2.1552648197246173E-5</v>
      </c>
      <c r="BN410" s="28">
        <f t="shared" si="406"/>
        <v>2.7333946922418668E-5</v>
      </c>
      <c r="BO410" s="28">
        <f t="shared" si="406"/>
        <v>1.0007679498861104E-3</v>
      </c>
      <c r="BP410" s="28">
        <f t="shared" si="406"/>
        <v>1.2687697538201137E-4</v>
      </c>
      <c r="BQ410" s="28">
        <f t="shared" si="406"/>
        <v>8.5004839082387774E-5</v>
      </c>
      <c r="BR410" s="28">
        <f t="shared" si="406"/>
        <v>0</v>
      </c>
    </row>
    <row r="411" spans="1:70" x14ac:dyDescent="0.3">
      <c r="B411" s="2" t="s">
        <v>22</v>
      </c>
      <c r="C411" s="28"/>
      <c r="D411" s="328"/>
      <c r="E411" s="30">
        <f>SUM(F411:BR411)</f>
        <v>0.39029989669306886</v>
      </c>
      <c r="F411" s="28">
        <f t="shared" ref="F411:AK411" si="407">F408*F$161</f>
        <v>0.31704288536723502</v>
      </c>
      <c r="G411" s="28">
        <f t="shared" si="407"/>
        <v>1.4714812361529218E-4</v>
      </c>
      <c r="H411" s="28">
        <f t="shared" si="407"/>
        <v>1.9440272708362111E-4</v>
      </c>
      <c r="I411" s="28">
        <f t="shared" si="407"/>
        <v>7.6958160003071062E-3</v>
      </c>
      <c r="J411" s="28">
        <f t="shared" si="407"/>
        <v>2.1807265781998452E-3</v>
      </c>
      <c r="K411" s="28">
        <f t="shared" si="407"/>
        <v>2.5765447868464E-5</v>
      </c>
      <c r="L411" s="28">
        <f t="shared" si="407"/>
        <v>1.851115465372267E-4</v>
      </c>
      <c r="M411" s="28">
        <f t="shared" si="407"/>
        <v>2.9165978804161785E-4</v>
      </c>
      <c r="N411" s="28">
        <f t="shared" si="407"/>
        <v>1.6996609467315348E-4</v>
      </c>
      <c r="O411" s="28">
        <f t="shared" si="407"/>
        <v>1.2882477382899627E-2</v>
      </c>
      <c r="P411" s="28">
        <f t="shared" si="407"/>
        <v>3.5971321142843384E-3</v>
      </c>
      <c r="Q411" s="28">
        <f t="shared" si="407"/>
        <v>2.5297713662766702E-5</v>
      </c>
      <c r="R411" s="28">
        <f t="shared" si="407"/>
        <v>1.118391794226746E-4</v>
      </c>
      <c r="S411" s="28">
        <f t="shared" si="407"/>
        <v>1.1034751810656665E-4</v>
      </c>
      <c r="T411" s="28">
        <f t="shared" si="407"/>
        <v>4.9240932067863913E-5</v>
      </c>
      <c r="U411" s="28">
        <f t="shared" si="407"/>
        <v>5.5166570631112765E-4</v>
      </c>
      <c r="V411" s="28">
        <f t="shared" si="407"/>
        <v>5.297591629210482E-5</v>
      </c>
      <c r="W411" s="28">
        <f t="shared" si="407"/>
        <v>1.6140104460013135E-4</v>
      </c>
      <c r="X411" s="28">
        <f t="shared" si="407"/>
        <v>4.6419670776901625E-4</v>
      </c>
      <c r="Y411" s="28">
        <f t="shared" si="407"/>
        <v>1.8639231165089261E-4</v>
      </c>
      <c r="Z411" s="28">
        <f t="shared" si="407"/>
        <v>1.0739569742263914E-5</v>
      </c>
      <c r="AA411" s="28">
        <f t="shared" si="407"/>
        <v>3.2369529259311536E-5</v>
      </c>
      <c r="AB411" s="28">
        <f t="shared" si="407"/>
        <v>1.0776783163945873E-3</v>
      </c>
      <c r="AC411" s="28">
        <f t="shared" si="407"/>
        <v>7.2468749337927154E-3</v>
      </c>
      <c r="AD411" s="28">
        <f t="shared" si="407"/>
        <v>5.6562879578868862E-4</v>
      </c>
      <c r="AE411" s="28">
        <f t="shared" si="407"/>
        <v>4.4401045820456581E-4</v>
      </c>
      <c r="AF411" s="28">
        <f t="shared" si="407"/>
        <v>4.7667192261198759E-4</v>
      </c>
      <c r="AG411" s="28">
        <f t="shared" si="407"/>
        <v>3.9548971759692373E-4</v>
      </c>
      <c r="AH411" s="28">
        <f t="shared" si="407"/>
        <v>7.1009553926440277E-4</v>
      </c>
      <c r="AI411" s="28">
        <f t="shared" si="407"/>
        <v>2.1275964507784642E-4</v>
      </c>
      <c r="AJ411" s="28">
        <f t="shared" si="407"/>
        <v>1.0849521017282704E-2</v>
      </c>
      <c r="AK411" s="28">
        <f t="shared" si="407"/>
        <v>9.102986957761005E-4</v>
      </c>
      <c r="AL411" s="28">
        <f t="shared" ref="AL411:BR411" si="408">AL408*AL$161</f>
        <v>8.3665429180948222E-4</v>
      </c>
      <c r="AM411" s="28">
        <f t="shared" si="408"/>
        <v>1.3817049608945539E-4</v>
      </c>
      <c r="AN411" s="28">
        <f t="shared" si="408"/>
        <v>0</v>
      </c>
      <c r="AO411" s="28">
        <f t="shared" si="408"/>
        <v>3.7462536700803638E-3</v>
      </c>
      <c r="AP411" s="28">
        <f t="shared" si="408"/>
        <v>4.5902187374288918E-5</v>
      </c>
      <c r="AQ411" s="28">
        <f t="shared" si="408"/>
        <v>7.2042834642229017E-6</v>
      </c>
      <c r="AR411" s="28">
        <f t="shared" si="408"/>
        <v>2.3344330142374348E-5</v>
      </c>
      <c r="AS411" s="28">
        <f t="shared" si="408"/>
        <v>1.6188291518699844E-6</v>
      </c>
      <c r="AT411" s="28">
        <f t="shared" si="408"/>
        <v>1.873249416669967E-3</v>
      </c>
      <c r="AU411" s="28">
        <f t="shared" si="408"/>
        <v>4.0691686839115462E-4</v>
      </c>
      <c r="AV411" s="28">
        <f t="shared" si="408"/>
        <v>2.4700785932799834E-3</v>
      </c>
      <c r="AW411" s="28">
        <f t="shared" si="408"/>
        <v>3.4426986149446557E-4</v>
      </c>
      <c r="AX411" s="28">
        <f t="shared" si="408"/>
        <v>2.9810608564994733E-4</v>
      </c>
      <c r="AY411" s="28">
        <f t="shared" si="408"/>
        <v>5.0721190779089822E-3</v>
      </c>
      <c r="AZ411" s="28">
        <f t="shared" si="408"/>
        <v>2.4539672948011146E-3</v>
      </c>
      <c r="BA411" s="28">
        <f t="shared" si="408"/>
        <v>4.5488661493307581E-4</v>
      </c>
      <c r="BB411" s="28">
        <f t="shared" si="408"/>
        <v>3.4219252472309944E-6</v>
      </c>
      <c r="BC411" s="28">
        <f t="shared" si="408"/>
        <v>3.9665349914270515E-4</v>
      </c>
      <c r="BD411" s="28">
        <f t="shared" si="408"/>
        <v>1.3286464077420933E-3</v>
      </c>
      <c r="BE411" s="28">
        <f t="shared" si="408"/>
        <v>9.529955793325703E-4</v>
      </c>
      <c r="BF411" s="28">
        <f t="shared" si="408"/>
        <v>0</v>
      </c>
      <c r="BG411" s="28">
        <f t="shared" si="408"/>
        <v>6.2987071451349539E-6</v>
      </c>
      <c r="BH411" s="28">
        <f t="shared" si="408"/>
        <v>3.3000178705830022E-4</v>
      </c>
      <c r="BI411" s="28">
        <f t="shared" si="408"/>
        <v>0</v>
      </c>
      <c r="BJ411" s="28">
        <f t="shared" si="408"/>
        <v>7.4882804361977768E-6</v>
      </c>
      <c r="BK411" s="28">
        <f t="shared" si="408"/>
        <v>3.265332703413408E-6</v>
      </c>
      <c r="BL411" s="28">
        <f t="shared" si="408"/>
        <v>1.9024555979178932E-9</v>
      </c>
      <c r="BM411" s="28">
        <f t="shared" si="408"/>
        <v>2.095107315294787E-6</v>
      </c>
      <c r="BN411" s="28">
        <f t="shared" si="408"/>
        <v>0</v>
      </c>
      <c r="BO411" s="28">
        <f t="shared" si="408"/>
        <v>0</v>
      </c>
      <c r="BP411" s="28">
        <f t="shared" si="408"/>
        <v>2.2912105330380435E-5</v>
      </c>
      <c r="BQ411" s="28">
        <f t="shared" si="408"/>
        <v>1.4787816498599622E-5</v>
      </c>
      <c r="BR411" s="28">
        <f t="shared" si="408"/>
        <v>0</v>
      </c>
    </row>
    <row r="412" spans="1:70" x14ac:dyDescent="0.3">
      <c r="B412" s="2" t="s">
        <v>21</v>
      </c>
      <c r="C412" s="28"/>
      <c r="D412" s="328"/>
      <c r="E412" s="30">
        <f t="shared" si="403"/>
        <v>0.16554330289375313</v>
      </c>
      <c r="F412" s="28">
        <f>F408*F$160</f>
        <v>0.13322238715537751</v>
      </c>
      <c r="G412" s="28">
        <f t="shared" ref="G412:AK412" si="409">G408*G$160</f>
        <v>7.0651290778117362E-5</v>
      </c>
      <c r="H412" s="28">
        <f t="shared" si="409"/>
        <v>1.8752960940784304E-4</v>
      </c>
      <c r="I412" s="28">
        <f t="shared" si="409"/>
        <v>2.6596581685264463E-3</v>
      </c>
      <c r="J412" s="28">
        <f t="shared" si="409"/>
        <v>2.1162657538614238E-3</v>
      </c>
      <c r="K412" s="28">
        <f t="shared" si="409"/>
        <v>2.9528784041057863E-5</v>
      </c>
      <c r="L412" s="28">
        <f t="shared" si="409"/>
        <v>9.8806326314244088E-5</v>
      </c>
      <c r="M412" s="28">
        <f t="shared" si="409"/>
        <v>1.0497725640964092E-4</v>
      </c>
      <c r="N412" s="28">
        <f t="shared" si="409"/>
        <v>1.0107630841684577E-4</v>
      </c>
      <c r="O412" s="28">
        <f t="shared" si="409"/>
        <v>1.930244233694884E-3</v>
      </c>
      <c r="P412" s="28">
        <f t="shared" si="409"/>
        <v>5.3262960851497751E-4</v>
      </c>
      <c r="Q412" s="28">
        <f t="shared" si="409"/>
        <v>7.1968333624354588E-6</v>
      </c>
      <c r="R412" s="28">
        <f t="shared" si="409"/>
        <v>1.1411434276332826E-4</v>
      </c>
      <c r="S412" s="28">
        <f t="shared" si="409"/>
        <v>2.3463649315667062E-4</v>
      </c>
      <c r="T412" s="28">
        <f t="shared" si="409"/>
        <v>1.7232029943741141E-5</v>
      </c>
      <c r="U412" s="28">
        <f t="shared" si="409"/>
        <v>2.4049589672918924E-4</v>
      </c>
      <c r="V412" s="28">
        <f t="shared" si="409"/>
        <v>7.4799543884663201E-6</v>
      </c>
      <c r="W412" s="28">
        <f t="shared" si="409"/>
        <v>2.1715038871902304E-5</v>
      </c>
      <c r="X412" s="28">
        <f t="shared" si="409"/>
        <v>2.395890672029545E-4</v>
      </c>
      <c r="Y412" s="28">
        <f t="shared" si="409"/>
        <v>2.3487127833649543E-5</v>
      </c>
      <c r="Z412" s="28">
        <f t="shared" si="409"/>
        <v>2.6411328703358194E-6</v>
      </c>
      <c r="AA412" s="28">
        <f t="shared" si="409"/>
        <v>2.111245766356057E-5</v>
      </c>
      <c r="AB412" s="28">
        <f t="shared" si="409"/>
        <v>5.9138071849628414E-4</v>
      </c>
      <c r="AC412" s="28">
        <f t="shared" si="409"/>
        <v>4.3187673673948561E-3</v>
      </c>
      <c r="AD412" s="28">
        <f t="shared" si="409"/>
        <v>9.3666582508769892E-5</v>
      </c>
      <c r="AE412" s="28">
        <f t="shared" si="409"/>
        <v>1.6404235471827329E-4</v>
      </c>
      <c r="AF412" s="28">
        <f t="shared" si="409"/>
        <v>5.8574554258585833E-4</v>
      </c>
      <c r="AG412" s="28">
        <f t="shared" si="409"/>
        <v>1.5463577127205084E-4</v>
      </c>
      <c r="AH412" s="28">
        <f t="shared" si="409"/>
        <v>5.5078363760786007E-4</v>
      </c>
      <c r="AI412" s="28">
        <f t="shared" si="409"/>
        <v>2.9125146661614819E-4</v>
      </c>
      <c r="AJ412" s="28">
        <f t="shared" si="409"/>
        <v>3.6148227500547212E-3</v>
      </c>
      <c r="AK412" s="28">
        <f t="shared" si="409"/>
        <v>6.483358532438471E-4</v>
      </c>
      <c r="AL412" s="28">
        <f t="shared" ref="AL412:BK412" si="410">AL408*AL$160</f>
        <v>2.4752945846417324E-3</v>
      </c>
      <c r="AM412" s="28">
        <f t="shared" si="410"/>
        <v>7.1125816107177626E-5</v>
      </c>
      <c r="AN412" s="28">
        <f t="shared" si="410"/>
        <v>1.6578395532115056E-5</v>
      </c>
      <c r="AO412" s="28">
        <f t="shared" si="410"/>
        <v>9.2372172445844632E-4</v>
      </c>
      <c r="AP412" s="28">
        <f t="shared" si="410"/>
        <v>1.2779522524687787E-5</v>
      </c>
      <c r="AQ412" s="28">
        <f t="shared" si="410"/>
        <v>5.5402843385639073E-5</v>
      </c>
      <c r="AR412" s="28">
        <f t="shared" si="410"/>
        <v>1.0160571370571928E-4</v>
      </c>
      <c r="AS412" s="28">
        <f t="shared" si="410"/>
        <v>2.3550275138852804E-4</v>
      </c>
      <c r="AT412" s="28">
        <f t="shared" si="410"/>
        <v>5.4835805256759577E-4</v>
      </c>
      <c r="AU412" s="28">
        <f t="shared" si="410"/>
        <v>8.669857191437098E-5</v>
      </c>
      <c r="AV412" s="28">
        <f t="shared" si="410"/>
        <v>1.3166295585319678E-3</v>
      </c>
      <c r="AW412" s="28">
        <f t="shared" si="410"/>
        <v>7.0683076303989264E-5</v>
      </c>
      <c r="AX412" s="28">
        <f t="shared" si="410"/>
        <v>1.3552473063427065E-4</v>
      </c>
      <c r="AY412" s="28">
        <f t="shared" si="410"/>
        <v>3.614963641578131E-3</v>
      </c>
      <c r="AZ412" s="28">
        <f t="shared" si="410"/>
        <v>3.5685660877048098E-4</v>
      </c>
      <c r="BA412" s="28">
        <f t="shared" si="410"/>
        <v>1.6695770798586993E-4</v>
      </c>
      <c r="BB412" s="28">
        <f t="shared" si="410"/>
        <v>6.9193195364786902E-5</v>
      </c>
      <c r="BC412" s="28">
        <f t="shared" si="410"/>
        <v>1.0914370051499927E-4</v>
      </c>
      <c r="BD412" s="28">
        <f t="shared" si="410"/>
        <v>3.7405571157666682E-4</v>
      </c>
      <c r="BE412" s="28">
        <f t="shared" si="410"/>
        <v>1.2831691476826417E-3</v>
      </c>
      <c r="BF412" s="28">
        <f t="shared" si="410"/>
        <v>6.9407648367948782E-6</v>
      </c>
      <c r="BG412" s="28">
        <f t="shared" si="410"/>
        <v>3.3948722837802802E-6</v>
      </c>
      <c r="BH412" s="28">
        <f t="shared" si="410"/>
        <v>1.6607378208272636E-4</v>
      </c>
      <c r="BI412" s="28">
        <f t="shared" si="410"/>
        <v>1.1782409833511326E-4</v>
      </c>
      <c r="BJ412" s="28">
        <f t="shared" si="410"/>
        <v>5.4759903099561918E-5</v>
      </c>
      <c r="BK412" s="28">
        <f t="shared" si="410"/>
        <v>1.2628269743115873E-5</v>
      </c>
      <c r="BL412" s="28">
        <f t="shared" ref="BL412:BR412" si="411">BL408*BL$160</f>
        <v>7.5606133785152679E-8</v>
      </c>
      <c r="BM412" s="28">
        <f t="shared" si="411"/>
        <v>4.8168618377510683E-6</v>
      </c>
      <c r="BN412" s="28">
        <f t="shared" si="411"/>
        <v>1.2376320634236983E-5</v>
      </c>
      <c r="BO412" s="28">
        <f t="shared" si="411"/>
        <v>7.7207373273150895E-5</v>
      </c>
      <c r="BP412" s="28">
        <f t="shared" si="411"/>
        <v>3.5688814124133025E-5</v>
      </c>
      <c r="BQ412" s="28">
        <f t="shared" si="411"/>
        <v>3.0384257571202935E-5</v>
      </c>
      <c r="BR412" s="28">
        <f t="shared" si="411"/>
        <v>0</v>
      </c>
    </row>
    <row r="413" spans="1:70" x14ac:dyDescent="0.3">
      <c r="B413" s="3" t="s">
        <v>44</v>
      </c>
      <c r="C413" s="28"/>
      <c r="D413" s="328"/>
      <c r="E413" s="30">
        <f t="shared" si="403"/>
        <v>0.54725100947389826</v>
      </c>
      <c r="F413" s="28">
        <f t="shared" ref="F413:AK413" si="412">F408*F$162</f>
        <v>0.34624955752502146</v>
      </c>
      <c r="G413" s="28">
        <f t="shared" si="412"/>
        <v>3.3327157264273125E-4</v>
      </c>
      <c r="H413" s="28">
        <f t="shared" si="412"/>
        <v>5.1958010033328558E-4</v>
      </c>
      <c r="I413" s="28">
        <f t="shared" si="412"/>
        <v>2.1855806606772665E-2</v>
      </c>
      <c r="J413" s="28">
        <f t="shared" si="412"/>
        <v>1.2065005334038547E-2</v>
      </c>
      <c r="K413" s="28">
        <f t="shared" si="412"/>
        <v>2.6304134497492102E-4</v>
      </c>
      <c r="L413" s="28">
        <f t="shared" si="412"/>
        <v>6.2816275299193414E-4</v>
      </c>
      <c r="M413" s="28">
        <f t="shared" si="412"/>
        <v>5.8911658604219588E-4</v>
      </c>
      <c r="N413" s="28">
        <f t="shared" si="412"/>
        <v>6.3851228023140518E-4</v>
      </c>
      <c r="O413" s="28">
        <f t="shared" si="412"/>
        <v>2.0204384660812581E-2</v>
      </c>
      <c r="P413" s="28">
        <f t="shared" si="412"/>
        <v>6.3405871637059116E-3</v>
      </c>
      <c r="Q413" s="28">
        <f t="shared" si="412"/>
        <v>1.2063626970412741E-4</v>
      </c>
      <c r="R413" s="28">
        <f t="shared" si="412"/>
        <v>7.8585813631443582E-4</v>
      </c>
      <c r="S413" s="28">
        <f t="shared" si="412"/>
        <v>9.2038730450630542E-4</v>
      </c>
      <c r="T413" s="28">
        <f t="shared" si="412"/>
        <v>2.0597507577498956E-4</v>
      </c>
      <c r="U413" s="28">
        <f t="shared" si="412"/>
        <v>2.6963226085279009E-3</v>
      </c>
      <c r="V413" s="28">
        <f t="shared" si="412"/>
        <v>1.3202135144083194E-4</v>
      </c>
      <c r="W413" s="28">
        <f t="shared" si="412"/>
        <v>4.8206945828303203E-4</v>
      </c>
      <c r="X413" s="28">
        <f t="shared" si="412"/>
        <v>2.7171744919942775E-3</v>
      </c>
      <c r="Y413" s="28">
        <f t="shared" si="412"/>
        <v>4.2032334379786844E-4</v>
      </c>
      <c r="Z413" s="28">
        <f t="shared" si="412"/>
        <v>2.992077103214134E-5</v>
      </c>
      <c r="AA413" s="28">
        <f t="shared" si="412"/>
        <v>1.8714842861718693E-4</v>
      </c>
      <c r="AB413" s="28">
        <f t="shared" si="412"/>
        <v>6.5438909507597228E-3</v>
      </c>
      <c r="AC413" s="28">
        <f t="shared" si="412"/>
        <v>1.4782707957991097E-2</v>
      </c>
      <c r="AD413" s="28">
        <f t="shared" si="412"/>
        <v>8.9540684180536105E-4</v>
      </c>
      <c r="AE413" s="28">
        <f t="shared" si="412"/>
        <v>9.4590197529086442E-4</v>
      </c>
      <c r="AF413" s="28">
        <f t="shared" si="412"/>
        <v>1.6960351542694466E-3</v>
      </c>
      <c r="AG413" s="28">
        <f t="shared" si="412"/>
        <v>9.5576439181238408E-4</v>
      </c>
      <c r="AH413" s="28">
        <f t="shared" si="412"/>
        <v>4.5270926398366246E-3</v>
      </c>
      <c r="AI413" s="28">
        <f t="shared" si="412"/>
        <v>1.9556926046306405E-3</v>
      </c>
      <c r="AJ413" s="28">
        <f t="shared" si="412"/>
        <v>2.8461169008879603E-2</v>
      </c>
      <c r="AK413" s="28">
        <f t="shared" si="412"/>
        <v>5.7025030483892816E-3</v>
      </c>
      <c r="AL413" s="28">
        <f t="shared" ref="AL413:BR413" si="413">AL408*AL$162</f>
        <v>7.248799636967119E-3</v>
      </c>
      <c r="AM413" s="28">
        <f t="shared" si="413"/>
        <v>2.6351422351041521E-4</v>
      </c>
      <c r="AN413" s="28">
        <f t="shared" si="413"/>
        <v>1.0105124905271636E-4</v>
      </c>
      <c r="AO413" s="28">
        <f t="shared" si="413"/>
        <v>7.150656424434701E-3</v>
      </c>
      <c r="AP413" s="28">
        <f t="shared" si="413"/>
        <v>4.0484266567960956E-4</v>
      </c>
      <c r="AQ413" s="28">
        <f t="shared" si="413"/>
        <v>3.7513377845186784E-4</v>
      </c>
      <c r="AR413" s="28">
        <f t="shared" si="413"/>
        <v>6.0103929402114591E-4</v>
      </c>
      <c r="AS413" s="28">
        <f t="shared" si="413"/>
        <v>4.9127602137417133E-4</v>
      </c>
      <c r="AT413" s="28">
        <f t="shared" si="413"/>
        <v>3.2141959161878235E-3</v>
      </c>
      <c r="AU413" s="28">
        <f t="shared" si="413"/>
        <v>1.6468442616042534E-3</v>
      </c>
      <c r="AV413" s="28">
        <f t="shared" si="413"/>
        <v>6.53982813783775E-3</v>
      </c>
      <c r="AW413" s="28">
        <f t="shared" si="413"/>
        <v>7.9076705522508964E-4</v>
      </c>
      <c r="AX413" s="28">
        <f t="shared" si="413"/>
        <v>9.0589178872725943E-4</v>
      </c>
      <c r="AY413" s="28">
        <f t="shared" si="413"/>
        <v>9.7654039673857242E-3</v>
      </c>
      <c r="AZ413" s="28">
        <f t="shared" si="413"/>
        <v>5.7132775902424913E-3</v>
      </c>
      <c r="BA413" s="28">
        <f t="shared" si="413"/>
        <v>1.7418174821735978E-3</v>
      </c>
      <c r="BB413" s="28">
        <f t="shared" si="413"/>
        <v>5.154317106724392E-4</v>
      </c>
      <c r="BC413" s="28">
        <f t="shared" si="413"/>
        <v>1.3250631724761647E-3</v>
      </c>
      <c r="BD413" s="28">
        <f t="shared" si="413"/>
        <v>5.0401036180925231E-3</v>
      </c>
      <c r="BE413" s="28">
        <f t="shared" si="413"/>
        <v>2.6841428486893866E-3</v>
      </c>
      <c r="BF413" s="28">
        <f t="shared" si="413"/>
        <v>5.2846091755847713E-4</v>
      </c>
      <c r="BG413" s="28">
        <f t="shared" si="413"/>
        <v>3.717446317046372E-5</v>
      </c>
      <c r="BH413" s="28">
        <f t="shared" si="413"/>
        <v>2.4263683837562732E-3</v>
      </c>
      <c r="BI413" s="28">
        <f t="shared" si="413"/>
        <v>6.8860265623659845E-4</v>
      </c>
      <c r="BJ413" s="28">
        <f t="shared" si="413"/>
        <v>6.1680891658976074E-4</v>
      </c>
      <c r="BK413" s="28">
        <f t="shared" si="413"/>
        <v>1.233576994193627E-4</v>
      </c>
      <c r="BL413" s="28">
        <f t="shared" si="413"/>
        <v>9.293634728455392E-7</v>
      </c>
      <c r="BM413" s="28">
        <f t="shared" si="413"/>
        <v>2.8463493155293994E-5</v>
      </c>
      <c r="BN413" s="28">
        <f t="shared" si="413"/>
        <v>3.9180231676153069E-5</v>
      </c>
      <c r="BO413" s="28">
        <f t="shared" si="413"/>
        <v>1.0755906264545553E-3</v>
      </c>
      <c r="BP413" s="28">
        <f t="shared" si="413"/>
        <v>1.8573774135894212E-4</v>
      </c>
      <c r="BQ413" s="28">
        <f t="shared" si="413"/>
        <v>1.3022639701741013E-4</v>
      </c>
      <c r="BR413" s="28">
        <f t="shared" si="413"/>
        <v>0</v>
      </c>
    </row>
    <row r="414" spans="1:70" x14ac:dyDescent="0.3">
      <c r="B414" s="3" t="s">
        <v>25</v>
      </c>
      <c r="C414" s="28"/>
      <c r="D414" s="328"/>
      <c r="E414" s="30">
        <f t="shared" si="403"/>
        <v>0.41884780785348374</v>
      </c>
      <c r="F414" s="28">
        <f t="shared" ref="F414:AK414" si="414">F408*F$164</f>
        <v>0.25135761617165447</v>
      </c>
      <c r="G414" s="28">
        <f t="shared" si="414"/>
        <v>5.0694334773122831E-5</v>
      </c>
      <c r="H414" s="28">
        <f t="shared" si="414"/>
        <v>3.3148563621055734E-4</v>
      </c>
      <c r="I414" s="28">
        <f t="shared" si="414"/>
        <v>0</v>
      </c>
      <c r="J414" s="28">
        <f t="shared" si="414"/>
        <v>4.1366176504123921E-2</v>
      </c>
      <c r="K414" s="28">
        <f t="shared" si="414"/>
        <v>1.1029148065129911E-3</v>
      </c>
      <c r="L414" s="28">
        <f t="shared" si="414"/>
        <v>5.2004759811594083E-4</v>
      </c>
      <c r="M414" s="28">
        <f t="shared" si="414"/>
        <v>2.0996988521135721E-3</v>
      </c>
      <c r="N414" s="28">
        <f t="shared" si="414"/>
        <v>2.3959928483900054E-5</v>
      </c>
      <c r="O414" s="28">
        <f t="shared" si="414"/>
        <v>0</v>
      </c>
      <c r="P414" s="28">
        <f t="shared" si="414"/>
        <v>5.1240109862143626E-2</v>
      </c>
      <c r="Q414" s="28">
        <f t="shared" si="414"/>
        <v>3.8856729587030256E-3</v>
      </c>
      <c r="R414" s="28">
        <f t="shared" si="414"/>
        <v>4.2425351218540906E-3</v>
      </c>
      <c r="S414" s="28">
        <f t="shared" si="414"/>
        <v>1.7659989433063221E-3</v>
      </c>
      <c r="T414" s="28">
        <f t="shared" si="414"/>
        <v>7.1722791847227867E-3</v>
      </c>
      <c r="U414" s="28">
        <f t="shared" si="414"/>
        <v>5.4292905361389065E-3</v>
      </c>
      <c r="V414" s="28">
        <f t="shared" si="414"/>
        <v>1.586566552992731E-3</v>
      </c>
      <c r="W414" s="28">
        <f t="shared" si="414"/>
        <v>2.6732233699100255E-3</v>
      </c>
      <c r="X414" s="28">
        <f t="shared" si="414"/>
        <v>1.8184465763770391E-2</v>
      </c>
      <c r="Y414" s="28">
        <f t="shared" si="414"/>
        <v>3.0082909928494453E-3</v>
      </c>
      <c r="Z414" s="28">
        <f t="shared" si="414"/>
        <v>1.935287343039574E-4</v>
      </c>
      <c r="AA414" s="28">
        <f t="shared" si="414"/>
        <v>3.2436456966333316E-4</v>
      </c>
      <c r="AB414" s="28">
        <f t="shared" si="414"/>
        <v>5.2301806908632779E-4</v>
      </c>
      <c r="AC414" s="28">
        <f t="shared" si="414"/>
        <v>2.2202258368918303E-3</v>
      </c>
      <c r="AD414" s="28">
        <f t="shared" si="414"/>
        <v>0</v>
      </c>
      <c r="AE414" s="28">
        <f t="shared" si="414"/>
        <v>0</v>
      </c>
      <c r="AF414" s="28">
        <f t="shared" si="414"/>
        <v>0</v>
      </c>
      <c r="AG414" s="28">
        <f t="shared" si="414"/>
        <v>8.2774909371422835E-4</v>
      </c>
      <c r="AH414" s="28">
        <f t="shared" si="414"/>
        <v>4.1608566910066079E-4</v>
      </c>
      <c r="AI414" s="28">
        <f t="shared" si="414"/>
        <v>2.3454535887788828E-5</v>
      </c>
      <c r="AJ414" s="28">
        <f t="shared" si="414"/>
        <v>0</v>
      </c>
      <c r="AK414" s="28">
        <f t="shared" si="414"/>
        <v>0</v>
      </c>
      <c r="AL414" s="28">
        <f t="shared" ref="AL414:BR414" si="415">AL408*AL$164</f>
        <v>1.4000431320126778E-3</v>
      </c>
      <c r="AM414" s="28">
        <f t="shared" si="415"/>
        <v>4.0890216290757127E-4</v>
      </c>
      <c r="AN414" s="28">
        <f t="shared" si="415"/>
        <v>4.542052029318933E-4</v>
      </c>
      <c r="AO414" s="28">
        <f t="shared" si="415"/>
        <v>3.0347735343580801E-3</v>
      </c>
      <c r="AP414" s="28">
        <f t="shared" si="415"/>
        <v>8.8236248605241414E-5</v>
      </c>
      <c r="AQ414" s="28">
        <f t="shared" si="415"/>
        <v>1.1154695956052622E-4</v>
      </c>
      <c r="AR414" s="28">
        <f t="shared" si="415"/>
        <v>3.8308963362222845E-4</v>
      </c>
      <c r="AS414" s="28">
        <f t="shared" si="415"/>
        <v>2.1200499054655893E-4</v>
      </c>
      <c r="AT414" s="28">
        <f t="shared" si="415"/>
        <v>1.5637425598996584E-3</v>
      </c>
      <c r="AU414" s="28">
        <f t="shared" si="415"/>
        <v>4.5236394697581342E-4</v>
      </c>
      <c r="AV414" s="28">
        <f t="shared" si="415"/>
        <v>1.6647041997461011E-3</v>
      </c>
      <c r="AW414" s="28">
        <f t="shared" si="415"/>
        <v>2.8203137119940559E-5</v>
      </c>
      <c r="AX414" s="28">
        <f t="shared" si="415"/>
        <v>6.7418309752118985E-5</v>
      </c>
      <c r="AY414" s="28">
        <f t="shared" si="415"/>
        <v>4.4903955738856078E-5</v>
      </c>
      <c r="AZ414" s="28">
        <f t="shared" si="415"/>
        <v>4.5594691680481206E-3</v>
      </c>
      <c r="BA414" s="28">
        <f t="shared" si="415"/>
        <v>4.7653835663518231E-4</v>
      </c>
      <c r="BB414" s="28">
        <f t="shared" si="415"/>
        <v>5.3742564034718387E-5</v>
      </c>
      <c r="BC414" s="28">
        <f t="shared" si="415"/>
        <v>5.8689501866058245E-4</v>
      </c>
      <c r="BD414" s="28">
        <f t="shared" si="415"/>
        <v>6.3860473997803585E-4</v>
      </c>
      <c r="BE414" s="28">
        <f t="shared" si="415"/>
        <v>1.9937086600400672E-3</v>
      </c>
      <c r="BF414" s="28">
        <f t="shared" si="415"/>
        <v>3.0185265349540173E-6</v>
      </c>
      <c r="BG414" s="28">
        <f t="shared" si="415"/>
        <v>0</v>
      </c>
      <c r="BH414" s="28">
        <f t="shared" si="415"/>
        <v>3.1959710959132966E-5</v>
      </c>
      <c r="BI414" s="28">
        <f t="shared" si="415"/>
        <v>3.5863067931933288E-6</v>
      </c>
      <c r="BJ414" s="28">
        <f t="shared" si="415"/>
        <v>1.3768789639975402E-5</v>
      </c>
      <c r="BK414" s="28">
        <f t="shared" si="415"/>
        <v>1.1740118174046345E-6</v>
      </c>
      <c r="BL414" s="28">
        <f t="shared" si="415"/>
        <v>0</v>
      </c>
      <c r="BM414" s="28">
        <f t="shared" si="415"/>
        <v>1.6264748655317677E-6</v>
      </c>
      <c r="BN414" s="28">
        <f t="shared" si="415"/>
        <v>1.0471328855468022E-7</v>
      </c>
      <c r="BO414" s="28">
        <f t="shared" si="415"/>
        <v>0</v>
      </c>
      <c r="BP414" s="28">
        <f t="shared" si="415"/>
        <v>0</v>
      </c>
      <c r="BQ414" s="28">
        <f t="shared" si="415"/>
        <v>1.921138296769039E-8</v>
      </c>
      <c r="BR414" s="28">
        <f t="shared" si="415"/>
        <v>0</v>
      </c>
    </row>
    <row r="415" spans="1:70" x14ac:dyDescent="0.3">
      <c r="A415" s="73">
        <v>2</v>
      </c>
      <c r="B415" s="16" t="s">
        <v>37</v>
      </c>
      <c r="D415" s="244"/>
    </row>
    <row r="416" spans="1:70" x14ac:dyDescent="0.3">
      <c r="A416" s="3">
        <f>A406+1</f>
        <v>2</v>
      </c>
      <c r="B416" s="7" t="s">
        <v>61</v>
      </c>
      <c r="D416" s="379" t="s">
        <v>235</v>
      </c>
      <c r="E416" s="88">
        <f>HLOOKUP(A415,$F$305:$BK$372,A415+2)</f>
        <v>1.1558699273160966</v>
      </c>
    </row>
    <row r="417" spans="1:70" x14ac:dyDescent="0.3">
      <c r="D417" s="379" t="s">
        <v>60</v>
      </c>
      <c r="E417" s="88">
        <f>HLOOKUP(A415,$F$305:$BK$372,68)-E416</f>
        <v>0.91957174867034674</v>
      </c>
      <c r="F417" s="32"/>
    </row>
    <row r="418" spans="1:70" x14ac:dyDescent="0.3">
      <c r="C418" s="29"/>
      <c r="D418" s="379" t="s">
        <v>201</v>
      </c>
      <c r="E418" s="30">
        <f>E417+E416</f>
        <v>2.0754416759864434</v>
      </c>
      <c r="F418" s="95">
        <f t="shared" ref="F418:AK418" si="416">HLOOKUP($A415,$F$305:$BK$372,F$305+2)</f>
        <v>9.6228385904038021E-3</v>
      </c>
      <c r="G418" s="95">
        <f t="shared" si="416"/>
        <v>1.1558699273160966</v>
      </c>
      <c r="H418" s="95">
        <f t="shared" si="416"/>
        <v>1.3496125825618964E-4</v>
      </c>
      <c r="I418" s="95">
        <f t="shared" si="416"/>
        <v>3.0027794646811348E-2</v>
      </c>
      <c r="J418" s="95">
        <f t="shared" si="416"/>
        <v>3.1690043919719952E-3</v>
      </c>
      <c r="K418" s="95">
        <f t="shared" si="416"/>
        <v>4.1561464396147737E-3</v>
      </c>
      <c r="L418" s="95">
        <f t="shared" si="416"/>
        <v>3.5574233335648213E-3</v>
      </c>
      <c r="M418" s="95">
        <f t="shared" si="416"/>
        <v>3.8496544344254063E-3</v>
      </c>
      <c r="N418" s="95">
        <f t="shared" si="416"/>
        <v>4.473659440119699E-3</v>
      </c>
      <c r="O418" s="95">
        <f t="shared" si="416"/>
        <v>6.6805351312040975E-2</v>
      </c>
      <c r="P418" s="95">
        <f t="shared" si="416"/>
        <v>2.6044101349308069E-2</v>
      </c>
      <c r="Q418" s="95">
        <f t="shared" si="416"/>
        <v>2.2821084855638611E-4</v>
      </c>
      <c r="R418" s="95">
        <f t="shared" si="416"/>
        <v>1.1885640187603182E-2</v>
      </c>
      <c r="S418" s="95">
        <f t="shared" si="416"/>
        <v>3.7114632621155813E-3</v>
      </c>
      <c r="T418" s="95">
        <f t="shared" si="416"/>
        <v>1.3155937303374195E-2</v>
      </c>
      <c r="U418" s="95">
        <f t="shared" si="416"/>
        <v>2.9679974404651827E-2</v>
      </c>
      <c r="V418" s="95">
        <f t="shared" si="416"/>
        <v>3.8011995944146901E-3</v>
      </c>
      <c r="W418" s="95">
        <f t="shared" si="416"/>
        <v>7.249451373929656E-3</v>
      </c>
      <c r="X418" s="95">
        <f t="shared" si="416"/>
        <v>3.2092109668131731E-2</v>
      </c>
      <c r="Y418" s="95">
        <f t="shared" si="416"/>
        <v>1.2259779044753932E-2</v>
      </c>
      <c r="Z418" s="95">
        <f t="shared" si="416"/>
        <v>4.6107891441016328E-4</v>
      </c>
      <c r="AA418" s="95">
        <f t="shared" si="416"/>
        <v>2.3065851018793477E-3</v>
      </c>
      <c r="AB418" s="95">
        <f t="shared" si="416"/>
        <v>1.9428206336291467E-2</v>
      </c>
      <c r="AC418" s="95">
        <f t="shared" si="416"/>
        <v>1.2386527388787479E-2</v>
      </c>
      <c r="AD418" s="95">
        <f t="shared" si="416"/>
        <v>4.3301088756903259E-3</v>
      </c>
      <c r="AE418" s="95">
        <f t="shared" si="416"/>
        <v>2.6904741411393519E-3</v>
      </c>
      <c r="AF418" s="95">
        <f t="shared" si="416"/>
        <v>1.1573036871477026E-3</v>
      </c>
      <c r="AG418" s="95">
        <f t="shared" si="416"/>
        <v>6.2370940892380235E-3</v>
      </c>
      <c r="AH418" s="95">
        <f t="shared" si="416"/>
        <v>1.3392544848351751E-2</v>
      </c>
      <c r="AI418" s="95">
        <f t="shared" si="416"/>
        <v>1.147222590801179E-2</v>
      </c>
      <c r="AJ418" s="95">
        <f t="shared" si="416"/>
        <v>5.952667203914417E-2</v>
      </c>
      <c r="AK418" s="95">
        <f t="shared" si="416"/>
        <v>1.0412891130294718E-2</v>
      </c>
      <c r="AL418" s="95">
        <f t="shared" ref="AL418:BK418" si="417">HLOOKUP($A415,$F$305:$BK$372,AL$305+2)</f>
        <v>9.0911471663918261E-2</v>
      </c>
      <c r="AM418" s="95">
        <f t="shared" si="417"/>
        <v>4.5053431443105446E-2</v>
      </c>
      <c r="AN418" s="95">
        <f t="shared" si="417"/>
        <v>3.9806864284313553E-3</v>
      </c>
      <c r="AO418" s="95">
        <f t="shared" si="417"/>
        <v>0.16238401388694063</v>
      </c>
      <c r="AP418" s="95">
        <f t="shared" si="417"/>
        <v>1.5904773457408622E-3</v>
      </c>
      <c r="AQ418" s="95">
        <f t="shared" si="417"/>
        <v>6.6545512626553288E-3</v>
      </c>
      <c r="AR418" s="95">
        <f t="shared" si="417"/>
        <v>5.705040402971007E-3</v>
      </c>
      <c r="AS418" s="95">
        <f t="shared" si="417"/>
        <v>2.8129732056683169E-3</v>
      </c>
      <c r="AT418" s="95">
        <f t="shared" si="417"/>
        <v>2.1851050524859188E-2</v>
      </c>
      <c r="AU418" s="95">
        <f t="shared" si="417"/>
        <v>9.582716040244417E-3</v>
      </c>
      <c r="AV418" s="95">
        <f t="shared" si="417"/>
        <v>1.7643214767144443E-2</v>
      </c>
      <c r="AW418" s="95">
        <f t="shared" si="417"/>
        <v>2.6046953960503615E-3</v>
      </c>
      <c r="AX418" s="95">
        <f t="shared" si="417"/>
        <v>3.1894713452954447E-3</v>
      </c>
      <c r="AY418" s="95">
        <f t="shared" si="417"/>
        <v>3.1622922226062555E-2</v>
      </c>
      <c r="AZ418" s="95">
        <f t="shared" si="417"/>
        <v>2.8580295486231599E-2</v>
      </c>
      <c r="BA418" s="95">
        <f t="shared" si="417"/>
        <v>1.648186856658862E-2</v>
      </c>
      <c r="BB418" s="95">
        <f t="shared" si="417"/>
        <v>1.0809656776311612E-3</v>
      </c>
      <c r="BC418" s="95">
        <f t="shared" si="417"/>
        <v>7.7408715279363724E-3</v>
      </c>
      <c r="BD418" s="95">
        <f t="shared" si="417"/>
        <v>2.234660511436613E-3</v>
      </c>
      <c r="BE418" s="95">
        <f t="shared" si="417"/>
        <v>2.5713514749749668E-2</v>
      </c>
      <c r="BF418" s="95">
        <f t="shared" si="417"/>
        <v>5.1033041580162888E-3</v>
      </c>
      <c r="BG418" s="95">
        <f t="shared" si="417"/>
        <v>4.1063203396293091E-4</v>
      </c>
      <c r="BH418" s="95">
        <f t="shared" si="417"/>
        <v>1.001598748465005E-2</v>
      </c>
      <c r="BI418" s="95">
        <f t="shared" si="417"/>
        <v>1.2041544553355189E-3</v>
      </c>
      <c r="BJ418" s="95">
        <f t="shared" si="417"/>
        <v>9.9800557635120087E-4</v>
      </c>
      <c r="BK418" s="95">
        <f t="shared" si="417"/>
        <v>3.3757825297095831E-4</v>
      </c>
      <c r="BL418" s="95">
        <f t="shared" ref="BL418:BR418" si="418">HLOOKUP($A415,$F$305:$BK$372,BL$305+2)</f>
        <v>1.6498714613482555E-6</v>
      </c>
      <c r="BM418" s="95">
        <f t="shared" si="418"/>
        <v>1.2349398500694251E-4</v>
      </c>
      <c r="BN418" s="95">
        <f t="shared" si="418"/>
        <v>6.3511526166291281E-4</v>
      </c>
      <c r="BO418" s="95">
        <f t="shared" si="418"/>
        <v>2.2149965948529563E-3</v>
      </c>
      <c r="BP418" s="95">
        <f t="shared" si="418"/>
        <v>8.8720233568017693E-4</v>
      </c>
      <c r="BQ418" s="95">
        <f t="shared" si="418"/>
        <v>5.1432285729927074E-4</v>
      </c>
      <c r="BR418" s="95">
        <f t="shared" si="418"/>
        <v>0</v>
      </c>
    </row>
    <row r="419" spans="1:70" x14ac:dyDescent="0.3">
      <c r="B419" s="3" t="s">
        <v>110</v>
      </c>
      <c r="C419" s="29"/>
      <c r="D419" s="327"/>
      <c r="E419" s="30">
        <f>SUM(F419:BR419)</f>
        <v>2.6931590614634036E-2</v>
      </c>
      <c r="F419" s="28">
        <f>F418*F$155</f>
        <v>2.2147681215184257E-4</v>
      </c>
      <c r="G419" s="28">
        <f t="shared" ref="G419:BR419" si="419">G418*G$155</f>
        <v>1.3953217519113765E-2</v>
      </c>
      <c r="H419" s="28">
        <f t="shared" si="419"/>
        <v>2.7060967758318673E-6</v>
      </c>
      <c r="I419" s="28">
        <f t="shared" si="419"/>
        <v>5.0850848225850523E-4</v>
      </c>
      <c r="J419" s="28">
        <f t="shared" si="419"/>
        <v>3.3125137954389653E-6</v>
      </c>
      <c r="K419" s="28">
        <f t="shared" si="419"/>
        <v>1.7508258233146166E-5</v>
      </c>
      <c r="L419" s="28">
        <f t="shared" si="419"/>
        <v>1.1229602995981811E-5</v>
      </c>
      <c r="M419" s="28">
        <f t="shared" si="419"/>
        <v>1.9963117821990508E-5</v>
      </c>
      <c r="N419" s="28">
        <f t="shared" si="419"/>
        <v>9.2926906450570882E-6</v>
      </c>
      <c r="O419" s="28">
        <f t="shared" si="419"/>
        <v>7.775957086608087E-4</v>
      </c>
      <c r="P419" s="28">
        <f t="shared" si="419"/>
        <v>2.9251377526771013E-5</v>
      </c>
      <c r="Q419" s="28">
        <f t="shared" si="419"/>
        <v>4.0823115078173307E-8</v>
      </c>
      <c r="R419" s="28">
        <f t="shared" si="419"/>
        <v>2.0543472928352844E-5</v>
      </c>
      <c r="S419" s="28">
        <f t="shared" si="419"/>
        <v>1.1320987662786603E-5</v>
      </c>
      <c r="T419" s="28">
        <f t="shared" si="419"/>
        <v>8.71650548889807E-6</v>
      </c>
      <c r="U419" s="28">
        <f t="shared" si="419"/>
        <v>6.8928941212865121E-5</v>
      </c>
      <c r="V419" s="28">
        <f t="shared" si="419"/>
        <v>2.6472070862152246E-6</v>
      </c>
      <c r="W419" s="28">
        <f t="shared" si="419"/>
        <v>6.4047224651945587E-6</v>
      </c>
      <c r="X419" s="28">
        <f t="shared" si="419"/>
        <v>2.7953057029535491E-5</v>
      </c>
      <c r="Y419" s="28">
        <f t="shared" si="419"/>
        <v>9.2085281586998964E-6</v>
      </c>
      <c r="Z419" s="28">
        <f t="shared" si="419"/>
        <v>2.9389531126521447E-7</v>
      </c>
      <c r="AA419" s="28">
        <f t="shared" si="419"/>
        <v>1.0016799539396328E-5</v>
      </c>
      <c r="AB419" s="28">
        <f t="shared" si="419"/>
        <v>8.9048797659255262E-5</v>
      </c>
      <c r="AC419" s="28">
        <f t="shared" si="419"/>
        <v>2.2437290472273237E-5</v>
      </c>
      <c r="AD419" s="28">
        <f t="shared" si="419"/>
        <v>4.2229148179433419E-7</v>
      </c>
      <c r="AE419" s="28">
        <f t="shared" si="419"/>
        <v>8.5060963853549941E-5</v>
      </c>
      <c r="AF419" s="28">
        <f t="shared" si="419"/>
        <v>8.1884779326755948E-6</v>
      </c>
      <c r="AG419" s="28">
        <f t="shared" si="419"/>
        <v>2.9668258362729632E-5</v>
      </c>
      <c r="AH419" s="28">
        <f t="shared" si="419"/>
        <v>1.5506187574834232E-4</v>
      </c>
      <c r="AI419" s="28">
        <f t="shared" si="419"/>
        <v>7.2366641322855734E-5</v>
      </c>
      <c r="AJ419" s="28">
        <f t="shared" si="419"/>
        <v>3.3077104031306262E-4</v>
      </c>
      <c r="AK419" s="28">
        <f t="shared" si="419"/>
        <v>5.6241154393137468E-5</v>
      </c>
      <c r="AL419" s="28">
        <f t="shared" si="419"/>
        <v>7.7109348413806414E-3</v>
      </c>
      <c r="AM419" s="28">
        <f t="shared" si="419"/>
        <v>0</v>
      </c>
      <c r="AN419" s="28">
        <f t="shared" si="419"/>
        <v>3.53184250774373E-6</v>
      </c>
      <c r="AO419" s="28">
        <f t="shared" si="419"/>
        <v>4.0862591661179338E-4</v>
      </c>
      <c r="AP419" s="28">
        <f t="shared" si="419"/>
        <v>3.1937911796427697E-5</v>
      </c>
      <c r="AQ419" s="28">
        <f t="shared" si="419"/>
        <v>2.6734012057190419E-5</v>
      </c>
      <c r="AR419" s="28">
        <f t="shared" si="419"/>
        <v>1.1027779825023318E-5</v>
      </c>
      <c r="AS419" s="28">
        <f t="shared" si="419"/>
        <v>2.3452717385077854E-5</v>
      </c>
      <c r="AT419" s="28">
        <f t="shared" si="419"/>
        <v>2.4671650257232105E-5</v>
      </c>
      <c r="AU419" s="28">
        <f t="shared" si="419"/>
        <v>3.2371915505302114E-5</v>
      </c>
      <c r="AV419" s="28">
        <f t="shared" si="419"/>
        <v>5.2505558117599651E-4</v>
      </c>
      <c r="AW419" s="28">
        <f t="shared" si="419"/>
        <v>1.0045108189852093E-4</v>
      </c>
      <c r="AX419" s="28">
        <f t="shared" si="419"/>
        <v>9.0026504728749025E-5</v>
      </c>
      <c r="AY419" s="28">
        <f t="shared" si="419"/>
        <v>5.44869081612826E-4</v>
      </c>
      <c r="AZ419" s="28">
        <f t="shared" si="419"/>
        <v>1.0884788819081463E-4</v>
      </c>
      <c r="BA419" s="28">
        <f t="shared" si="419"/>
        <v>1.5868666515907724E-4</v>
      </c>
      <c r="BB419" s="28">
        <f t="shared" si="419"/>
        <v>2.9507627330257098E-5</v>
      </c>
      <c r="BC419" s="28">
        <f t="shared" si="419"/>
        <v>3.0059836233443105E-5</v>
      </c>
      <c r="BD419" s="28">
        <f t="shared" si="419"/>
        <v>1.8558105788009819E-5</v>
      </c>
      <c r="BE419" s="28">
        <f t="shared" si="419"/>
        <v>4.6380769671606803E-5</v>
      </c>
      <c r="BF419" s="28">
        <f t="shared" si="419"/>
        <v>1.0109505086882305E-5</v>
      </c>
      <c r="BG419" s="28">
        <f t="shared" si="419"/>
        <v>6.6979271510382132E-7</v>
      </c>
      <c r="BH419" s="28">
        <f t="shared" si="419"/>
        <v>9.7634849401644256E-5</v>
      </c>
      <c r="BI419" s="28">
        <f t="shared" si="419"/>
        <v>5.9968896354847936E-5</v>
      </c>
      <c r="BJ419" s="28">
        <f t="shared" si="419"/>
        <v>4.1011645455932196E-5</v>
      </c>
      <c r="BK419" s="28">
        <f t="shared" si="419"/>
        <v>1.5821546584686894E-5</v>
      </c>
      <c r="BL419" s="28">
        <f t="shared" si="419"/>
        <v>9.4038292293223892E-8</v>
      </c>
      <c r="BM419" s="28">
        <f t="shared" si="419"/>
        <v>5.5960262967899183E-6</v>
      </c>
      <c r="BN419" s="28">
        <f t="shared" si="419"/>
        <v>3.2979854752238515E-5</v>
      </c>
      <c r="BO419" s="28">
        <f t="shared" si="419"/>
        <v>1.3453716442939008E-4</v>
      </c>
      <c r="BP419" s="28">
        <f t="shared" si="419"/>
        <v>2.4058040269022714E-5</v>
      </c>
      <c r="BQ419" s="28">
        <f t="shared" si="419"/>
        <v>1.3973614362361618E-5</v>
      </c>
      <c r="BR419" s="28">
        <f t="shared" si="419"/>
        <v>0</v>
      </c>
    </row>
    <row r="420" spans="1:70" x14ac:dyDescent="0.3">
      <c r="B420" s="3" t="s">
        <v>56</v>
      </c>
      <c r="C420" s="28"/>
      <c r="D420" s="328"/>
      <c r="E420" s="30">
        <f t="shared" ref="E420:E424" si="420">SUM(F420:BR420)</f>
        <v>0.27831427082384574</v>
      </c>
      <c r="F420" s="28">
        <f>F418*F$157</f>
        <v>1.1958332867877174E-3</v>
      </c>
      <c r="G420" s="28">
        <f t="shared" ref="G420:BR420" si="421">G418*G$157</f>
        <v>0.13746398170521223</v>
      </c>
      <c r="H420" s="28">
        <f t="shared" si="421"/>
        <v>9.379089694946975E-6</v>
      </c>
      <c r="I420" s="28">
        <f t="shared" si="421"/>
        <v>7.7775934755028378E-3</v>
      </c>
      <c r="J420" s="28">
        <f t="shared" si="421"/>
        <v>2.42416860022439E-4</v>
      </c>
      <c r="K420" s="28">
        <f t="shared" si="421"/>
        <v>4.4250847596555352E-4</v>
      </c>
      <c r="L420" s="28">
        <f t="shared" si="421"/>
        <v>3.9845399246094855E-4</v>
      </c>
      <c r="M420" s="28">
        <f t="shared" si="421"/>
        <v>1.8037345009260891E-4</v>
      </c>
      <c r="N420" s="28">
        <f t="shared" si="421"/>
        <v>8.3654160187731784E-4</v>
      </c>
      <c r="O420" s="28">
        <f t="shared" si="421"/>
        <v>6.6099949619608713E-3</v>
      </c>
      <c r="P420" s="28">
        <f t="shared" si="421"/>
        <v>7.6138696075115308E-4</v>
      </c>
      <c r="Q420" s="28">
        <f t="shared" si="421"/>
        <v>4.5881631511773046E-6</v>
      </c>
      <c r="R420" s="28">
        <f t="shared" si="421"/>
        <v>9.1321662601415892E-4</v>
      </c>
      <c r="S420" s="28">
        <f t="shared" si="421"/>
        <v>4.4459955273051642E-4</v>
      </c>
      <c r="T420" s="28">
        <f t="shared" si="421"/>
        <v>2.2806765097013854E-4</v>
      </c>
      <c r="U420" s="28">
        <f t="shared" si="421"/>
        <v>3.4392061067471513E-3</v>
      </c>
      <c r="V420" s="28">
        <f t="shared" si="421"/>
        <v>9.7906251659794899E-5</v>
      </c>
      <c r="W420" s="28">
        <f t="shared" si="421"/>
        <v>4.4968115761333401E-4</v>
      </c>
      <c r="X420" s="28">
        <f t="shared" si="421"/>
        <v>2.4682331362244608E-3</v>
      </c>
      <c r="Y420" s="28">
        <f t="shared" si="421"/>
        <v>5.8613246320872328E-4</v>
      </c>
      <c r="Z420" s="28">
        <f t="shared" si="421"/>
        <v>2.7880671613911929E-5</v>
      </c>
      <c r="AA420" s="28">
        <f t="shared" si="421"/>
        <v>3.3348534656109152E-4</v>
      </c>
      <c r="AB420" s="28">
        <f t="shared" si="421"/>
        <v>5.5896081220880049E-3</v>
      </c>
      <c r="AC420" s="28">
        <f t="shared" si="421"/>
        <v>1.0801614255767182E-3</v>
      </c>
      <c r="AD420" s="28">
        <f t="shared" si="421"/>
        <v>1.170530188780461E-4</v>
      </c>
      <c r="AE420" s="28">
        <f t="shared" si="421"/>
        <v>2.8067496621927789E-4</v>
      </c>
      <c r="AF420" s="28">
        <f t="shared" si="421"/>
        <v>2.4562448788573345E-4</v>
      </c>
      <c r="AG420" s="28">
        <f t="shared" si="421"/>
        <v>5.2145944229849866E-4</v>
      </c>
      <c r="AH420" s="28">
        <f t="shared" si="421"/>
        <v>3.4672421944716529E-3</v>
      </c>
      <c r="AI420" s="28">
        <f t="shared" si="421"/>
        <v>3.641536873731002E-3</v>
      </c>
      <c r="AJ420" s="28">
        <f t="shared" si="421"/>
        <v>1.5400251594474905E-2</v>
      </c>
      <c r="AK420" s="28">
        <f t="shared" si="421"/>
        <v>4.0792320334820621E-3</v>
      </c>
      <c r="AL420" s="28">
        <f t="shared" si="421"/>
        <v>1.6399441821475846E-2</v>
      </c>
      <c r="AM420" s="28">
        <f t="shared" si="421"/>
        <v>8.8749516184365911E-4</v>
      </c>
      <c r="AN420" s="28">
        <f t="shared" si="421"/>
        <v>2.8372899068248442E-4</v>
      </c>
      <c r="AO420" s="28">
        <f t="shared" si="421"/>
        <v>1.7261294393116342E-2</v>
      </c>
      <c r="AP420" s="28">
        <f t="shared" si="421"/>
        <v>6.3858420994315551E-4</v>
      </c>
      <c r="AQ420" s="28">
        <f t="shared" si="421"/>
        <v>1.7788647621944016E-3</v>
      </c>
      <c r="AR420" s="28">
        <f t="shared" si="421"/>
        <v>1.4981759658175468E-3</v>
      </c>
      <c r="AS420" s="28">
        <f t="shared" si="421"/>
        <v>6.4701982350790312E-4</v>
      </c>
      <c r="AT420" s="28">
        <f t="shared" si="421"/>
        <v>1.925703502057802E-3</v>
      </c>
      <c r="AU420" s="28">
        <f t="shared" si="421"/>
        <v>3.8131822043232628E-3</v>
      </c>
      <c r="AV420" s="28">
        <f t="shared" si="421"/>
        <v>3.7563624210516346E-3</v>
      </c>
      <c r="AW420" s="28">
        <f t="shared" si="421"/>
        <v>6.0010283069197412E-4</v>
      </c>
      <c r="AX420" s="28">
        <f t="shared" si="421"/>
        <v>7.4530444453048373E-4</v>
      </c>
      <c r="AY420" s="28">
        <f t="shared" si="421"/>
        <v>2.0892968646639368E-3</v>
      </c>
      <c r="AZ420" s="28">
        <f t="shared" si="421"/>
        <v>6.04929254602515E-3</v>
      </c>
      <c r="BA420" s="28">
        <f t="shared" si="421"/>
        <v>4.9548038827445648E-3</v>
      </c>
      <c r="BB420" s="28">
        <f t="shared" si="421"/>
        <v>6.418555934339401E-4</v>
      </c>
      <c r="BC420" s="28">
        <f t="shared" si="421"/>
        <v>1.5093447495349041E-3</v>
      </c>
      <c r="BD420" s="28">
        <f t="shared" si="421"/>
        <v>7.2393345809147877E-4</v>
      </c>
      <c r="BE420" s="28">
        <f t="shared" si="421"/>
        <v>1.6800418098749472E-3</v>
      </c>
      <c r="BF420" s="28">
        <f t="shared" si="421"/>
        <v>3.7641079487302125E-3</v>
      </c>
      <c r="BG420" s="28">
        <f t="shared" si="421"/>
        <v>8.9440487657062231E-5</v>
      </c>
      <c r="BH420" s="28">
        <f t="shared" si="421"/>
        <v>4.2830754087133998E-3</v>
      </c>
      <c r="BI420" s="28">
        <f t="shared" si="421"/>
        <v>6.3276731738709621E-4</v>
      </c>
      <c r="BJ420" s="28">
        <f t="shared" si="421"/>
        <v>6.3949211029832068E-4</v>
      </c>
      <c r="BK420" s="28">
        <f t="shared" si="421"/>
        <v>1.7538619798753474E-4</v>
      </c>
      <c r="BL420" s="28">
        <f t="shared" si="421"/>
        <v>9.608589229525481E-7</v>
      </c>
      <c r="BM420" s="28">
        <f t="shared" si="421"/>
        <v>4.6845034561151863E-5</v>
      </c>
      <c r="BN420" s="28">
        <f t="shared" si="421"/>
        <v>1.7872573159631095E-4</v>
      </c>
      <c r="BO420" s="28">
        <f t="shared" si="421"/>
        <v>8.8195636524645627E-4</v>
      </c>
      <c r="BP420" s="28">
        <f t="shared" si="421"/>
        <v>2.5196028117914542E-4</v>
      </c>
      <c r="BQ420" s="28">
        <f t="shared" si="421"/>
        <v>1.5141850003171894E-4</v>
      </c>
      <c r="BR420" s="28">
        <f t="shared" si="421"/>
        <v>0</v>
      </c>
    </row>
    <row r="421" spans="1:70" x14ac:dyDescent="0.3">
      <c r="B421" s="2" t="s">
        <v>22</v>
      </c>
      <c r="C421" s="28"/>
      <c r="D421" s="328"/>
      <c r="E421" s="30">
        <f>SUM(F421:BR421)</f>
        <v>0.30745917823111268</v>
      </c>
      <c r="F421" s="28">
        <f t="shared" ref="F421:AK421" si="422">F418*F$161</f>
        <v>2.4894689222380475E-3</v>
      </c>
      <c r="G421" s="28">
        <f t="shared" si="422"/>
        <v>0.19002329410694979</v>
      </c>
      <c r="H421" s="28">
        <f t="shared" si="422"/>
        <v>1.6975890661857193E-5</v>
      </c>
      <c r="I421" s="28">
        <f t="shared" si="422"/>
        <v>5.8628146685796058E-3</v>
      </c>
      <c r="J421" s="28">
        <f t="shared" si="422"/>
        <v>6.7868004321498151E-5</v>
      </c>
      <c r="K421" s="28">
        <f t="shared" si="422"/>
        <v>5.4878272833721922E-5</v>
      </c>
      <c r="L421" s="28">
        <f t="shared" si="422"/>
        <v>2.1352993454476127E-4</v>
      </c>
      <c r="M421" s="28">
        <f t="shared" si="422"/>
        <v>2.8332399535265846E-4</v>
      </c>
      <c r="N421" s="28">
        <f t="shared" si="422"/>
        <v>3.8494281060671097E-4</v>
      </c>
      <c r="O421" s="28">
        <f t="shared" si="422"/>
        <v>1.7330303027164679E-2</v>
      </c>
      <c r="P421" s="28">
        <f t="shared" si="422"/>
        <v>1.2341064599646352E-3</v>
      </c>
      <c r="Q421" s="28">
        <f t="shared" si="422"/>
        <v>1.316735631061826E-6</v>
      </c>
      <c r="R421" s="28">
        <f t="shared" si="422"/>
        <v>1.8143033070446964E-4</v>
      </c>
      <c r="S421" s="28">
        <f t="shared" si="422"/>
        <v>8.5821730348341392E-5</v>
      </c>
      <c r="T421" s="28">
        <f t="shared" si="422"/>
        <v>8.0717201038766411E-5</v>
      </c>
      <c r="U421" s="28">
        <f t="shared" si="422"/>
        <v>9.9627510910296866E-4</v>
      </c>
      <c r="V421" s="28">
        <f t="shared" si="422"/>
        <v>7.1625654775665727E-5</v>
      </c>
      <c r="W421" s="28">
        <f t="shared" si="422"/>
        <v>2.4280647820175657E-4</v>
      </c>
      <c r="X421" s="28">
        <f t="shared" si="422"/>
        <v>5.6181093509122086E-4</v>
      </c>
      <c r="Y421" s="28">
        <f t="shared" si="422"/>
        <v>5.1935480298862934E-4</v>
      </c>
      <c r="Z421" s="28">
        <f t="shared" si="422"/>
        <v>1.7669655623521513E-5</v>
      </c>
      <c r="AA421" s="28">
        <f t="shared" si="422"/>
        <v>8.0481539090538666E-5</v>
      </c>
      <c r="AB421" s="28">
        <f t="shared" si="422"/>
        <v>1.2347294981200603E-3</v>
      </c>
      <c r="AC421" s="28">
        <f t="shared" si="422"/>
        <v>3.0855709979341894E-3</v>
      </c>
      <c r="AD421" s="28">
        <f t="shared" si="422"/>
        <v>2.8155718060064093E-4</v>
      </c>
      <c r="AE421" s="28">
        <f t="shared" si="422"/>
        <v>3.9701957974656936E-4</v>
      </c>
      <c r="AF421" s="28">
        <f t="shared" si="422"/>
        <v>2.3381937249927038E-4</v>
      </c>
      <c r="AG421" s="28">
        <f t="shared" si="422"/>
        <v>5.2453694040850045E-4</v>
      </c>
      <c r="AH421" s="28">
        <f t="shared" si="422"/>
        <v>7.5689575251016935E-4</v>
      </c>
      <c r="AI421" s="28">
        <f t="shared" si="422"/>
        <v>5.3435832777855307E-4</v>
      </c>
      <c r="AJ421" s="28">
        <f t="shared" si="422"/>
        <v>1.1922593790369156E-2</v>
      </c>
      <c r="AK421" s="28">
        <f t="shared" si="422"/>
        <v>8.9795758331980967E-4</v>
      </c>
      <c r="AL421" s="28">
        <f t="shared" ref="AL421:BR421" si="423">AL418*AL$161</f>
        <v>3.484243003045031E-3</v>
      </c>
      <c r="AM421" s="28">
        <f t="shared" si="423"/>
        <v>2.2843873400425459E-3</v>
      </c>
      <c r="AN421" s="28">
        <f t="shared" si="423"/>
        <v>0</v>
      </c>
      <c r="AO421" s="28">
        <f t="shared" si="423"/>
        <v>2.6300053303132273E-2</v>
      </c>
      <c r="AP421" s="28">
        <f t="shared" si="423"/>
        <v>8.4779659219863385E-5</v>
      </c>
      <c r="AQ421" s="28">
        <f t="shared" si="423"/>
        <v>4.0820851627583455E-5</v>
      </c>
      <c r="AR421" s="28">
        <f t="shared" si="423"/>
        <v>7.2713450029193618E-5</v>
      </c>
      <c r="AS421" s="28">
        <f t="shared" si="423"/>
        <v>3.8997252071300108E-6</v>
      </c>
      <c r="AT421" s="28">
        <f t="shared" si="423"/>
        <v>4.5451104087943341E-3</v>
      </c>
      <c r="AU421" s="28">
        <f t="shared" si="423"/>
        <v>1.3150324522565855E-3</v>
      </c>
      <c r="AV421" s="28">
        <f t="shared" si="423"/>
        <v>3.3801135991142696E-3</v>
      </c>
      <c r="AW421" s="28">
        <f t="shared" si="423"/>
        <v>5.5106069092916102E-4</v>
      </c>
      <c r="AX421" s="28">
        <f t="shared" si="423"/>
        <v>4.6874232178520365E-4</v>
      </c>
      <c r="AY421" s="28">
        <f t="shared" si="423"/>
        <v>1.1731690027753757E-2</v>
      </c>
      <c r="AZ421" s="28">
        <f t="shared" si="423"/>
        <v>5.0901989615011415E-3</v>
      </c>
      <c r="BA421" s="28">
        <f t="shared" si="423"/>
        <v>2.000701326431088E-3</v>
      </c>
      <c r="BB421" s="28">
        <f t="shared" si="423"/>
        <v>4.2066557910005778E-6</v>
      </c>
      <c r="BC421" s="28">
        <f t="shared" si="423"/>
        <v>7.177375935391811E-4</v>
      </c>
      <c r="BD421" s="28">
        <f t="shared" si="423"/>
        <v>2.5803281215421345E-4</v>
      </c>
      <c r="BE421" s="28">
        <f t="shared" si="423"/>
        <v>3.6136183001533703E-3</v>
      </c>
      <c r="BF421" s="28">
        <f t="shared" si="423"/>
        <v>0</v>
      </c>
      <c r="BG421" s="28">
        <f t="shared" si="423"/>
        <v>2.0510664885751872E-5</v>
      </c>
      <c r="BH421" s="28">
        <f t="shared" si="423"/>
        <v>7.3131006205355228E-4</v>
      </c>
      <c r="BI421" s="28">
        <f t="shared" si="423"/>
        <v>0</v>
      </c>
      <c r="BJ421" s="28">
        <f t="shared" si="423"/>
        <v>8.6318728399005804E-6</v>
      </c>
      <c r="BK421" s="28">
        <f t="shared" si="423"/>
        <v>5.3302383747193909E-6</v>
      </c>
      <c r="BL421" s="28">
        <f t="shared" si="423"/>
        <v>2.141054819800502E-9</v>
      </c>
      <c r="BM421" s="28">
        <f t="shared" si="423"/>
        <v>4.5537501329811821E-6</v>
      </c>
      <c r="BN421" s="28">
        <f t="shared" si="423"/>
        <v>0</v>
      </c>
      <c r="BO421" s="28">
        <f t="shared" si="423"/>
        <v>0</v>
      </c>
      <c r="BP421" s="28">
        <f t="shared" si="423"/>
        <v>4.5500300460877303E-5</v>
      </c>
      <c r="BQ421" s="28">
        <f t="shared" si="423"/>
        <v>2.6341429701337935E-5</v>
      </c>
      <c r="BR421" s="28">
        <f t="shared" si="423"/>
        <v>0</v>
      </c>
    </row>
    <row r="422" spans="1:70" x14ac:dyDescent="0.3">
      <c r="B422" s="2" t="s">
        <v>21</v>
      </c>
      <c r="C422" s="28"/>
      <c r="D422" s="328"/>
      <c r="E422" s="30">
        <f t="shared" si="420"/>
        <v>0.14706728068505909</v>
      </c>
      <c r="F422" s="28">
        <f>F418*F$160</f>
        <v>1.0460824319887181E-3</v>
      </c>
      <c r="G422" s="28">
        <f t="shared" ref="G422:BR422" si="424">G418*G$160</f>
        <v>9.1237255880105617E-2</v>
      </c>
      <c r="H422" s="28">
        <f t="shared" si="424"/>
        <v>1.6375707238916328E-5</v>
      </c>
      <c r="I422" s="28">
        <f t="shared" si="424"/>
        <v>2.0261766813580479E-3</v>
      </c>
      <c r="J422" s="28">
        <f t="shared" si="424"/>
        <v>6.586187134338831E-5</v>
      </c>
      <c r="K422" s="28">
        <f t="shared" si="424"/>
        <v>6.2893867606184645E-5</v>
      </c>
      <c r="L422" s="28">
        <f t="shared" si="424"/>
        <v>1.1397510736179791E-4</v>
      </c>
      <c r="M422" s="28">
        <f t="shared" si="424"/>
        <v>1.0197695029146726E-4</v>
      </c>
      <c r="N422" s="28">
        <f t="shared" si="424"/>
        <v>2.289197638067345E-4</v>
      </c>
      <c r="O422" s="28">
        <f t="shared" si="424"/>
        <v>2.5966835797262E-3</v>
      </c>
      <c r="P422" s="28">
        <f t="shared" si="424"/>
        <v>1.827349176380042E-4</v>
      </c>
      <c r="Q422" s="28">
        <f t="shared" si="424"/>
        <v>3.7459222779806232E-7</v>
      </c>
      <c r="R422" s="28">
        <f t="shared" si="424"/>
        <v>1.8512119860454108E-4</v>
      </c>
      <c r="S422" s="28">
        <f t="shared" si="424"/>
        <v>1.8248629594120352E-4</v>
      </c>
      <c r="T422" s="28">
        <f t="shared" si="424"/>
        <v>2.8247256233046664E-5</v>
      </c>
      <c r="U422" s="28">
        <f t="shared" si="424"/>
        <v>4.3432113508531191E-4</v>
      </c>
      <c r="V422" s="28">
        <f t="shared" si="424"/>
        <v>1.0113211214920695E-5</v>
      </c>
      <c r="W422" s="28">
        <f t="shared" si="424"/>
        <v>3.2667397695990828E-5</v>
      </c>
      <c r="X422" s="28">
        <f t="shared" si="424"/>
        <v>2.8997137556155162E-4</v>
      </c>
      <c r="Y422" s="28">
        <f t="shared" si="424"/>
        <v>6.5443432407558724E-5</v>
      </c>
      <c r="Z422" s="28">
        <f t="shared" si="424"/>
        <v>4.3454169389247044E-6</v>
      </c>
      <c r="AA422" s="28">
        <f t="shared" si="424"/>
        <v>5.2492672140371184E-5</v>
      </c>
      <c r="AB422" s="28">
        <f t="shared" si="424"/>
        <v>6.7756324557934186E-4</v>
      </c>
      <c r="AC422" s="28">
        <f t="shared" si="424"/>
        <v>1.8388427366834591E-3</v>
      </c>
      <c r="AD422" s="28">
        <f t="shared" si="424"/>
        <v>4.6625099506990045E-5</v>
      </c>
      <c r="AE422" s="28">
        <f t="shared" si="424"/>
        <v>1.466812898827724E-4</v>
      </c>
      <c r="AF422" s="28">
        <f t="shared" si="424"/>
        <v>2.873226819427223E-4</v>
      </c>
      <c r="AG422" s="28">
        <f t="shared" si="424"/>
        <v>2.0509300427228391E-4</v>
      </c>
      <c r="AH422" s="28">
        <f t="shared" si="424"/>
        <v>5.8708409334516751E-4</v>
      </c>
      <c r="AI422" s="28">
        <f t="shared" si="424"/>
        <v>7.3149514141702824E-4</v>
      </c>
      <c r="AJ422" s="28">
        <f t="shared" si="424"/>
        <v>3.9723470929670232E-3</v>
      </c>
      <c r="AK422" s="28">
        <f t="shared" si="424"/>
        <v>6.3954622659552376E-4</v>
      </c>
      <c r="AL422" s="28">
        <f t="shared" si="424"/>
        <v>1.0308353069414647E-2</v>
      </c>
      <c r="AM422" s="28">
        <f t="shared" si="424"/>
        <v>1.1759305963571082E-3</v>
      </c>
      <c r="AN422" s="28">
        <f t="shared" si="424"/>
        <v>5.5638154410056605E-5</v>
      </c>
      <c r="AO422" s="28">
        <f t="shared" si="424"/>
        <v>6.4848600041537635E-3</v>
      </c>
      <c r="AP422" s="28">
        <f t="shared" si="424"/>
        <v>2.3603310138602792E-5</v>
      </c>
      <c r="AQ422" s="28">
        <f t="shared" si="424"/>
        <v>3.1392313487145181E-4</v>
      </c>
      <c r="AR422" s="28">
        <f t="shared" si="424"/>
        <v>3.164837860483552E-4</v>
      </c>
      <c r="AS422" s="28">
        <f t="shared" si="424"/>
        <v>5.6732114990481434E-4</v>
      </c>
      <c r="AT422" s="28">
        <f t="shared" si="424"/>
        <v>1.3304944180373805E-3</v>
      </c>
      <c r="AU422" s="28">
        <f t="shared" si="424"/>
        <v>2.8018360625469102E-4</v>
      </c>
      <c r="AV422" s="28">
        <f t="shared" si="424"/>
        <v>1.8017068314737925E-3</v>
      </c>
      <c r="AW422" s="28">
        <f t="shared" si="424"/>
        <v>1.1313992080512426E-4</v>
      </c>
      <c r="AX422" s="28">
        <f t="shared" si="424"/>
        <v>2.1309922861292505E-4</v>
      </c>
      <c r="AY422" s="28">
        <f t="shared" si="424"/>
        <v>8.3613243800416143E-3</v>
      </c>
      <c r="AZ422" s="28">
        <f t="shared" si="424"/>
        <v>7.4021815336195839E-4</v>
      </c>
      <c r="BA422" s="28">
        <f t="shared" si="424"/>
        <v>7.3432037096621977E-4</v>
      </c>
      <c r="BB422" s="28">
        <f t="shared" si="424"/>
        <v>8.5060875077457994E-5</v>
      </c>
      <c r="BC422" s="28">
        <f t="shared" si="424"/>
        <v>1.9749362384778384E-4</v>
      </c>
      <c r="BD422" s="28">
        <f t="shared" si="424"/>
        <v>7.2644344347791415E-5</v>
      </c>
      <c r="BE422" s="28">
        <f t="shared" si="424"/>
        <v>4.8655876426054716E-3</v>
      </c>
      <c r="BF422" s="28">
        <f t="shared" si="424"/>
        <v>5.0107691989629565E-5</v>
      </c>
      <c r="BG422" s="28">
        <f t="shared" si="424"/>
        <v>1.1054822225911342E-5</v>
      </c>
      <c r="BH422" s="28">
        <f t="shared" si="424"/>
        <v>3.68032636923055E-4</v>
      </c>
      <c r="BI422" s="28">
        <f t="shared" si="424"/>
        <v>1.3132478468065069E-4</v>
      </c>
      <c r="BJ422" s="28">
        <f t="shared" si="424"/>
        <v>6.3122705447273916E-5</v>
      </c>
      <c r="BK422" s="28">
        <f t="shared" si="424"/>
        <v>2.0614036640339864E-5</v>
      </c>
      <c r="BL422" s="28">
        <f t="shared" si="424"/>
        <v>8.5088386464496627E-8</v>
      </c>
      <c r="BM422" s="28">
        <f t="shared" si="424"/>
        <v>1.0469528254749389E-5</v>
      </c>
      <c r="BN422" s="28">
        <f t="shared" si="424"/>
        <v>8.0923803872989887E-5</v>
      </c>
      <c r="BO422" s="28">
        <f t="shared" si="424"/>
        <v>6.8041282007446144E-5</v>
      </c>
      <c r="BP422" s="28">
        <f t="shared" si="424"/>
        <v>7.0873092730911068E-5</v>
      </c>
      <c r="BQ422" s="28">
        <f t="shared" si="424"/>
        <v>5.4123256460139336E-5</v>
      </c>
      <c r="BR422" s="28">
        <f t="shared" si="424"/>
        <v>0</v>
      </c>
    </row>
    <row r="423" spans="1:70" x14ac:dyDescent="0.3">
      <c r="B423" s="3" t="s">
        <v>44</v>
      </c>
      <c r="C423" s="28"/>
      <c r="D423" s="328"/>
      <c r="E423" s="30">
        <f t="shared" si="420"/>
        <v>0.74465092876977768</v>
      </c>
      <c r="F423" s="28">
        <f t="shared" ref="F423:AK423" si="425">F418*F$162</f>
        <v>2.7188041510497101E-3</v>
      </c>
      <c r="G423" s="28">
        <f t="shared" si="425"/>
        <v>0.43037831886558947</v>
      </c>
      <c r="H423" s="28">
        <f t="shared" si="425"/>
        <v>4.537145700399889E-5</v>
      </c>
      <c r="I423" s="28">
        <f t="shared" si="425"/>
        <v>1.6650156859612089E-2</v>
      </c>
      <c r="J423" s="28">
        <f t="shared" si="425"/>
        <v>3.7548395215385302E-4</v>
      </c>
      <c r="K423" s="28">
        <f t="shared" si="425"/>
        <v>5.6025630797402624E-4</v>
      </c>
      <c r="L423" s="28">
        <f t="shared" si="425"/>
        <v>7.245985139173926E-4</v>
      </c>
      <c r="M423" s="28">
        <f t="shared" si="425"/>
        <v>5.7227931902006349E-4</v>
      </c>
      <c r="N423" s="28">
        <f t="shared" si="425"/>
        <v>1.446116134113895E-3</v>
      </c>
      <c r="O423" s="28">
        <f t="shared" si="425"/>
        <v>2.7180184233358034E-2</v>
      </c>
      <c r="P423" s="28">
        <f t="shared" si="425"/>
        <v>2.1753328290682237E-3</v>
      </c>
      <c r="Q423" s="28">
        <f t="shared" si="425"/>
        <v>6.2790684105022221E-6</v>
      </c>
      <c r="R423" s="28">
        <f t="shared" si="425"/>
        <v>1.2748528940781864E-3</v>
      </c>
      <c r="S423" s="28">
        <f t="shared" si="425"/>
        <v>7.1582245272697588E-4</v>
      </c>
      <c r="T423" s="28">
        <f t="shared" si="425"/>
        <v>3.3764047312084534E-4</v>
      </c>
      <c r="U423" s="28">
        <f t="shared" si="425"/>
        <v>4.8693965752385042E-3</v>
      </c>
      <c r="V423" s="28">
        <f t="shared" si="425"/>
        <v>1.7849838951680661E-4</v>
      </c>
      <c r="W423" s="28">
        <f t="shared" si="425"/>
        <v>7.2520960260399924E-4</v>
      </c>
      <c r="X423" s="28">
        <f t="shared" si="425"/>
        <v>3.2885591746008714E-3</v>
      </c>
      <c r="Y423" s="28">
        <f t="shared" si="425"/>
        <v>1.1711692691409275E-3</v>
      </c>
      <c r="Z423" s="28">
        <f t="shared" si="425"/>
        <v>4.9228203067353741E-5</v>
      </c>
      <c r="AA423" s="28">
        <f t="shared" si="425"/>
        <v>4.6531395167429646E-4</v>
      </c>
      <c r="AB423" s="28">
        <f t="shared" si="425"/>
        <v>7.4975389840037602E-3</v>
      </c>
      <c r="AC423" s="28">
        <f t="shared" si="425"/>
        <v>6.2941744355778833E-3</v>
      </c>
      <c r="AD423" s="28">
        <f t="shared" si="425"/>
        <v>4.4571320934556137E-4</v>
      </c>
      <c r="AE423" s="28">
        <f t="shared" si="425"/>
        <v>8.4579450274661807E-4</v>
      </c>
      <c r="AF423" s="28">
        <f t="shared" si="425"/>
        <v>8.3194720875303383E-4</v>
      </c>
      <c r="AG423" s="28">
        <f t="shared" si="425"/>
        <v>1.2676277221032833E-3</v>
      </c>
      <c r="AH423" s="28">
        <f t="shared" si="425"/>
        <v>4.825459393621858E-3</v>
      </c>
      <c r="AI423" s="28">
        <f t="shared" si="425"/>
        <v>4.9118366853683326E-3</v>
      </c>
      <c r="AJ423" s="28">
        <f t="shared" si="425"/>
        <v>3.1276123282436064E-2</v>
      </c>
      <c r="AK423" s="28">
        <f t="shared" si="425"/>
        <v>5.6251930052912706E-3</v>
      </c>
      <c r="AL423" s="28">
        <f t="shared" ref="AL423:BR423" si="426">AL418*AL$162</f>
        <v>3.018759320645345E-2</v>
      </c>
      <c r="AM423" s="28">
        <f t="shared" si="426"/>
        <v>4.3567083649942405E-3</v>
      </c>
      <c r="AN423" s="28">
        <f t="shared" si="426"/>
        <v>3.3913444683068383E-4</v>
      </c>
      <c r="AO423" s="28">
        <f t="shared" si="426"/>
        <v>5.0200189756766683E-2</v>
      </c>
      <c r="AP423" s="28">
        <f t="shared" si="426"/>
        <v>7.4772957885670002E-4</v>
      </c>
      <c r="AQ423" s="28">
        <f t="shared" si="426"/>
        <v>2.1255799257102448E-3</v>
      </c>
      <c r="AR423" s="28">
        <f t="shared" si="426"/>
        <v>1.8721308516819713E-3</v>
      </c>
      <c r="AS423" s="28">
        <f t="shared" si="426"/>
        <v>1.1834735506204104E-3</v>
      </c>
      <c r="AT423" s="28">
        <f t="shared" si="426"/>
        <v>7.7986813632855076E-3</v>
      </c>
      <c r="AU423" s="28">
        <f t="shared" si="426"/>
        <v>5.322103397641313E-3</v>
      </c>
      <c r="AV423" s="28">
        <f t="shared" si="426"/>
        <v>8.9492545236069272E-3</v>
      </c>
      <c r="AW423" s="28">
        <f t="shared" si="426"/>
        <v>1.2657530866185367E-3</v>
      </c>
      <c r="AX423" s="28">
        <f t="shared" si="426"/>
        <v>1.4244251988628995E-3</v>
      </c>
      <c r="AY423" s="28">
        <f t="shared" si="426"/>
        <v>2.2587145644931545E-2</v>
      </c>
      <c r="AZ423" s="28">
        <f t="shared" si="426"/>
        <v>1.1850899446879974E-2</v>
      </c>
      <c r="BA423" s="28">
        <f t="shared" si="426"/>
        <v>7.6609344671490862E-3</v>
      </c>
      <c r="BB423" s="28">
        <f t="shared" si="426"/>
        <v>6.336327166468885E-4</v>
      </c>
      <c r="BC423" s="28">
        <f t="shared" si="426"/>
        <v>2.3976787164513937E-3</v>
      </c>
      <c r="BD423" s="28">
        <f t="shared" si="426"/>
        <v>9.7882484199474464E-4</v>
      </c>
      <c r="BE423" s="28">
        <f t="shared" si="426"/>
        <v>1.0177872729528064E-2</v>
      </c>
      <c r="BF423" s="28">
        <f t="shared" si="426"/>
        <v>3.8151352924680228E-3</v>
      </c>
      <c r="BG423" s="28">
        <f t="shared" si="426"/>
        <v>1.2105229515012958E-4</v>
      </c>
      <c r="BH423" s="28">
        <f t="shared" si="426"/>
        <v>5.3770242552537931E-3</v>
      </c>
      <c r="BI423" s="28">
        <f t="shared" si="426"/>
        <v>7.6750509308880319E-4</v>
      </c>
      <c r="BJ423" s="28">
        <f t="shared" si="426"/>
        <v>7.1100650942275119E-4</v>
      </c>
      <c r="BK423" s="28">
        <f t="shared" si="426"/>
        <v>2.0136568092275672E-4</v>
      </c>
      <c r="BL423" s="28">
        <f t="shared" si="426"/>
        <v>1.0459209376871627E-6</v>
      </c>
      <c r="BM423" s="28">
        <f t="shared" si="426"/>
        <v>6.1865869492604833E-5</v>
      </c>
      <c r="BN423" s="28">
        <f t="shared" si="426"/>
        <v>2.5618384312768653E-4</v>
      </c>
      <c r="BO423" s="28">
        <f t="shared" si="426"/>
        <v>9.4789606272760256E-4</v>
      </c>
      <c r="BP423" s="28">
        <f t="shared" si="426"/>
        <v>3.688496939454433E-4</v>
      </c>
      <c r="BQ423" s="28">
        <f t="shared" si="426"/>
        <v>2.319713314414931E-4</v>
      </c>
      <c r="BR423" s="28">
        <f t="shared" si="426"/>
        <v>0</v>
      </c>
    </row>
    <row r="424" spans="1:70" x14ac:dyDescent="0.3">
      <c r="B424" s="3" t="s">
        <v>25</v>
      </c>
      <c r="C424" s="28"/>
      <c r="D424" s="328"/>
      <c r="E424" s="30">
        <f t="shared" si="420"/>
        <v>0.22841748061558814</v>
      </c>
      <c r="F424" s="28">
        <f t="shared" ref="F424:AK424" si="427">F418*F$164</f>
        <v>1.9736982052202885E-3</v>
      </c>
      <c r="G424" s="28">
        <f t="shared" si="427"/>
        <v>6.5465357284027123E-2</v>
      </c>
      <c r="H424" s="28">
        <f t="shared" si="427"/>
        <v>2.8946424778630077E-5</v>
      </c>
      <c r="I424" s="28">
        <f t="shared" si="427"/>
        <v>0</v>
      </c>
      <c r="J424" s="28">
        <f t="shared" si="427"/>
        <v>1.2873873661241996E-3</v>
      </c>
      <c r="K424" s="28">
        <f t="shared" si="427"/>
        <v>2.3491173129675464E-3</v>
      </c>
      <c r="L424" s="28">
        <f t="shared" si="427"/>
        <v>5.9988548344565523E-4</v>
      </c>
      <c r="M424" s="28">
        <f t="shared" si="427"/>
        <v>2.0396883362382495E-3</v>
      </c>
      <c r="N424" s="28">
        <f t="shared" si="427"/>
        <v>5.4264953432415972E-5</v>
      </c>
      <c r="O424" s="28">
        <f t="shared" si="427"/>
        <v>0</v>
      </c>
      <c r="P424" s="28">
        <f t="shared" si="427"/>
        <v>1.7579490711241236E-2</v>
      </c>
      <c r="Q424" s="28">
        <f t="shared" si="427"/>
        <v>2.0224768544629588E-4</v>
      </c>
      <c r="R424" s="28">
        <f t="shared" si="427"/>
        <v>6.8824230842600316E-3</v>
      </c>
      <c r="S424" s="28">
        <f t="shared" si="427"/>
        <v>1.3734888442304876E-3</v>
      </c>
      <c r="T424" s="28">
        <f t="shared" si="427"/>
        <v>1.1757013455016486E-2</v>
      </c>
      <c r="U424" s="28">
        <f t="shared" si="427"/>
        <v>9.8049723942653533E-3</v>
      </c>
      <c r="V424" s="28">
        <f t="shared" si="427"/>
        <v>2.1451043447116608E-3</v>
      </c>
      <c r="W424" s="28">
        <f t="shared" si="427"/>
        <v>4.0215102293951113E-3</v>
      </c>
      <c r="X424" s="28">
        <f t="shared" si="427"/>
        <v>2.2008410537805282E-2</v>
      </c>
      <c r="Y424" s="28">
        <f t="shared" si="427"/>
        <v>8.3821610563533672E-3</v>
      </c>
      <c r="Z424" s="28">
        <f t="shared" si="427"/>
        <v>3.1840997083427562E-4</v>
      </c>
      <c r="AA424" s="28">
        <f t="shared" si="427"/>
        <v>8.0647943885176323E-4</v>
      </c>
      <c r="AB424" s="28">
        <f t="shared" si="427"/>
        <v>5.9923803618057837E-4</v>
      </c>
      <c r="AC424" s="28">
        <f t="shared" si="427"/>
        <v>9.4532671168815667E-4</v>
      </c>
      <c r="AD424" s="28">
        <f t="shared" si="427"/>
        <v>0</v>
      </c>
      <c r="AE424" s="28">
        <f t="shared" si="427"/>
        <v>0</v>
      </c>
      <c r="AF424" s="28">
        <f t="shared" si="427"/>
        <v>0</v>
      </c>
      <c r="AG424" s="28">
        <f t="shared" si="427"/>
        <v>1.0978413792423407E-3</v>
      </c>
      <c r="AH424" s="28">
        <f t="shared" si="427"/>
        <v>4.4350859596848854E-4</v>
      </c>
      <c r="AI424" s="28">
        <f t="shared" si="427"/>
        <v>5.890744258026547E-5</v>
      </c>
      <c r="AJ424" s="28">
        <f t="shared" si="427"/>
        <v>0</v>
      </c>
      <c r="AK424" s="28">
        <f t="shared" si="427"/>
        <v>0</v>
      </c>
      <c r="AL424" s="28">
        <f t="shared" ref="AL424:BR424" si="428">AL418*AL$164</f>
        <v>5.8304732724507825E-3</v>
      </c>
      <c r="AM424" s="28">
        <f t="shared" si="428"/>
        <v>6.7604224541345957E-3</v>
      </c>
      <c r="AN424" s="28">
        <f t="shared" si="428"/>
        <v>1.524341675020448E-3</v>
      </c>
      <c r="AO424" s="28">
        <f t="shared" si="428"/>
        <v>2.1305205879141781E-2</v>
      </c>
      <c r="AP424" s="28">
        <f t="shared" si="428"/>
        <v>1.6296912011172753E-4</v>
      </c>
      <c r="AQ424" s="28">
        <f t="shared" si="428"/>
        <v>6.3204646351591807E-4</v>
      </c>
      <c r="AR424" s="28">
        <f t="shared" si="428"/>
        <v>1.1932562965483659E-3</v>
      </c>
      <c r="AS424" s="28">
        <f t="shared" si="428"/>
        <v>5.1071554074544898E-4</v>
      </c>
      <c r="AT424" s="28">
        <f t="shared" si="428"/>
        <v>3.7941464294216991E-3</v>
      </c>
      <c r="AU424" s="28">
        <f t="shared" si="428"/>
        <v>1.461903687738601E-3</v>
      </c>
      <c r="AV424" s="28">
        <f t="shared" si="428"/>
        <v>2.278020351001287E-3</v>
      </c>
      <c r="AW424" s="28">
        <f t="shared" si="428"/>
        <v>4.514377227277026E-5</v>
      </c>
      <c r="AX424" s="28">
        <f t="shared" si="428"/>
        <v>1.0600862097512121E-4</v>
      </c>
      <c r="AY424" s="28">
        <f t="shared" si="428"/>
        <v>1.0386177486302445E-4</v>
      </c>
      <c r="AZ424" s="28">
        <f t="shared" si="428"/>
        <v>9.4575853856585304E-3</v>
      </c>
      <c r="BA424" s="28">
        <f t="shared" si="428"/>
        <v>2.0959309219409951E-3</v>
      </c>
      <c r="BB424" s="28">
        <f t="shared" si="428"/>
        <v>6.6067038841017197E-5</v>
      </c>
      <c r="BC424" s="28">
        <f t="shared" si="428"/>
        <v>1.0619763074421532E-3</v>
      </c>
      <c r="BD424" s="28">
        <f t="shared" si="428"/>
        <v>1.2402169301881623E-4</v>
      </c>
      <c r="BE424" s="28">
        <f t="shared" si="428"/>
        <v>7.5598483931485902E-3</v>
      </c>
      <c r="BF424" s="28">
        <f t="shared" si="428"/>
        <v>2.1791747946015254E-5</v>
      </c>
      <c r="BG424" s="28">
        <f t="shared" si="428"/>
        <v>0</v>
      </c>
      <c r="BH424" s="28">
        <f t="shared" si="428"/>
        <v>7.082524738148765E-5</v>
      </c>
      <c r="BI424" s="28">
        <f t="shared" si="428"/>
        <v>3.9972380359350706E-6</v>
      </c>
      <c r="BJ424" s="28">
        <f t="shared" si="428"/>
        <v>1.5871526493197849E-5</v>
      </c>
      <c r="BK424" s="28">
        <f t="shared" si="428"/>
        <v>1.9164242697115363E-6</v>
      </c>
      <c r="BL424" s="28">
        <f t="shared" si="428"/>
        <v>0</v>
      </c>
      <c r="BM424" s="28">
        <f t="shared" si="428"/>
        <v>3.535169812608723E-6</v>
      </c>
      <c r="BN424" s="28">
        <f t="shared" si="428"/>
        <v>6.846782558665635E-7</v>
      </c>
      <c r="BO424" s="28">
        <f t="shared" si="428"/>
        <v>0</v>
      </c>
      <c r="BP424" s="28">
        <f t="shared" si="428"/>
        <v>0</v>
      </c>
      <c r="BQ424" s="28">
        <f t="shared" si="428"/>
        <v>3.4221096397620284E-8</v>
      </c>
      <c r="BR424" s="28">
        <f t="shared" si="428"/>
        <v>0</v>
      </c>
    </row>
    <row r="425" spans="1:70" x14ac:dyDescent="0.3">
      <c r="A425" s="73">
        <v>4</v>
      </c>
      <c r="B425" s="16" t="s">
        <v>464</v>
      </c>
      <c r="D425" s="244"/>
    </row>
    <row r="426" spans="1:70" x14ac:dyDescent="0.3">
      <c r="A426" s="3">
        <f>A416+1</f>
        <v>3</v>
      </c>
      <c r="B426" s="7" t="s">
        <v>61</v>
      </c>
      <c r="D426" s="327" t="s">
        <v>235</v>
      </c>
      <c r="E426" s="88">
        <f>HLOOKUP(A425,$F$305:$BK$372,A425+2)</f>
        <v>1.0576374536026529</v>
      </c>
    </row>
    <row r="427" spans="1:70" x14ac:dyDescent="0.3">
      <c r="D427" s="327" t="s">
        <v>60</v>
      </c>
      <c r="E427" s="88">
        <f>HLOOKUP(A425,$F$305:$BK$372,68)-E426</f>
        <v>0.68673047684942734</v>
      </c>
      <c r="F427" s="32"/>
    </row>
    <row r="428" spans="1:70" x14ac:dyDescent="0.3">
      <c r="C428" s="29"/>
      <c r="D428" s="327" t="s">
        <v>201</v>
      </c>
      <c r="E428" s="30">
        <f>E427+E426</f>
        <v>1.7443679304520803</v>
      </c>
      <c r="F428" s="95">
        <f t="shared" ref="F428:BQ428" si="429">HLOOKUP($A425,$F$305:$BK$372,F$305+2)</f>
        <v>5.3715871005915994E-4</v>
      </c>
      <c r="G428" s="95">
        <f t="shared" si="429"/>
        <v>3.2107074325584298E-3</v>
      </c>
      <c r="H428" s="95">
        <f t="shared" si="429"/>
        <v>4.5625007213180388E-5</v>
      </c>
      <c r="I428" s="95">
        <f t="shared" si="429"/>
        <v>1.0576374536026529</v>
      </c>
      <c r="J428" s="95">
        <f t="shared" si="429"/>
        <v>1.7794172077860515E-3</v>
      </c>
      <c r="K428" s="95">
        <f t="shared" si="429"/>
        <v>3.897587220899789E-3</v>
      </c>
      <c r="L428" s="95">
        <f t="shared" si="429"/>
        <v>7.1977382922480274E-3</v>
      </c>
      <c r="M428" s="95">
        <f t="shared" si="429"/>
        <v>2.7676235755147087E-3</v>
      </c>
      <c r="N428" s="95">
        <f t="shared" si="429"/>
        <v>9.4322213178358639E-4</v>
      </c>
      <c r="O428" s="95">
        <f t="shared" si="429"/>
        <v>5.833110680356126E-2</v>
      </c>
      <c r="P428" s="95">
        <f t="shared" si="429"/>
        <v>7.7084156748950333E-2</v>
      </c>
      <c r="Q428" s="95">
        <f t="shared" si="429"/>
        <v>1.7533236855965862E-4</v>
      </c>
      <c r="R428" s="95">
        <f t="shared" si="429"/>
        <v>1.7008767052428968E-2</v>
      </c>
      <c r="S428" s="95">
        <f t="shared" si="429"/>
        <v>1.834715485756784E-3</v>
      </c>
      <c r="T428" s="95">
        <f t="shared" si="429"/>
        <v>1.3422431570286332E-2</v>
      </c>
      <c r="U428" s="95">
        <f t="shared" si="429"/>
        <v>3.1508875396180518E-2</v>
      </c>
      <c r="V428" s="95">
        <f t="shared" si="429"/>
        <v>1.8933846285646141E-3</v>
      </c>
      <c r="W428" s="95">
        <f t="shared" si="429"/>
        <v>9.1093293836232124E-3</v>
      </c>
      <c r="X428" s="95">
        <f t="shared" si="429"/>
        <v>4.9368945905348273E-2</v>
      </c>
      <c r="Y428" s="95">
        <f t="shared" si="429"/>
        <v>1.4019936595860247E-2</v>
      </c>
      <c r="Z428" s="95">
        <f t="shared" si="429"/>
        <v>5.0877050132263116E-4</v>
      </c>
      <c r="AA428" s="95">
        <f t="shared" si="429"/>
        <v>1.6803616001250794E-3</v>
      </c>
      <c r="AB428" s="95">
        <f t="shared" si="429"/>
        <v>3.0006258687956627E-2</v>
      </c>
      <c r="AC428" s="95">
        <f t="shared" si="429"/>
        <v>6.7284010907195435E-2</v>
      </c>
      <c r="AD428" s="95">
        <f t="shared" si="429"/>
        <v>6.6760642777697887E-3</v>
      </c>
      <c r="AE428" s="95">
        <f t="shared" si="429"/>
        <v>2.6808095410144929E-3</v>
      </c>
      <c r="AF428" s="95">
        <f t="shared" si="429"/>
        <v>7.3756460705330998E-4</v>
      </c>
      <c r="AG428" s="95">
        <f t="shared" si="429"/>
        <v>1.4850160450597513E-3</v>
      </c>
      <c r="AH428" s="95">
        <f t="shared" si="429"/>
        <v>5.4624277404301726E-3</v>
      </c>
      <c r="AI428" s="95">
        <f t="shared" si="429"/>
        <v>9.2712707352399903E-3</v>
      </c>
      <c r="AJ428" s="95">
        <f t="shared" si="429"/>
        <v>3.3398911504391268E-2</v>
      </c>
      <c r="AK428" s="95">
        <f t="shared" si="429"/>
        <v>8.0135996023405764E-3</v>
      </c>
      <c r="AL428" s="95">
        <f t="shared" si="429"/>
        <v>6.0683434909497944E-2</v>
      </c>
      <c r="AM428" s="95">
        <f t="shared" si="429"/>
        <v>1.4917871053657774E-2</v>
      </c>
      <c r="AN428" s="95">
        <f t="shared" si="429"/>
        <v>1.2457892194737965E-3</v>
      </c>
      <c r="AO428" s="95">
        <f t="shared" si="429"/>
        <v>5.4059151927738962E-2</v>
      </c>
      <c r="AP428" s="95">
        <f t="shared" si="429"/>
        <v>8.008642405700452E-4</v>
      </c>
      <c r="AQ428" s="95">
        <f t="shared" si="429"/>
        <v>1.3528080679585282E-3</v>
      </c>
      <c r="AR428" s="95">
        <f t="shared" si="429"/>
        <v>1.1665353902716022E-3</v>
      </c>
      <c r="AS428" s="95">
        <f t="shared" si="429"/>
        <v>6.8756228640407479E-4</v>
      </c>
      <c r="AT428" s="95">
        <f t="shared" si="429"/>
        <v>6.9498104124498042E-3</v>
      </c>
      <c r="AU428" s="95">
        <f t="shared" si="429"/>
        <v>5.5517442683515597E-3</v>
      </c>
      <c r="AV428" s="95">
        <f t="shared" si="429"/>
        <v>7.8629062558972732E-3</v>
      </c>
      <c r="AW428" s="95">
        <f t="shared" si="429"/>
        <v>1.5128885788598318E-3</v>
      </c>
      <c r="AX428" s="95">
        <f t="shared" si="429"/>
        <v>1.4998631439190619E-3</v>
      </c>
      <c r="AY428" s="95">
        <f t="shared" si="429"/>
        <v>1.3428865838040963E-2</v>
      </c>
      <c r="AZ428" s="95">
        <f t="shared" si="429"/>
        <v>2.0266947983417216E-2</v>
      </c>
      <c r="BA428" s="95">
        <f t="shared" si="429"/>
        <v>2.9639790288834324E-3</v>
      </c>
      <c r="BB428" s="95">
        <f t="shared" si="429"/>
        <v>2.5635199845821248E-3</v>
      </c>
      <c r="BC428" s="95">
        <f t="shared" si="429"/>
        <v>2.6577441252537415E-3</v>
      </c>
      <c r="BD428" s="95">
        <f t="shared" si="429"/>
        <v>6.1455458560137383E-4</v>
      </c>
      <c r="BE428" s="95">
        <f t="shared" si="429"/>
        <v>1.1262575695319724E-2</v>
      </c>
      <c r="BF428" s="95">
        <f t="shared" si="429"/>
        <v>1.8136130219071325E-3</v>
      </c>
      <c r="BG428" s="95">
        <f t="shared" si="429"/>
        <v>2.1055843356820918E-4</v>
      </c>
      <c r="BH428" s="95">
        <f t="shared" si="429"/>
        <v>7.0534338087407389E-3</v>
      </c>
      <c r="BI428" s="95">
        <f t="shared" si="429"/>
        <v>1.1254917291648383E-3</v>
      </c>
      <c r="BJ428" s="95">
        <f t="shared" si="429"/>
        <v>1.1643366954552272E-3</v>
      </c>
      <c r="BK428" s="95">
        <f t="shared" si="429"/>
        <v>7.5406254541165476E-4</v>
      </c>
      <c r="BL428" s="95">
        <f t="shared" si="429"/>
        <v>1.5557311725741962E-6</v>
      </c>
      <c r="BM428" s="95">
        <f t="shared" si="429"/>
        <v>5.6593196814016465E-5</v>
      </c>
      <c r="BN428" s="95">
        <f t="shared" si="429"/>
        <v>2.3685759665039252E-4</v>
      </c>
      <c r="BO428" s="95">
        <f t="shared" si="429"/>
        <v>5.0809147548413298E-4</v>
      </c>
      <c r="BP428" s="95">
        <f t="shared" si="429"/>
        <v>2.2864900239532958E-4</v>
      </c>
      <c r="BQ428" s="95">
        <f t="shared" si="429"/>
        <v>1.8668934943150351E-4</v>
      </c>
      <c r="BR428" s="95">
        <f t="shared" ref="BR428" si="430">HLOOKUP($A425,$F$305:$BK$372,BR$305+2)</f>
        <v>0</v>
      </c>
    </row>
    <row r="429" spans="1:70" x14ac:dyDescent="0.3">
      <c r="B429" s="3" t="s">
        <v>110</v>
      </c>
      <c r="C429" s="29"/>
      <c r="D429" s="327"/>
      <c r="E429" s="30">
        <f>SUM(F429:BR429)</f>
        <v>2.6067673620751516E-2</v>
      </c>
      <c r="F429" s="28">
        <f>F428*F$155</f>
        <v>1.2363108619751502E-5</v>
      </c>
      <c r="G429" s="28">
        <f t="shared" ref="G429:BR429" si="431">G428*G$155</f>
        <v>3.8758426132555353E-5</v>
      </c>
      <c r="H429" s="28">
        <f t="shared" si="431"/>
        <v>9.1482316119582201E-7</v>
      </c>
      <c r="I429" s="28">
        <f t="shared" si="431"/>
        <v>1.7910659861540851E-2</v>
      </c>
      <c r="J429" s="28">
        <f t="shared" si="431"/>
        <v>1.8599986997698263E-6</v>
      </c>
      <c r="K429" s="28">
        <f t="shared" si="431"/>
        <v>1.6419046956403457E-5</v>
      </c>
      <c r="L429" s="28">
        <f t="shared" si="431"/>
        <v>2.2720867299739001E-5</v>
      </c>
      <c r="M429" s="28">
        <f t="shared" si="431"/>
        <v>1.4352040284666581E-5</v>
      </c>
      <c r="N429" s="28">
        <f t="shared" si="431"/>
        <v>1.9592621203194706E-6</v>
      </c>
      <c r="O429" s="28">
        <f t="shared" si="431"/>
        <v>6.7895785952867555E-4</v>
      </c>
      <c r="P429" s="28">
        <f t="shared" si="431"/>
        <v>8.6576908151075261E-5</v>
      </c>
      <c r="Q429" s="28">
        <f t="shared" si="431"/>
        <v>3.1364036827859841E-8</v>
      </c>
      <c r="R429" s="28">
        <f t="shared" si="431"/>
        <v>2.9398428689662106E-5</v>
      </c>
      <c r="S429" s="28">
        <f t="shared" si="431"/>
        <v>5.5963887857902349E-6</v>
      </c>
      <c r="T429" s="28">
        <f t="shared" si="431"/>
        <v>8.8930720600768296E-6</v>
      </c>
      <c r="U429" s="28">
        <f t="shared" si="431"/>
        <v>7.3176391268262532E-5</v>
      </c>
      <c r="V429" s="28">
        <f t="shared" si="431"/>
        <v>1.318578801553041E-6</v>
      </c>
      <c r="W429" s="28">
        <f t="shared" si="431"/>
        <v>8.0478816308720324E-6</v>
      </c>
      <c r="X429" s="28">
        <f t="shared" si="431"/>
        <v>4.3001627959368475E-5</v>
      </c>
      <c r="Y429" s="28">
        <f t="shared" si="431"/>
        <v>1.0530612375221442E-5</v>
      </c>
      <c r="Z429" s="28">
        <f t="shared" si="431"/>
        <v>3.2429430228891425E-7</v>
      </c>
      <c r="AA429" s="28">
        <f t="shared" si="431"/>
        <v>7.2973007969391659E-6</v>
      </c>
      <c r="AB429" s="28">
        <f t="shared" si="431"/>
        <v>1.375330904028872E-4</v>
      </c>
      <c r="AC429" s="28">
        <f t="shared" si="431"/>
        <v>1.2188007578548023E-4</v>
      </c>
      <c r="AD429" s="28">
        <f t="shared" si="431"/>
        <v>6.5107948953458328E-7</v>
      </c>
      <c r="AE429" s="28">
        <f t="shared" si="431"/>
        <v>8.4755411687368722E-5</v>
      </c>
      <c r="AF429" s="28">
        <f t="shared" si="431"/>
        <v>5.2186228868445407E-6</v>
      </c>
      <c r="AG429" s="28">
        <f t="shared" si="431"/>
        <v>7.0638407994602069E-6</v>
      </c>
      <c r="AH429" s="28">
        <f t="shared" si="431"/>
        <v>6.3245208521748989E-5</v>
      </c>
      <c r="AI429" s="28">
        <f t="shared" si="431"/>
        <v>5.8483046732513125E-5</v>
      </c>
      <c r="AJ429" s="28">
        <f t="shared" si="431"/>
        <v>1.8558727248126278E-4</v>
      </c>
      <c r="AK429" s="28">
        <f t="shared" si="431"/>
        <v>4.3282320619755229E-5</v>
      </c>
      <c r="AL429" s="28">
        <f t="shared" si="431"/>
        <v>5.1470513453806136E-3</v>
      </c>
      <c r="AM429" s="28">
        <f t="shared" si="431"/>
        <v>0</v>
      </c>
      <c r="AN429" s="28">
        <f t="shared" si="431"/>
        <v>1.105319748272735E-6</v>
      </c>
      <c r="AO429" s="28">
        <f t="shared" si="431"/>
        <v>1.3603537675271782E-4</v>
      </c>
      <c r="AP429" s="28">
        <f t="shared" si="431"/>
        <v>1.6081921282773547E-5</v>
      </c>
      <c r="AQ429" s="28">
        <f t="shared" si="431"/>
        <v>5.4347747537580253E-6</v>
      </c>
      <c r="AR429" s="28">
        <f t="shared" si="431"/>
        <v>2.2548999714907461E-6</v>
      </c>
      <c r="AS429" s="28">
        <f t="shared" si="431"/>
        <v>5.7324413738386943E-6</v>
      </c>
      <c r="AT429" s="28">
        <f t="shared" si="431"/>
        <v>7.846912973587412E-6</v>
      </c>
      <c r="AU429" s="28">
        <f t="shared" si="431"/>
        <v>1.8754661581054012E-5</v>
      </c>
      <c r="AV429" s="28">
        <f t="shared" si="431"/>
        <v>2.3399719769951618E-4</v>
      </c>
      <c r="AW429" s="28">
        <f t="shared" si="431"/>
        <v>5.8345131169206225E-5</v>
      </c>
      <c r="AX429" s="28">
        <f t="shared" si="431"/>
        <v>4.2335365896193071E-5</v>
      </c>
      <c r="AY429" s="28">
        <f t="shared" si="431"/>
        <v>2.3138196223512915E-4</v>
      </c>
      <c r="AZ429" s="28">
        <f t="shared" si="431"/>
        <v>7.7186552851799201E-5</v>
      </c>
      <c r="BA429" s="28">
        <f t="shared" si="431"/>
        <v>2.8537052446129465E-5</v>
      </c>
      <c r="BB429" s="28">
        <f t="shared" si="431"/>
        <v>6.997760791487981E-5</v>
      </c>
      <c r="BC429" s="28">
        <f t="shared" si="431"/>
        <v>1.0320718134540735E-5</v>
      </c>
      <c r="BD429" s="28">
        <f t="shared" si="431"/>
        <v>5.1036696418664658E-6</v>
      </c>
      <c r="BE429" s="28">
        <f t="shared" si="431"/>
        <v>2.0314878549955773E-5</v>
      </c>
      <c r="BF429" s="28">
        <f t="shared" si="431"/>
        <v>3.5927174832026979E-6</v>
      </c>
      <c r="BG429" s="28">
        <f t="shared" si="431"/>
        <v>3.4344740118446219E-7</v>
      </c>
      <c r="BH429" s="28">
        <f t="shared" si="431"/>
        <v>6.8756170945328345E-5</v>
      </c>
      <c r="BI429" s="28">
        <f t="shared" si="431"/>
        <v>5.6051361646723699E-5</v>
      </c>
      <c r="BJ429" s="28">
        <f t="shared" si="431"/>
        <v>4.7846790515865457E-5</v>
      </c>
      <c r="BK429" s="28">
        <f t="shared" si="431"/>
        <v>3.5341244837310188E-5</v>
      </c>
      <c r="BL429" s="28">
        <f t="shared" si="431"/>
        <v>8.8672545809513523E-8</v>
      </c>
      <c r="BM429" s="28">
        <f t="shared" si="431"/>
        <v>2.5644732216944793E-6</v>
      </c>
      <c r="BN429" s="28">
        <f t="shared" si="431"/>
        <v>1.2299388167812929E-5</v>
      </c>
      <c r="BO429" s="28">
        <f t="shared" si="431"/>
        <v>3.086107966992976E-5</v>
      </c>
      <c r="BP429" s="28">
        <f t="shared" si="431"/>
        <v>6.2002168906391181E-6</v>
      </c>
      <c r="BQ429" s="28">
        <f t="shared" si="431"/>
        <v>5.0721544599719326E-6</v>
      </c>
      <c r="BR429" s="28">
        <f t="shared" si="431"/>
        <v>0</v>
      </c>
    </row>
    <row r="430" spans="1:70" x14ac:dyDescent="0.3">
      <c r="B430" s="3" t="s">
        <v>56</v>
      </c>
      <c r="C430" s="28"/>
      <c r="D430" s="328"/>
      <c r="E430" s="30">
        <f t="shared" ref="E430" si="432">SUM(F430:BR430)</f>
        <v>0.36523103478857449</v>
      </c>
      <c r="F430" s="28">
        <f>F428*F$157</f>
        <v>6.6752887907448602E-5</v>
      </c>
      <c r="G430" s="28">
        <f t="shared" ref="G430:BR430" si="433">G428*G$157</f>
        <v>3.8183935522470146E-4</v>
      </c>
      <c r="H430" s="28">
        <f t="shared" si="433"/>
        <v>3.1706953574241449E-6</v>
      </c>
      <c r="I430" s="28">
        <f t="shared" si="433"/>
        <v>0.27394200124719897</v>
      </c>
      <c r="J430" s="28">
        <f t="shared" si="433"/>
        <v>1.3611869181189904E-4</v>
      </c>
      <c r="K430" s="28">
        <f t="shared" si="433"/>
        <v>4.1497945419436273E-4</v>
      </c>
      <c r="L430" s="28">
        <f t="shared" si="433"/>
        <v>8.0619237305146489E-4</v>
      </c>
      <c r="M430" s="28">
        <f t="shared" si="433"/>
        <v>1.2967548682008931E-4</v>
      </c>
      <c r="N430" s="28">
        <f t="shared" si="433"/>
        <v>1.7637564137588173E-4</v>
      </c>
      <c r="O430" s="28">
        <f t="shared" si="433"/>
        <v>5.7715185164761897E-3</v>
      </c>
      <c r="P430" s="28">
        <f t="shared" si="433"/>
        <v>2.2535187926807873E-3</v>
      </c>
      <c r="Q430" s="28">
        <f t="shared" si="433"/>
        <v>3.5250450086964215E-6</v>
      </c>
      <c r="R430" s="28">
        <f t="shared" si="433"/>
        <v>1.3068449503023565E-3</v>
      </c>
      <c r="S430" s="28">
        <f t="shared" si="433"/>
        <v>2.1978223324518404E-4</v>
      </c>
      <c r="T430" s="28">
        <f t="shared" si="433"/>
        <v>2.3268752107518013E-4</v>
      </c>
      <c r="U430" s="28">
        <f t="shared" si="433"/>
        <v>3.6511324168222552E-3</v>
      </c>
      <c r="V430" s="28">
        <f t="shared" si="433"/>
        <v>4.8767287096793024E-5</v>
      </c>
      <c r="W430" s="28">
        <f t="shared" si="433"/>
        <v>5.6504879762899862E-4</v>
      </c>
      <c r="X430" s="28">
        <f t="shared" si="433"/>
        <v>3.7970102135434758E-3</v>
      </c>
      <c r="Y430" s="28">
        <f t="shared" si="433"/>
        <v>6.7028450846983638E-4</v>
      </c>
      <c r="Z430" s="28">
        <f t="shared" si="433"/>
        <v>3.0764502194527065E-5</v>
      </c>
      <c r="AA430" s="28">
        <f t="shared" si="433"/>
        <v>2.4294615018066412E-4</v>
      </c>
      <c r="AB430" s="28">
        <f t="shared" si="433"/>
        <v>8.6329753952825179E-3</v>
      </c>
      <c r="AC430" s="28">
        <f t="shared" si="433"/>
        <v>5.8674712337716886E-3</v>
      </c>
      <c r="AD430" s="28">
        <f t="shared" si="433"/>
        <v>1.8046970650645669E-4</v>
      </c>
      <c r="AE430" s="28">
        <f t="shared" si="433"/>
        <v>2.7966673823741784E-4</v>
      </c>
      <c r="AF430" s="28">
        <f t="shared" si="433"/>
        <v>1.5653966275404267E-4</v>
      </c>
      <c r="AG430" s="28">
        <f t="shared" si="433"/>
        <v>1.241564785750706E-4</v>
      </c>
      <c r="AH430" s="28">
        <f t="shared" si="433"/>
        <v>1.4141867852847157E-3</v>
      </c>
      <c r="AI430" s="28">
        <f t="shared" si="433"/>
        <v>2.9429052844175273E-3</v>
      </c>
      <c r="AJ430" s="28">
        <f t="shared" si="433"/>
        <v>8.6406920214016861E-3</v>
      </c>
      <c r="AK430" s="28">
        <f t="shared" si="433"/>
        <v>3.139313740279313E-3</v>
      </c>
      <c r="AL430" s="28">
        <f t="shared" si="433"/>
        <v>1.0946632389854948E-2</v>
      </c>
      <c r="AM430" s="28">
        <f t="shared" si="433"/>
        <v>2.9386304130570051E-4</v>
      </c>
      <c r="AN430" s="28">
        <f t="shared" si="433"/>
        <v>8.8795368386680162E-5</v>
      </c>
      <c r="AO430" s="28">
        <f t="shared" si="433"/>
        <v>5.746445809108984E-3</v>
      </c>
      <c r="AP430" s="28">
        <f t="shared" si="433"/>
        <v>3.2155079712746406E-4</v>
      </c>
      <c r="AQ430" s="28">
        <f t="shared" si="433"/>
        <v>3.6162657812984937E-4</v>
      </c>
      <c r="AR430" s="28">
        <f t="shared" si="433"/>
        <v>3.063388094623084E-4</v>
      </c>
      <c r="AS430" s="28">
        <f t="shared" si="433"/>
        <v>1.5814812181766294E-4</v>
      </c>
      <c r="AT430" s="28">
        <f t="shared" si="433"/>
        <v>6.1247738339475599E-4</v>
      </c>
      <c r="AU430" s="28">
        <f t="shared" si="433"/>
        <v>2.2091662069631652E-3</v>
      </c>
      <c r="AV430" s="28">
        <f t="shared" si="433"/>
        <v>1.6740671113354428E-3</v>
      </c>
      <c r="AW430" s="28">
        <f t="shared" si="433"/>
        <v>3.485584994207089E-4</v>
      </c>
      <c r="AX430" s="28">
        <f t="shared" si="433"/>
        <v>3.5048274348010896E-4</v>
      </c>
      <c r="AY430" s="28">
        <f t="shared" si="433"/>
        <v>8.8723259320696451E-4</v>
      </c>
      <c r="AZ430" s="28">
        <f t="shared" si="433"/>
        <v>4.2896931358119596E-3</v>
      </c>
      <c r="BA430" s="28">
        <f t="shared" si="433"/>
        <v>8.9103579132136931E-4</v>
      </c>
      <c r="BB430" s="28">
        <f t="shared" si="433"/>
        <v>1.5221664064204996E-3</v>
      </c>
      <c r="BC430" s="28">
        <f t="shared" si="433"/>
        <v>5.182171189099141E-4</v>
      </c>
      <c r="BD430" s="28">
        <f t="shared" si="433"/>
        <v>1.990891341496719E-4</v>
      </c>
      <c r="BE430" s="28">
        <f t="shared" si="433"/>
        <v>7.3586198694220708E-4</v>
      </c>
      <c r="BF430" s="28">
        <f t="shared" si="433"/>
        <v>1.3376892656805405E-3</v>
      </c>
      <c r="BG430" s="28">
        <f t="shared" si="433"/>
        <v>4.5862103832717146E-5</v>
      </c>
      <c r="BH430" s="28">
        <f t="shared" si="433"/>
        <v>3.0162167174733324E-3</v>
      </c>
      <c r="BI430" s="28">
        <f t="shared" si="433"/>
        <v>5.9143109013084431E-4</v>
      </c>
      <c r="BJ430" s="28">
        <f t="shared" si="433"/>
        <v>7.4607211434299164E-4</v>
      </c>
      <c r="BK430" s="28">
        <f t="shared" si="433"/>
        <v>3.9176742494704029E-4</v>
      </c>
      <c r="BL430" s="28">
        <f t="shared" si="433"/>
        <v>9.0603311464141754E-7</v>
      </c>
      <c r="BM430" s="28">
        <f t="shared" si="433"/>
        <v>2.1467525406436856E-5</v>
      </c>
      <c r="BN430" s="28">
        <f t="shared" si="433"/>
        <v>6.6653330191824797E-5</v>
      </c>
      <c r="BO430" s="28">
        <f t="shared" si="433"/>
        <v>2.0230934529289569E-4</v>
      </c>
      <c r="BP430" s="28">
        <f t="shared" si="433"/>
        <v>6.4934981140115074E-5</v>
      </c>
      <c r="BQ430" s="28">
        <f t="shared" si="433"/>
        <v>5.4962016293137798E-5</v>
      </c>
      <c r="BR430" s="28">
        <f t="shared" si="433"/>
        <v>0</v>
      </c>
    </row>
    <row r="431" spans="1:70" x14ac:dyDescent="0.3">
      <c r="B431" s="2" t="s">
        <v>22</v>
      </c>
      <c r="C431" s="28"/>
      <c r="D431" s="328"/>
      <c r="E431" s="30">
        <f>SUM(F431:BR431)</f>
        <v>0.28556726471467325</v>
      </c>
      <c r="F431" s="28">
        <f t="shared" ref="F431:BQ431" si="434">F428*F$161</f>
        <v>1.389652234565479E-4</v>
      </c>
      <c r="G431" s="28">
        <f t="shared" si="434"/>
        <v>5.278355187984514E-4</v>
      </c>
      <c r="H431" s="28">
        <f t="shared" si="434"/>
        <v>5.7388701313613794E-6</v>
      </c>
      <c r="I431" s="28">
        <f t="shared" si="434"/>
        <v>0.20649975963783512</v>
      </c>
      <c r="J431" s="28">
        <f t="shared" si="434"/>
        <v>3.8108339342698874E-5</v>
      </c>
      <c r="K431" s="28">
        <f t="shared" si="434"/>
        <v>5.1464224855751708E-5</v>
      </c>
      <c r="L431" s="28">
        <f t="shared" si="434"/>
        <v>4.3203533633820137E-4</v>
      </c>
      <c r="M431" s="28">
        <f t="shared" si="434"/>
        <v>2.0368949535702312E-4</v>
      </c>
      <c r="N431" s="28">
        <f t="shared" si="434"/>
        <v>8.1160978678679305E-5</v>
      </c>
      <c r="O431" s="28">
        <f t="shared" si="434"/>
        <v>1.5131957799216309E-2</v>
      </c>
      <c r="P431" s="28">
        <f t="shared" si="434"/>
        <v>3.6526526497844985E-3</v>
      </c>
      <c r="Q431" s="28">
        <f t="shared" si="434"/>
        <v>1.0116362934601005E-6</v>
      </c>
      <c r="R431" s="28">
        <f t="shared" si="434"/>
        <v>2.5963315248396127E-4</v>
      </c>
      <c r="S431" s="28">
        <f t="shared" si="434"/>
        <v>4.2424899982653092E-5</v>
      </c>
      <c r="T431" s="28">
        <f t="shared" si="434"/>
        <v>8.235225529769092E-5</v>
      </c>
      <c r="U431" s="28">
        <f t="shared" si="434"/>
        <v>1.0576662851879519E-3</v>
      </c>
      <c r="V431" s="28">
        <f t="shared" si="434"/>
        <v>3.5676872627890291E-5</v>
      </c>
      <c r="W431" s="28">
        <f t="shared" si="434"/>
        <v>3.0509952716854956E-4</v>
      </c>
      <c r="X431" s="28">
        <f t="shared" si="434"/>
        <v>8.6426270975554381E-4</v>
      </c>
      <c r="Y431" s="28">
        <f t="shared" si="434"/>
        <v>5.9391946478609789E-4</v>
      </c>
      <c r="Z431" s="28">
        <f t="shared" si="434"/>
        <v>1.9497312214499161E-5</v>
      </c>
      <c r="AA431" s="28">
        <f t="shared" si="434"/>
        <v>5.8631302047567237E-5</v>
      </c>
      <c r="AB431" s="28">
        <f t="shared" si="434"/>
        <v>1.90700119655583E-3</v>
      </c>
      <c r="AC431" s="28">
        <f t="shared" si="434"/>
        <v>1.6760919841654898E-2</v>
      </c>
      <c r="AD431" s="28">
        <f t="shared" si="434"/>
        <v>4.3409851565403103E-4</v>
      </c>
      <c r="AE431" s="28">
        <f t="shared" si="434"/>
        <v>3.9559342388009245E-4</v>
      </c>
      <c r="AF431" s="28">
        <f t="shared" si="434"/>
        <v>1.4901611004447253E-4</v>
      </c>
      <c r="AG431" s="28">
        <f t="shared" si="434"/>
        <v>1.2488921308357825E-4</v>
      </c>
      <c r="AH431" s="28">
        <f t="shared" si="434"/>
        <v>3.087156624780062E-4</v>
      </c>
      <c r="AI431" s="28">
        <f t="shared" si="434"/>
        <v>4.318412805142946E-4</v>
      </c>
      <c r="AJ431" s="28">
        <f t="shared" si="434"/>
        <v>6.689466104295075E-3</v>
      </c>
      <c r="AK431" s="28">
        <f t="shared" si="434"/>
        <v>6.9105423676955944E-4</v>
      </c>
      <c r="AL431" s="28">
        <f t="shared" si="434"/>
        <v>2.3257332613181455E-3</v>
      </c>
      <c r="AM431" s="28">
        <f t="shared" si="434"/>
        <v>7.5639512205408232E-4</v>
      </c>
      <c r="AN431" s="28">
        <f t="shared" si="434"/>
        <v>0</v>
      </c>
      <c r="AO431" s="28">
        <f t="shared" si="434"/>
        <v>8.7555329073929385E-3</v>
      </c>
      <c r="AP431" s="28">
        <f t="shared" si="434"/>
        <v>4.268969789398411E-5</v>
      </c>
      <c r="AQ431" s="28">
        <f t="shared" si="434"/>
        <v>8.2984975610057405E-6</v>
      </c>
      <c r="AR431" s="28">
        <f t="shared" si="434"/>
        <v>1.4868047694040334E-5</v>
      </c>
      <c r="AS431" s="28">
        <f t="shared" si="434"/>
        <v>9.5319215069625244E-7</v>
      </c>
      <c r="AT431" s="28">
        <f t="shared" si="434"/>
        <v>1.4455897948172634E-3</v>
      </c>
      <c r="AU431" s="28">
        <f t="shared" si="434"/>
        <v>7.618637397634483E-4</v>
      </c>
      <c r="AV431" s="28">
        <f t="shared" si="434"/>
        <v>1.506387396791895E-3</v>
      </c>
      <c r="AW431" s="28">
        <f t="shared" si="434"/>
        <v>3.2007329027014417E-4</v>
      </c>
      <c r="AX431" s="28">
        <f t="shared" si="434"/>
        <v>2.2042817016609749E-4</v>
      </c>
      <c r="AY431" s="28">
        <f t="shared" si="434"/>
        <v>4.9819333681422511E-3</v>
      </c>
      <c r="AZ431" s="28">
        <f t="shared" si="434"/>
        <v>3.609577711598051E-3</v>
      </c>
      <c r="BA431" s="28">
        <f t="shared" si="434"/>
        <v>3.5979153399039616E-4</v>
      </c>
      <c r="BB431" s="28">
        <f t="shared" si="434"/>
        <v>9.9761226574001252E-6</v>
      </c>
      <c r="BC431" s="28">
        <f t="shared" si="434"/>
        <v>2.4642740366097391E-4</v>
      </c>
      <c r="BD431" s="28">
        <f t="shared" si="434"/>
        <v>7.0961672761221935E-5</v>
      </c>
      <c r="BE431" s="28">
        <f t="shared" si="434"/>
        <v>1.5827727183762828E-3</v>
      </c>
      <c r="BF431" s="28">
        <f t="shared" si="434"/>
        <v>0</v>
      </c>
      <c r="BG431" s="28">
        <f t="shared" si="434"/>
        <v>1.0517185978179796E-5</v>
      </c>
      <c r="BH431" s="28">
        <f t="shared" si="434"/>
        <v>5.1500135401187934E-4</v>
      </c>
      <c r="BI431" s="28">
        <f t="shared" si="434"/>
        <v>0</v>
      </c>
      <c r="BJ431" s="28">
        <f t="shared" si="434"/>
        <v>1.0070491123651603E-5</v>
      </c>
      <c r="BK431" s="28">
        <f t="shared" si="434"/>
        <v>1.1906374540179776E-5</v>
      </c>
      <c r="BL431" s="28">
        <f t="shared" si="434"/>
        <v>2.018888018483508E-9</v>
      </c>
      <c r="BM431" s="28">
        <f t="shared" si="434"/>
        <v>2.0868326299711666E-6</v>
      </c>
      <c r="BN431" s="28">
        <f t="shared" si="434"/>
        <v>0</v>
      </c>
      <c r="BO431" s="28">
        <f t="shared" si="434"/>
        <v>0</v>
      </c>
      <c r="BP431" s="28">
        <f t="shared" si="434"/>
        <v>1.1726297249985703E-5</v>
      </c>
      <c r="BQ431" s="28">
        <f t="shared" si="434"/>
        <v>9.5614346207775189E-6</v>
      </c>
      <c r="BR431" s="28">
        <f t="shared" ref="BR431" si="435">BR428*BR$161</f>
        <v>0</v>
      </c>
    </row>
    <row r="432" spans="1:70" x14ac:dyDescent="0.3">
      <c r="B432" s="2" t="s">
        <v>21</v>
      </c>
      <c r="C432" s="28"/>
      <c r="D432" s="328"/>
      <c r="E432" s="30">
        <f t="shared" ref="E432:E434" si="436">SUM(F432:BR432)</f>
        <v>0.10995348797419853</v>
      </c>
      <c r="F432" s="28">
        <f>F428*F$160</f>
        <v>5.8393610627841702E-5</v>
      </c>
      <c r="G432" s="28">
        <f t="shared" ref="G432:BR432" si="437">G428*G$160</f>
        <v>2.5343347781413555E-4</v>
      </c>
      <c r="H432" s="28">
        <f t="shared" si="437"/>
        <v>5.5359721045148313E-6</v>
      </c>
      <c r="I432" s="28">
        <f t="shared" si="437"/>
        <v>7.1365891868724385E-2</v>
      </c>
      <c r="J432" s="28">
        <f t="shared" si="437"/>
        <v>3.6981882228471162E-5</v>
      </c>
      <c r="K432" s="28">
        <f t="shared" si="437"/>
        <v>5.8981159161838768E-5</v>
      </c>
      <c r="L432" s="28">
        <f t="shared" si="437"/>
        <v>2.3060595203299122E-4</v>
      </c>
      <c r="M432" s="28">
        <f t="shared" si="437"/>
        <v>7.3314064052578301E-5</v>
      </c>
      <c r="N432" s="28">
        <f t="shared" si="437"/>
        <v>4.8265226827236071E-5</v>
      </c>
      <c r="O432" s="28">
        <f t="shared" si="437"/>
        <v>2.2672948236822209E-3</v>
      </c>
      <c r="P432" s="28">
        <f t="shared" si="437"/>
        <v>5.408505690325413E-4</v>
      </c>
      <c r="Q432" s="28">
        <f t="shared" si="437"/>
        <v>2.8779588244528947E-7</v>
      </c>
      <c r="R432" s="28">
        <f t="shared" si="437"/>
        <v>2.6491491361274589E-4</v>
      </c>
      <c r="S432" s="28">
        <f t="shared" si="437"/>
        <v>9.0209820078045243E-5</v>
      </c>
      <c r="T432" s="28">
        <f t="shared" si="437"/>
        <v>2.8819448975267656E-5</v>
      </c>
      <c r="U432" s="28">
        <f t="shared" si="437"/>
        <v>4.6108431027440155E-4</v>
      </c>
      <c r="V432" s="28">
        <f t="shared" si="437"/>
        <v>5.0374094240917012E-6</v>
      </c>
      <c r="W432" s="28">
        <f t="shared" si="437"/>
        <v>4.1048359437065727E-5</v>
      </c>
      <c r="X432" s="28">
        <f t="shared" si="437"/>
        <v>4.4607790831568175E-4</v>
      </c>
      <c r="Y432" s="28">
        <f t="shared" si="437"/>
        <v>7.4839258490718962E-5</v>
      </c>
      <c r="Z432" s="28">
        <f t="shared" si="437"/>
        <v>4.7948840976620535E-6</v>
      </c>
      <c r="AA432" s="28">
        <f t="shared" si="437"/>
        <v>3.8241238305392125E-5</v>
      </c>
      <c r="AB432" s="28">
        <f t="shared" si="437"/>
        <v>1.0464752984595954E-3</v>
      </c>
      <c r="AC432" s="28">
        <f t="shared" si="437"/>
        <v>9.9886522564528405E-3</v>
      </c>
      <c r="AD432" s="28">
        <f t="shared" si="437"/>
        <v>7.1885527639637827E-5</v>
      </c>
      <c r="AE432" s="28">
        <f t="shared" si="437"/>
        <v>1.4615438795465528E-4</v>
      </c>
      <c r="AF432" s="28">
        <f t="shared" si="437"/>
        <v>1.8311446110301786E-4</v>
      </c>
      <c r="AG432" s="28">
        <f t="shared" si="437"/>
        <v>4.8831458643436652E-5</v>
      </c>
      <c r="AH432" s="28">
        <f t="shared" si="437"/>
        <v>2.3945444825959427E-4</v>
      </c>
      <c r="AI432" s="28">
        <f t="shared" si="437"/>
        <v>5.9115724811988795E-4</v>
      </c>
      <c r="AJ432" s="28">
        <f t="shared" si="437"/>
        <v>2.2287835768054973E-3</v>
      </c>
      <c r="AK432" s="28">
        <f t="shared" si="437"/>
        <v>4.9218486230147014E-4</v>
      </c>
      <c r="AL432" s="28">
        <f t="shared" si="437"/>
        <v>6.8808288004012074E-3</v>
      </c>
      <c r="AM432" s="28">
        <f t="shared" si="437"/>
        <v>3.8936836646192349E-4</v>
      </c>
      <c r="AN432" s="28">
        <f t="shared" si="437"/>
        <v>1.7412427278975827E-5</v>
      </c>
      <c r="AO432" s="28">
        <f t="shared" si="437"/>
        <v>2.1588703456902275E-3</v>
      </c>
      <c r="AP432" s="28">
        <f t="shared" si="437"/>
        <v>1.1885140709304553E-5</v>
      </c>
      <c r="AQ432" s="28">
        <f t="shared" si="437"/>
        <v>6.3817638907702449E-5</v>
      </c>
      <c r="AR432" s="28">
        <f t="shared" si="437"/>
        <v>6.4712869812506472E-5</v>
      </c>
      <c r="AS432" s="28">
        <f t="shared" si="437"/>
        <v>1.3866773638935854E-4</v>
      </c>
      <c r="AT432" s="28">
        <f t="shared" si="437"/>
        <v>4.2316885175213413E-4</v>
      </c>
      <c r="AU432" s="28">
        <f t="shared" si="437"/>
        <v>1.6232430592515775E-4</v>
      </c>
      <c r="AV432" s="28">
        <f t="shared" si="437"/>
        <v>8.029518488246012E-4</v>
      </c>
      <c r="AW432" s="28">
        <f t="shared" si="437"/>
        <v>6.5715205800543765E-5</v>
      </c>
      <c r="AX432" s="28">
        <f t="shared" si="437"/>
        <v>1.002108639306499E-4</v>
      </c>
      <c r="AY432" s="28">
        <f t="shared" si="437"/>
        <v>3.550687141600718E-3</v>
      </c>
      <c r="AZ432" s="28">
        <f t="shared" si="437"/>
        <v>5.2490579804519762E-4</v>
      </c>
      <c r="BA432" s="28">
        <f t="shared" si="437"/>
        <v>1.3205481958750186E-4</v>
      </c>
      <c r="BB432" s="28">
        <f t="shared" si="437"/>
        <v>2.0172264270680229E-4</v>
      </c>
      <c r="BC432" s="28">
        <f t="shared" si="437"/>
        <v>6.7807289742793177E-5</v>
      </c>
      <c r="BD432" s="28">
        <f t="shared" si="437"/>
        <v>1.9977940590286751E-5</v>
      </c>
      <c r="BE432" s="28">
        <f t="shared" si="437"/>
        <v>2.131138028401577E-3</v>
      </c>
      <c r="BF432" s="28">
        <f t="shared" si="437"/>
        <v>1.7807279338299993E-5</v>
      </c>
      <c r="BG432" s="28">
        <f t="shared" si="437"/>
        <v>5.6685447279864276E-6</v>
      </c>
      <c r="BH432" s="28">
        <f t="shared" si="437"/>
        <v>2.5917502871997448E-4</v>
      </c>
      <c r="BI432" s="28">
        <f t="shared" si="437"/>
        <v>1.2274584737656603E-4</v>
      </c>
      <c r="BJ432" s="28">
        <f t="shared" si="437"/>
        <v>7.3642957524727406E-5</v>
      </c>
      <c r="BK432" s="28">
        <f t="shared" si="437"/>
        <v>4.6046428652976822E-5</v>
      </c>
      <c r="BL432" s="28">
        <f t="shared" si="437"/>
        <v>8.0233314138716417E-8</v>
      </c>
      <c r="BM432" s="28">
        <f t="shared" si="437"/>
        <v>4.7978375063176513E-6</v>
      </c>
      <c r="BN432" s="28">
        <f t="shared" si="437"/>
        <v>3.0179431756966991E-5</v>
      </c>
      <c r="BO432" s="28">
        <f t="shared" si="437"/>
        <v>1.5607787140318527E-5</v>
      </c>
      <c r="BP432" s="28">
        <f t="shared" si="437"/>
        <v>1.8265350865167448E-5</v>
      </c>
      <c r="BQ432" s="28">
        <f t="shared" si="437"/>
        <v>1.9645705794052328E-5</v>
      </c>
      <c r="BR432" s="28">
        <f t="shared" si="437"/>
        <v>0</v>
      </c>
    </row>
    <row r="433" spans="1:70" x14ac:dyDescent="0.3">
      <c r="B433" s="3" t="s">
        <v>44</v>
      </c>
      <c r="C433" s="28"/>
      <c r="D433" s="328"/>
      <c r="E433" s="30">
        <f t="shared" si="436"/>
        <v>0.79733638730321321</v>
      </c>
      <c r="F433" s="28">
        <f t="shared" ref="F433:BQ433" si="438">F428*F$162</f>
        <v>1.5176699857958107E-4</v>
      </c>
      <c r="G433" s="28">
        <f t="shared" si="438"/>
        <v>1.1954795557336643E-3</v>
      </c>
      <c r="H433" s="28">
        <f t="shared" si="438"/>
        <v>1.5338276182565266E-5</v>
      </c>
      <c r="I433" s="28">
        <f t="shared" si="438"/>
        <v>0.58645097684371117</v>
      </c>
      <c r="J433" s="28">
        <f t="shared" si="438"/>
        <v>2.1083675598641613E-4</v>
      </c>
      <c r="K433" s="28">
        <f t="shared" si="438"/>
        <v>5.2540204203932234E-4</v>
      </c>
      <c r="L433" s="28">
        <f t="shared" si="438"/>
        <v>1.4660809189956359E-3</v>
      </c>
      <c r="M433" s="28">
        <f t="shared" si="438"/>
        <v>4.1142750916442564E-4</v>
      </c>
      <c r="N433" s="28">
        <f t="shared" si="438"/>
        <v>3.0489776011851516E-4</v>
      </c>
      <c r="O433" s="28">
        <f t="shared" si="438"/>
        <v>2.3732383683621436E-2</v>
      </c>
      <c r="P433" s="28">
        <f t="shared" si="438"/>
        <v>6.4384520136836088E-3</v>
      </c>
      <c r="Q433" s="28">
        <f t="shared" si="438"/>
        <v>4.8241525051315437E-6</v>
      </c>
      <c r="R433" s="28">
        <f t="shared" si="438"/>
        <v>1.8243591055454483E-3</v>
      </c>
      <c r="S433" s="28">
        <f t="shared" si="438"/>
        <v>3.5385788469908527E-4</v>
      </c>
      <c r="T433" s="28">
        <f t="shared" si="438"/>
        <v>3.4447991361750453E-4</v>
      </c>
      <c r="U433" s="28">
        <f t="shared" si="438"/>
        <v>5.1694522324025587E-3</v>
      </c>
      <c r="V433" s="28">
        <f t="shared" si="438"/>
        <v>8.8910381720352892E-5</v>
      </c>
      <c r="W433" s="28">
        <f t="shared" si="438"/>
        <v>9.1126525326362239E-4</v>
      </c>
      <c r="X433" s="28">
        <f t="shared" si="438"/>
        <v>5.0589600271317625E-3</v>
      </c>
      <c r="Y433" s="28">
        <f t="shared" si="438"/>
        <v>1.3393160542646103E-3</v>
      </c>
      <c r="Z433" s="28">
        <f t="shared" si="438"/>
        <v>5.4320110443197876E-5</v>
      </c>
      <c r="AA433" s="28">
        <f t="shared" si="438"/>
        <v>3.3898410934800354E-4</v>
      </c>
      <c r="AB433" s="28">
        <f t="shared" si="438"/>
        <v>1.1579715099937531E-2</v>
      </c>
      <c r="AC433" s="28">
        <f t="shared" si="438"/>
        <v>3.4190155810624595E-2</v>
      </c>
      <c r="AD433" s="28">
        <f t="shared" si="438"/>
        <v>6.8719058122242811E-4</v>
      </c>
      <c r="AE433" s="28">
        <f t="shared" si="438"/>
        <v>8.4275627779888129E-4</v>
      </c>
      <c r="AF433" s="28">
        <f t="shared" si="438"/>
        <v>5.3021071558611221E-4</v>
      </c>
      <c r="AG433" s="28">
        <f t="shared" si="438"/>
        <v>3.0181483228448381E-4</v>
      </c>
      <c r="AH433" s="28">
        <f t="shared" si="438"/>
        <v>1.9681638964444779E-3</v>
      </c>
      <c r="AI433" s="28">
        <f t="shared" si="438"/>
        <v>3.9694971213503419E-3</v>
      </c>
      <c r="AJ433" s="28">
        <f t="shared" si="438"/>
        <v>1.7548242458835964E-2</v>
      </c>
      <c r="AK433" s="28">
        <f t="shared" si="438"/>
        <v>4.3290613400483388E-3</v>
      </c>
      <c r="AL433" s="28">
        <f t="shared" si="438"/>
        <v>2.0150227621331923E-2</v>
      </c>
      <c r="AM433" s="28">
        <f t="shared" si="438"/>
        <v>1.4425718868817073E-3</v>
      </c>
      <c r="AN433" s="28">
        <f t="shared" si="438"/>
        <v>1.0613497079205091E-4</v>
      </c>
      <c r="AO433" s="28">
        <f t="shared" si="438"/>
        <v>1.6712111124139572E-2</v>
      </c>
      <c r="AP433" s="28">
        <f t="shared" si="438"/>
        <v>3.7650953213916359E-4</v>
      </c>
      <c r="AQ433" s="28">
        <f t="shared" si="438"/>
        <v>4.3211052993588519E-4</v>
      </c>
      <c r="AR433" s="28">
        <f t="shared" si="438"/>
        <v>3.8280305474594446E-4</v>
      </c>
      <c r="AS433" s="28">
        <f t="shared" si="438"/>
        <v>2.8927107400939254E-4</v>
      </c>
      <c r="AT433" s="28">
        <f t="shared" si="438"/>
        <v>2.4804005134800777E-3</v>
      </c>
      <c r="AU433" s="28">
        <f t="shared" si="438"/>
        <v>3.0833593429400938E-3</v>
      </c>
      <c r="AV433" s="28">
        <f t="shared" si="438"/>
        <v>3.9883405778364739E-3</v>
      </c>
      <c r="AW433" s="28">
        <f t="shared" si="438"/>
        <v>7.3518899419313841E-4</v>
      </c>
      <c r="AX433" s="28">
        <f t="shared" si="438"/>
        <v>6.6984231107620812E-4</v>
      </c>
      <c r="AY433" s="28">
        <f t="shared" si="438"/>
        <v>9.5917684760989906E-3</v>
      </c>
      <c r="AZ433" s="28">
        <f t="shared" si="438"/>
        <v>8.4037466569346856E-3</v>
      </c>
      <c r="BA433" s="28">
        <f t="shared" si="438"/>
        <v>1.3776865778623289E-3</v>
      </c>
      <c r="BB433" s="28">
        <f t="shared" si="438"/>
        <v>1.5026657789625054E-3</v>
      </c>
      <c r="BC433" s="28">
        <f t="shared" si="438"/>
        <v>8.2321693363556403E-4</v>
      </c>
      <c r="BD433" s="28">
        <f t="shared" si="438"/>
        <v>2.6918688188645403E-4</v>
      </c>
      <c r="BE433" s="28">
        <f t="shared" si="438"/>
        <v>4.4579305143322015E-3</v>
      </c>
      <c r="BF433" s="28">
        <f t="shared" si="438"/>
        <v>1.3558233709995142E-3</v>
      </c>
      <c r="BG433" s="28">
        <f t="shared" si="438"/>
        <v>6.2071586088066245E-5</v>
      </c>
      <c r="BH433" s="28">
        <f t="shared" si="438"/>
        <v>3.7865946548505712E-3</v>
      </c>
      <c r="BI433" s="28">
        <f t="shared" si="438"/>
        <v>7.173669711022637E-4</v>
      </c>
      <c r="BJ433" s="28">
        <f t="shared" si="438"/>
        <v>8.2950535472471046E-4</v>
      </c>
      <c r="BK433" s="28">
        <f t="shared" si="438"/>
        <v>4.4979887353178505E-4</v>
      </c>
      <c r="BL433" s="28">
        <f t="shared" si="438"/>
        <v>9.8624156179915173E-7</v>
      </c>
      <c r="BM433" s="28">
        <f t="shared" si="438"/>
        <v>2.8351075787767433E-5</v>
      </c>
      <c r="BN433" s="28">
        <f t="shared" si="438"/>
        <v>9.5540279137695173E-5</v>
      </c>
      <c r="BO433" s="28">
        <f t="shared" si="438"/>
        <v>2.1743505621454027E-4</v>
      </c>
      <c r="BP433" s="28">
        <f t="shared" si="438"/>
        <v>9.5059617364274515E-5</v>
      </c>
      <c r="BQ433" s="28">
        <f t="shared" si="438"/>
        <v>8.4201151745377483E-5</v>
      </c>
      <c r="BR433" s="28">
        <f t="shared" ref="BR433" si="439">BR428*BR$162</f>
        <v>0</v>
      </c>
    </row>
    <row r="434" spans="1:70" x14ac:dyDescent="0.3">
      <c r="B434" s="3" t="s">
        <v>25</v>
      </c>
      <c r="C434" s="28"/>
      <c r="D434" s="328"/>
      <c r="E434" s="30">
        <f t="shared" si="436"/>
        <v>0.17659593907603541</v>
      </c>
      <c r="F434" s="28">
        <f t="shared" ref="F434:BQ434" si="440">F428*F$164</f>
        <v>1.1017426635623541E-4</v>
      </c>
      <c r="G434" s="28">
        <f t="shared" si="440"/>
        <v>1.8184581520775059E-4</v>
      </c>
      <c r="H434" s="28">
        <f t="shared" si="440"/>
        <v>9.7856292715780999E-6</v>
      </c>
      <c r="I434" s="28">
        <f t="shared" si="440"/>
        <v>0</v>
      </c>
      <c r="J434" s="28">
        <f t="shared" si="440"/>
        <v>7.2287663537829729E-4</v>
      </c>
      <c r="K434" s="28">
        <f t="shared" si="440"/>
        <v>2.2029757017573721E-3</v>
      </c>
      <c r="L434" s="28">
        <f t="shared" si="440"/>
        <v>1.2137489160823924E-3</v>
      </c>
      <c r="M434" s="28">
        <f t="shared" si="440"/>
        <v>1.4663886388332228E-3</v>
      </c>
      <c r="N434" s="28">
        <f t="shared" si="440"/>
        <v>1.1441171538147066E-5</v>
      </c>
      <c r="O434" s="28">
        <f t="shared" si="440"/>
        <v>0</v>
      </c>
      <c r="P434" s="28">
        <f t="shared" si="440"/>
        <v>5.2030983882960416E-2</v>
      </c>
      <c r="Q434" s="28">
        <f t="shared" si="440"/>
        <v>1.5538510088071599E-4</v>
      </c>
      <c r="R434" s="28">
        <f t="shared" si="440"/>
        <v>9.8489882874407304E-3</v>
      </c>
      <c r="S434" s="28">
        <f t="shared" si="440"/>
        <v>6.789670472414841E-4</v>
      </c>
      <c r="T434" s="28">
        <f t="shared" si="440"/>
        <v>1.1995170312222485E-2</v>
      </c>
      <c r="U434" s="28">
        <f t="shared" si="440"/>
        <v>1.0409161720350916E-2</v>
      </c>
      <c r="V434" s="28">
        <f t="shared" si="440"/>
        <v>1.0684804867684462E-3</v>
      </c>
      <c r="W434" s="28">
        <f t="shared" si="440"/>
        <v>5.0532460195415723E-3</v>
      </c>
      <c r="X434" s="28">
        <f t="shared" si="440"/>
        <v>3.3856671952687462E-2</v>
      </c>
      <c r="Y434" s="28">
        <f t="shared" si="440"/>
        <v>9.5856023275272539E-3</v>
      </c>
      <c r="Z434" s="28">
        <f t="shared" si="440"/>
        <v>3.5134462979014068E-4</v>
      </c>
      <c r="AA434" s="28">
        <f t="shared" si="440"/>
        <v>5.8752528975963673E-4</v>
      </c>
      <c r="AB434" s="28">
        <f t="shared" si="440"/>
        <v>9.2550445563827641E-4</v>
      </c>
      <c r="AC434" s="28">
        <f t="shared" si="440"/>
        <v>5.1350447775755067E-3</v>
      </c>
      <c r="AD434" s="28">
        <f t="shared" si="440"/>
        <v>0</v>
      </c>
      <c r="AE434" s="28">
        <f t="shared" si="440"/>
        <v>0</v>
      </c>
      <c r="AF434" s="28">
        <f t="shared" si="440"/>
        <v>0</v>
      </c>
      <c r="AG434" s="28">
        <f t="shared" si="440"/>
        <v>2.6138968560991774E-4</v>
      </c>
      <c r="AH434" s="28">
        <f t="shared" si="440"/>
        <v>1.8089419786678317E-4</v>
      </c>
      <c r="AI434" s="28">
        <f t="shared" si="440"/>
        <v>4.7606005396113763E-5</v>
      </c>
      <c r="AJ434" s="28">
        <f t="shared" si="440"/>
        <v>0</v>
      </c>
      <c r="AK434" s="28">
        <f t="shared" si="440"/>
        <v>0</v>
      </c>
      <c r="AL434" s="28">
        <f t="shared" si="440"/>
        <v>3.8918426777680131E-3</v>
      </c>
      <c r="AM434" s="28">
        <f t="shared" si="440"/>
        <v>2.2384778963260485E-3</v>
      </c>
      <c r="AN434" s="28">
        <f t="shared" si="440"/>
        <v>4.7705551785535494E-4</v>
      </c>
      <c r="AO434" s="28">
        <f t="shared" si="440"/>
        <v>7.092701639178467E-3</v>
      </c>
      <c r="AP434" s="28">
        <f t="shared" si="440"/>
        <v>8.2060986888091291E-5</v>
      </c>
      <c r="AQ434" s="28">
        <f t="shared" si="440"/>
        <v>1.2848913794794462E-4</v>
      </c>
      <c r="AR434" s="28">
        <f t="shared" si="440"/>
        <v>2.4399050686182644E-4</v>
      </c>
      <c r="AS434" s="28">
        <f t="shared" si="440"/>
        <v>1.2483188399713428E-4</v>
      </c>
      <c r="AT434" s="28">
        <f t="shared" si="440"/>
        <v>1.2067428214289069E-3</v>
      </c>
      <c r="AU434" s="28">
        <f t="shared" si="440"/>
        <v>8.4695355525506904E-4</v>
      </c>
      <c r="AV434" s="28">
        <f t="shared" si="440"/>
        <v>1.0152265732379542E-3</v>
      </c>
      <c r="AW434" s="28">
        <f t="shared" si="440"/>
        <v>2.6220915344529888E-5</v>
      </c>
      <c r="AX434" s="28">
        <f t="shared" si="440"/>
        <v>4.9851027435250809E-5</v>
      </c>
      <c r="AY434" s="28">
        <f t="shared" si="440"/>
        <v>4.4105533017023577E-5</v>
      </c>
      <c r="AZ434" s="28">
        <f t="shared" si="440"/>
        <v>6.7065923496909723E-3</v>
      </c>
      <c r="BA434" s="28">
        <f t="shared" si="440"/>
        <v>3.7691692986890717E-4</v>
      </c>
      <c r="BB434" s="28">
        <f t="shared" si="440"/>
        <v>1.5667858646747912E-4</v>
      </c>
      <c r="BC434" s="28">
        <f t="shared" si="440"/>
        <v>3.646180255126233E-4</v>
      </c>
      <c r="BD434" s="28">
        <f t="shared" si="440"/>
        <v>3.4107239005069503E-5</v>
      </c>
      <c r="BE434" s="28">
        <f t="shared" si="440"/>
        <v>3.3112301294324648E-3</v>
      </c>
      <c r="BF434" s="28">
        <f t="shared" si="440"/>
        <v>7.7443547594415454E-6</v>
      </c>
      <c r="BG434" s="28">
        <f t="shared" si="440"/>
        <v>0</v>
      </c>
      <c r="BH434" s="28">
        <f t="shared" si="440"/>
        <v>4.9876379653889491E-5</v>
      </c>
      <c r="BI434" s="28">
        <f t="shared" si="440"/>
        <v>3.7361140250853348E-6</v>
      </c>
      <c r="BJ434" s="28">
        <f t="shared" si="440"/>
        <v>1.8516730914955314E-5</v>
      </c>
      <c r="BK434" s="28">
        <f t="shared" si="440"/>
        <v>4.2807963788818891E-6</v>
      </c>
      <c r="BL434" s="28">
        <f t="shared" si="440"/>
        <v>0</v>
      </c>
      <c r="BM434" s="28">
        <f t="shared" si="440"/>
        <v>1.6200510572615172E-6</v>
      </c>
      <c r="BN434" s="28">
        <f t="shared" si="440"/>
        <v>2.5534144107752379E-7</v>
      </c>
      <c r="BO434" s="28">
        <f t="shared" si="440"/>
        <v>0</v>
      </c>
      <c r="BP434" s="28">
        <f t="shared" si="440"/>
        <v>0</v>
      </c>
      <c r="BQ434" s="28">
        <f t="shared" si="440"/>
        <v>1.2421602759114937E-8</v>
      </c>
      <c r="BR434" s="28">
        <f t="shared" ref="BR434" si="441">BR428*BR$164</f>
        <v>0</v>
      </c>
    </row>
    <row r="435" spans="1:70" x14ac:dyDescent="0.3">
      <c r="A435" s="73">
        <v>10</v>
      </c>
      <c r="B435" s="16" t="s">
        <v>124</v>
      </c>
      <c r="D435" s="244"/>
    </row>
    <row r="436" spans="1:70" x14ac:dyDescent="0.3">
      <c r="A436" s="3">
        <f>A426+1</f>
        <v>4</v>
      </c>
      <c r="B436" s="7" t="s">
        <v>61</v>
      </c>
      <c r="D436" s="327" t="s">
        <v>235</v>
      </c>
      <c r="E436" s="88">
        <f>HLOOKUP(A435,$F$305:$BK$372,A435+2)</f>
        <v>1.0354558914448357</v>
      </c>
    </row>
    <row r="437" spans="1:70" x14ac:dyDescent="0.3">
      <c r="D437" s="327" t="s">
        <v>60</v>
      </c>
      <c r="E437" s="88">
        <f>HLOOKUP(A435,$F$305:$BK$372,68)-E436</f>
        <v>0.99492331600444461</v>
      </c>
      <c r="F437" s="32"/>
    </row>
    <row r="438" spans="1:70" x14ac:dyDescent="0.3">
      <c r="C438" s="29"/>
      <c r="D438" s="327" t="s">
        <v>201</v>
      </c>
      <c r="E438" s="30">
        <f>E437+E436</f>
        <v>2.0303792074492804</v>
      </c>
      <c r="F438" s="95">
        <f t="shared" ref="F438:BQ438" si="442">HLOOKUP($A435,$F$305:$BK$372,F$305+2)</f>
        <v>5.0456040803469927E-4</v>
      </c>
      <c r="G438" s="95">
        <f t="shared" si="442"/>
        <v>1.7802713077490684E-3</v>
      </c>
      <c r="H438" s="95">
        <f t="shared" si="442"/>
        <v>4.8218990954753108E-5</v>
      </c>
      <c r="I438" s="95">
        <f t="shared" si="442"/>
        <v>0.37282811886168121</v>
      </c>
      <c r="J438" s="95">
        <f t="shared" si="442"/>
        <v>1.5744330371859204E-3</v>
      </c>
      <c r="K438" s="95">
        <f t="shared" si="442"/>
        <v>3.2633525786440313E-3</v>
      </c>
      <c r="L438" s="95">
        <f t="shared" si="442"/>
        <v>5.3771962625171026E-3</v>
      </c>
      <c r="M438" s="95">
        <f t="shared" si="442"/>
        <v>2.2985906547452304E-3</v>
      </c>
      <c r="N438" s="95">
        <f t="shared" si="442"/>
        <v>1.4471970668644902E-3</v>
      </c>
      <c r="O438" s="95">
        <f t="shared" si="442"/>
        <v>1.0354558914448357</v>
      </c>
      <c r="P438" s="95">
        <f t="shared" si="442"/>
        <v>5.1895744580060202E-2</v>
      </c>
      <c r="Q438" s="95">
        <f t="shared" si="442"/>
        <v>1.7127529479779756E-4</v>
      </c>
      <c r="R438" s="95">
        <f t="shared" si="442"/>
        <v>8.3608611899706788E-3</v>
      </c>
      <c r="S438" s="95">
        <f t="shared" si="442"/>
        <v>3.4050845564984182E-3</v>
      </c>
      <c r="T438" s="95">
        <f t="shared" si="442"/>
        <v>1.5436549469639032E-2</v>
      </c>
      <c r="U438" s="95">
        <f t="shared" si="442"/>
        <v>3.4512199328337739E-2</v>
      </c>
      <c r="V438" s="95">
        <f t="shared" si="442"/>
        <v>3.1108311954713779E-3</v>
      </c>
      <c r="W438" s="95">
        <f t="shared" si="442"/>
        <v>6.8094969350492402E-3</v>
      </c>
      <c r="X438" s="95">
        <f t="shared" si="442"/>
        <v>3.1711916789142175E-2</v>
      </c>
      <c r="Y438" s="95">
        <f t="shared" si="442"/>
        <v>7.4458015222511609E-3</v>
      </c>
      <c r="Z438" s="95">
        <f t="shared" si="442"/>
        <v>6.0330548601849753E-4</v>
      </c>
      <c r="AA438" s="95">
        <f t="shared" si="442"/>
        <v>1.205514830679093E-3</v>
      </c>
      <c r="AB438" s="95">
        <f t="shared" si="442"/>
        <v>3.9050594026458579E-2</v>
      </c>
      <c r="AC438" s="95">
        <f t="shared" si="442"/>
        <v>6.3112080683826094E-2</v>
      </c>
      <c r="AD438" s="95">
        <f t="shared" si="442"/>
        <v>2.2051051247319067E-2</v>
      </c>
      <c r="AE438" s="95">
        <f t="shared" si="442"/>
        <v>9.7789399060407758E-3</v>
      </c>
      <c r="AF438" s="95">
        <f t="shared" si="442"/>
        <v>7.9964289597301078E-3</v>
      </c>
      <c r="AG438" s="95">
        <f t="shared" si="442"/>
        <v>8.7275668338005312E-3</v>
      </c>
      <c r="AH438" s="95">
        <f t="shared" si="442"/>
        <v>7.5881571221428469E-3</v>
      </c>
      <c r="AI438" s="95">
        <f t="shared" si="442"/>
        <v>7.4135547209477938E-3</v>
      </c>
      <c r="AJ438" s="95">
        <f t="shared" si="442"/>
        <v>3.1071977236329488E-2</v>
      </c>
      <c r="AK438" s="95">
        <f t="shared" si="442"/>
        <v>6.1515819903957807E-3</v>
      </c>
      <c r="AL438" s="95">
        <f t="shared" si="442"/>
        <v>5.2173833968988087E-2</v>
      </c>
      <c r="AM438" s="95">
        <f t="shared" si="442"/>
        <v>1.3420189898902781E-2</v>
      </c>
      <c r="AN438" s="95">
        <f t="shared" si="442"/>
        <v>1.3010395622888033E-3</v>
      </c>
      <c r="AO438" s="95">
        <f t="shared" si="442"/>
        <v>4.2756138182385647E-2</v>
      </c>
      <c r="AP438" s="95">
        <f t="shared" si="442"/>
        <v>9.4456609110228943E-4</v>
      </c>
      <c r="AQ438" s="95">
        <f t="shared" si="442"/>
        <v>1.8038286149555448E-3</v>
      </c>
      <c r="AR438" s="95">
        <f t="shared" si="442"/>
        <v>3.7518521839835068E-3</v>
      </c>
      <c r="AS438" s="95">
        <f t="shared" si="442"/>
        <v>1.6257502401204901E-3</v>
      </c>
      <c r="AT438" s="95">
        <f t="shared" si="442"/>
        <v>6.5668937321394782E-3</v>
      </c>
      <c r="AU438" s="95">
        <f t="shared" si="442"/>
        <v>5.0758986391790505E-3</v>
      </c>
      <c r="AV438" s="95">
        <f t="shared" si="442"/>
        <v>1.0158281165924186E-2</v>
      </c>
      <c r="AW438" s="95">
        <f t="shared" si="442"/>
        <v>2.0922792762871111E-3</v>
      </c>
      <c r="AX438" s="95">
        <f t="shared" si="442"/>
        <v>1.9179891057660027E-3</v>
      </c>
      <c r="AY438" s="95">
        <f t="shared" si="442"/>
        <v>1.1727019909317956E-2</v>
      </c>
      <c r="AZ438" s="95">
        <f t="shared" si="442"/>
        <v>4.40546464622983E-2</v>
      </c>
      <c r="BA438" s="95">
        <f t="shared" si="442"/>
        <v>4.6330221537241884E-3</v>
      </c>
      <c r="BB438" s="95">
        <f t="shared" si="442"/>
        <v>3.7347211469686784E-3</v>
      </c>
      <c r="BC438" s="95">
        <f t="shared" si="442"/>
        <v>2.7682047151403621E-3</v>
      </c>
      <c r="BD438" s="95">
        <f t="shared" si="442"/>
        <v>8.6572758510024034E-4</v>
      </c>
      <c r="BE438" s="95">
        <f t="shared" si="442"/>
        <v>1.1427114178222595E-2</v>
      </c>
      <c r="BF438" s="95">
        <f t="shared" si="442"/>
        <v>1.6742097230340205E-3</v>
      </c>
      <c r="BG438" s="95">
        <f t="shared" si="442"/>
        <v>2.1163577643901459E-4</v>
      </c>
      <c r="BH438" s="95">
        <f t="shared" si="442"/>
        <v>8.1452671291194229E-3</v>
      </c>
      <c r="BI438" s="95">
        <f t="shared" si="442"/>
        <v>1.3204063157546697E-3</v>
      </c>
      <c r="BJ438" s="95">
        <f t="shared" si="442"/>
        <v>1.1944963238848059E-3</v>
      </c>
      <c r="BK438" s="95">
        <f t="shared" si="442"/>
        <v>7.6004083062517446E-4</v>
      </c>
      <c r="BL438" s="95">
        <f t="shared" si="442"/>
        <v>1.8888481000941299E-6</v>
      </c>
      <c r="BM438" s="95">
        <f t="shared" si="442"/>
        <v>7.805466596360789E-5</v>
      </c>
      <c r="BN438" s="95">
        <f t="shared" si="442"/>
        <v>2.2185884676771781E-4</v>
      </c>
      <c r="BO438" s="95">
        <f t="shared" si="442"/>
        <v>4.662948144257732E-4</v>
      </c>
      <c r="BP438" s="95">
        <f t="shared" si="442"/>
        <v>2.5091548764550334E-4</v>
      </c>
      <c r="BQ438" s="95">
        <f t="shared" si="442"/>
        <v>1.0667973566064102E-3</v>
      </c>
      <c r="BR438" s="95">
        <f t="shared" ref="BR438" si="443">HLOOKUP($A435,$F$305:$BK$372,BR$305+2)</f>
        <v>0</v>
      </c>
    </row>
    <row r="439" spans="1:70" x14ac:dyDescent="0.3">
      <c r="B439" s="3" t="s">
        <v>110</v>
      </c>
      <c r="C439" s="29"/>
      <c r="D439" s="327"/>
      <c r="E439" s="30">
        <f>SUM(F439:BR439)</f>
        <v>2.5621746429396183E-2</v>
      </c>
      <c r="F439" s="28">
        <f>F438*F$155</f>
        <v>1.1612834368956078E-5</v>
      </c>
      <c r="G439" s="28">
        <f t="shared" ref="G439:BR439" si="444">G438*G$155</f>
        <v>2.1490751003219691E-5</v>
      </c>
      <c r="H439" s="28">
        <f t="shared" si="444"/>
        <v>9.668349098289398E-7</v>
      </c>
      <c r="I439" s="28">
        <f t="shared" si="444"/>
        <v>6.3136924671149388E-3</v>
      </c>
      <c r="J439" s="28">
        <f t="shared" si="444"/>
        <v>1.6457317537600055E-6</v>
      </c>
      <c r="K439" s="28">
        <f t="shared" si="444"/>
        <v>1.3747258544142862E-5</v>
      </c>
      <c r="L439" s="28">
        <f t="shared" si="444"/>
        <v>1.6974021250103765E-5</v>
      </c>
      <c r="M439" s="28">
        <f t="shared" si="444"/>
        <v>1.1919780553512037E-5</v>
      </c>
      <c r="N439" s="28">
        <f t="shared" si="444"/>
        <v>3.0061194475826873E-6</v>
      </c>
      <c r="O439" s="28">
        <f t="shared" si="444"/>
        <v>1.2052418584466505E-2</v>
      </c>
      <c r="P439" s="28">
        <f t="shared" si="444"/>
        <v>5.8286596123407877E-5</v>
      </c>
      <c r="Q439" s="28">
        <f t="shared" si="444"/>
        <v>3.0638293989126347E-8</v>
      </c>
      <c r="R439" s="28">
        <f t="shared" si="444"/>
        <v>1.445114632470759E-5</v>
      </c>
      <c r="S439" s="28">
        <f t="shared" si="444"/>
        <v>1.0386448021282693E-5</v>
      </c>
      <c r="T439" s="28">
        <f t="shared" si="444"/>
        <v>1.0227531880016296E-5</v>
      </c>
      <c r="U439" s="28">
        <f t="shared" si="444"/>
        <v>8.0151327834596288E-5</v>
      </c>
      <c r="V439" s="28">
        <f t="shared" si="444"/>
        <v>2.1664251455701948E-6</v>
      </c>
      <c r="W439" s="28">
        <f t="shared" si="444"/>
        <v>6.016032903320575E-6</v>
      </c>
      <c r="X439" s="28">
        <f t="shared" si="444"/>
        <v>2.7621899204807882E-5</v>
      </c>
      <c r="Y439" s="28">
        <f t="shared" si="444"/>
        <v>5.5926679209671307E-6</v>
      </c>
      <c r="Z439" s="28">
        <f t="shared" si="444"/>
        <v>3.8455164194233544E-7</v>
      </c>
      <c r="AA439" s="28">
        <f t="shared" si="444"/>
        <v>5.2351852922500228E-6</v>
      </c>
      <c r="AB439" s="28">
        <f t="shared" si="444"/>
        <v>1.7898762169516952E-4</v>
      </c>
      <c r="AC439" s="28">
        <f t="shared" si="444"/>
        <v>1.1432292862763127E-4</v>
      </c>
      <c r="AD439" s="28">
        <f t="shared" si="444"/>
        <v>2.1505166206400788E-6</v>
      </c>
      <c r="AE439" s="28">
        <f t="shared" si="444"/>
        <v>3.0916708737498637E-4</v>
      </c>
      <c r="AF439" s="28">
        <f t="shared" si="444"/>
        <v>5.6578565163251958E-5</v>
      </c>
      <c r="AG439" s="28">
        <f t="shared" si="444"/>
        <v>4.1514799039181672E-5</v>
      </c>
      <c r="AH439" s="28">
        <f t="shared" si="444"/>
        <v>8.785737812760984E-5</v>
      </c>
      <c r="AI439" s="28">
        <f t="shared" si="444"/>
        <v>4.6764599975626759E-5</v>
      </c>
      <c r="AJ439" s="28">
        <f t="shared" si="444"/>
        <v>1.7265722881813352E-4</v>
      </c>
      <c r="AK439" s="28">
        <f t="shared" si="444"/>
        <v>3.3225361540306517E-5</v>
      </c>
      <c r="AL439" s="28">
        <f t="shared" si="444"/>
        <v>4.4252834850934553E-3</v>
      </c>
      <c r="AM439" s="28">
        <f t="shared" si="444"/>
        <v>0</v>
      </c>
      <c r="AN439" s="28">
        <f t="shared" si="444"/>
        <v>1.1543403161646776E-6</v>
      </c>
      <c r="AO439" s="28">
        <f t="shared" si="444"/>
        <v>1.0759227917424279E-4</v>
      </c>
      <c r="AP439" s="28">
        <f t="shared" si="444"/>
        <v>1.8967556239833809E-5</v>
      </c>
      <c r="AQ439" s="28">
        <f t="shared" si="444"/>
        <v>7.2467059066705939E-6</v>
      </c>
      <c r="AR439" s="28">
        <f t="shared" si="444"/>
        <v>7.2522886602970231E-6</v>
      </c>
      <c r="AS439" s="28">
        <f t="shared" si="444"/>
        <v>1.3554434448020152E-5</v>
      </c>
      <c r="AT439" s="28">
        <f t="shared" si="444"/>
        <v>7.4145682493129893E-6</v>
      </c>
      <c r="AU439" s="28">
        <f t="shared" si="444"/>
        <v>1.7147180524905876E-5</v>
      </c>
      <c r="AV439" s="28">
        <f t="shared" si="444"/>
        <v>3.0230671063733567E-4</v>
      </c>
      <c r="AW439" s="28">
        <f t="shared" si="444"/>
        <v>8.0689556734959972E-5</v>
      </c>
      <c r="AX439" s="28">
        <f t="shared" si="444"/>
        <v>5.413745307811741E-5</v>
      </c>
      <c r="AY439" s="28">
        <f t="shared" si="444"/>
        <v>2.0205882689675124E-4</v>
      </c>
      <c r="AZ439" s="28">
        <f t="shared" si="444"/>
        <v>1.6778186337241337E-4</v>
      </c>
      <c r="BA439" s="28">
        <f t="shared" si="444"/>
        <v>4.4606522143550069E-5</v>
      </c>
      <c r="BB439" s="28">
        <f t="shared" si="444"/>
        <v>1.0194843561423848E-4</v>
      </c>
      <c r="BC439" s="28">
        <f t="shared" si="444"/>
        <v>1.0749665602569122E-5</v>
      </c>
      <c r="BD439" s="28">
        <f t="shared" si="444"/>
        <v>7.1895771306935095E-6</v>
      </c>
      <c r="BE439" s="28">
        <f t="shared" si="444"/>
        <v>2.06116649501E-5</v>
      </c>
      <c r="BF439" s="28">
        <f t="shared" si="444"/>
        <v>3.316563384711004E-6</v>
      </c>
      <c r="BG439" s="28">
        <f t="shared" si="444"/>
        <v>3.4520468348796519E-7</v>
      </c>
      <c r="BH439" s="28">
        <f t="shared" si="444"/>
        <v>7.9399253514095611E-5</v>
      </c>
      <c r="BI439" s="28">
        <f t="shared" si="444"/>
        <v>6.5758432520780899E-5</v>
      </c>
      <c r="BJ439" s="28">
        <f t="shared" si="444"/>
        <v>4.9086158328577222E-5</v>
      </c>
      <c r="BK439" s="28">
        <f t="shared" si="444"/>
        <v>3.5621433851767774E-5</v>
      </c>
      <c r="BL439" s="28">
        <f t="shared" si="444"/>
        <v>1.0765932613259469E-7</v>
      </c>
      <c r="BM439" s="28">
        <f t="shared" si="444"/>
        <v>3.5369816861521411E-6</v>
      </c>
      <c r="BN439" s="28">
        <f t="shared" si="444"/>
        <v>1.1520542779496147E-5</v>
      </c>
      <c r="BO439" s="28">
        <f t="shared" si="444"/>
        <v>2.8322383098352714E-5</v>
      </c>
      <c r="BP439" s="28">
        <f t="shared" si="444"/>
        <v>6.8040115125137253E-6</v>
      </c>
      <c r="BQ439" s="28">
        <f t="shared" si="444"/>
        <v>2.8983768954547447E-5</v>
      </c>
      <c r="BR439" s="28">
        <f t="shared" si="444"/>
        <v>0</v>
      </c>
    </row>
    <row r="440" spans="1:70" x14ac:dyDescent="0.3">
      <c r="B440" s="3" t="s">
        <v>56</v>
      </c>
      <c r="C440" s="28"/>
      <c r="D440" s="328"/>
      <c r="E440" s="30">
        <f t="shared" ref="E440" si="445">SUM(F440:BR440)</f>
        <v>0.29142466498627345</v>
      </c>
      <c r="F440" s="28">
        <f>F438*F$157</f>
        <v>6.27018862942153E-5</v>
      </c>
      <c r="G440" s="28">
        <f t="shared" ref="G440:BR440" si="446">G438*G$157</f>
        <v>2.1172207762769099E-4</v>
      </c>
      <c r="H440" s="28">
        <f t="shared" si="446"/>
        <v>3.3509634320834807E-6</v>
      </c>
      <c r="I440" s="28">
        <f t="shared" si="446"/>
        <v>9.6567382948002406E-2</v>
      </c>
      <c r="J440" s="28">
        <f t="shared" si="446"/>
        <v>1.2043817741530463E-4</v>
      </c>
      <c r="K440" s="28">
        <f t="shared" si="446"/>
        <v>3.4745194787888105E-4</v>
      </c>
      <c r="L440" s="28">
        <f t="shared" si="446"/>
        <v>6.0228011067184675E-4</v>
      </c>
      <c r="M440" s="28">
        <f t="shared" si="446"/>
        <v>1.0769920620392239E-4</v>
      </c>
      <c r="N440" s="28">
        <f t="shared" si="446"/>
        <v>2.706152689429091E-4</v>
      </c>
      <c r="O440" s="28">
        <f t="shared" si="446"/>
        <v>0.10245224508757941</v>
      </c>
      <c r="P440" s="28">
        <f t="shared" si="446"/>
        <v>1.5171474996114589E-3</v>
      </c>
      <c r="Q440" s="28">
        <f t="shared" si="446"/>
        <v>3.4434778244300697E-6</v>
      </c>
      <c r="R440" s="28">
        <f t="shared" si="446"/>
        <v>6.4239513614432013E-4</v>
      </c>
      <c r="S440" s="28">
        <f t="shared" si="446"/>
        <v>4.0789816951221651E-4</v>
      </c>
      <c r="T440" s="28">
        <f t="shared" si="446"/>
        <v>2.6760370587369434E-4</v>
      </c>
      <c r="U440" s="28">
        <f t="shared" si="446"/>
        <v>3.9991465312278285E-3</v>
      </c>
      <c r="V440" s="28">
        <f t="shared" si="446"/>
        <v>8.0124659158251616E-5</v>
      </c>
      <c r="W440" s="28">
        <f t="shared" si="446"/>
        <v>4.2239092402623305E-4</v>
      </c>
      <c r="X440" s="28">
        <f t="shared" si="446"/>
        <v>2.4389921585579017E-3</v>
      </c>
      <c r="Y440" s="28">
        <f t="shared" si="446"/>
        <v>3.5597917147355321E-4</v>
      </c>
      <c r="Z440" s="28">
        <f t="shared" si="446"/>
        <v>3.6480874776221386E-5</v>
      </c>
      <c r="AA440" s="28">
        <f t="shared" si="446"/>
        <v>1.7429295401500506E-4</v>
      </c>
      <c r="AB440" s="28">
        <f t="shared" si="446"/>
        <v>1.1235083350690823E-2</v>
      </c>
      <c r="AC440" s="28">
        <f t="shared" si="446"/>
        <v>5.5036599769088109E-3</v>
      </c>
      <c r="AD440" s="28">
        <f t="shared" si="446"/>
        <v>5.9609173626649361E-4</v>
      </c>
      <c r="AE440" s="28">
        <f t="shared" si="446"/>
        <v>1.0201561077357267E-3</v>
      </c>
      <c r="AF440" s="28">
        <f t="shared" si="446"/>
        <v>1.6971507046600139E-3</v>
      </c>
      <c r="AG440" s="28">
        <f t="shared" si="446"/>
        <v>7.2967828746231035E-4</v>
      </c>
      <c r="AH440" s="28">
        <f t="shared" si="446"/>
        <v>1.9645242073176475E-3</v>
      </c>
      <c r="AI440" s="28">
        <f t="shared" si="446"/>
        <v>2.3532253547151991E-3</v>
      </c>
      <c r="AJ440" s="28">
        <f t="shared" si="446"/>
        <v>8.0386867027036797E-3</v>
      </c>
      <c r="AK440" s="28">
        <f t="shared" si="446"/>
        <v>2.4098715714800313E-3</v>
      </c>
      <c r="AL440" s="28">
        <f t="shared" si="446"/>
        <v>9.4115928289096977E-3</v>
      </c>
      <c r="AM440" s="28">
        <f t="shared" si="446"/>
        <v>2.6436063191635122E-4</v>
      </c>
      <c r="AN440" s="28">
        <f t="shared" si="446"/>
        <v>9.273341381768904E-5</v>
      </c>
      <c r="AO440" s="28">
        <f t="shared" si="446"/>
        <v>4.5449442381241389E-3</v>
      </c>
      <c r="AP440" s="28">
        <f t="shared" si="446"/>
        <v>3.7924777277772526E-4</v>
      </c>
      <c r="AQ440" s="28">
        <f t="shared" si="446"/>
        <v>4.8219136550793889E-4</v>
      </c>
      <c r="AR440" s="28">
        <f t="shared" si="446"/>
        <v>9.8525766205213123E-4</v>
      </c>
      <c r="AS440" s="28">
        <f t="shared" si="446"/>
        <v>3.7394335335688987E-4</v>
      </c>
      <c r="AT440" s="28">
        <f t="shared" si="446"/>
        <v>5.7873145472963088E-4</v>
      </c>
      <c r="AU440" s="28">
        <f t="shared" si="446"/>
        <v>2.0198163318812632E-3</v>
      </c>
      <c r="AV440" s="28">
        <f t="shared" si="446"/>
        <v>2.162768301455648E-3</v>
      </c>
      <c r="AW440" s="28">
        <f t="shared" si="446"/>
        <v>4.8204589227667747E-4</v>
      </c>
      <c r="AX440" s="28">
        <f t="shared" si="446"/>
        <v>4.4818894742446253E-4</v>
      </c>
      <c r="AY440" s="28">
        <f t="shared" si="446"/>
        <v>7.7479322604147196E-4</v>
      </c>
      <c r="AZ440" s="28">
        <f t="shared" si="446"/>
        <v>9.3245867451069216E-3</v>
      </c>
      <c r="BA440" s="28">
        <f t="shared" si="446"/>
        <v>1.3927860220077897E-3</v>
      </c>
      <c r="BB440" s="28">
        <f t="shared" si="446"/>
        <v>2.217602008743708E-3</v>
      </c>
      <c r="BC440" s="28">
        <f t="shared" si="446"/>
        <v>5.3975514738309114E-4</v>
      </c>
      <c r="BD440" s="28">
        <f t="shared" si="446"/>
        <v>2.8045833415827975E-4</v>
      </c>
      <c r="BE440" s="28">
        <f t="shared" si="446"/>
        <v>7.4661242434061485E-4</v>
      </c>
      <c r="BF440" s="28">
        <f t="shared" si="446"/>
        <v>1.2348678289955943E-3</v>
      </c>
      <c r="BG440" s="28">
        <f t="shared" si="446"/>
        <v>4.6096761783799921E-5</v>
      </c>
      <c r="BH440" s="28">
        <f t="shared" si="446"/>
        <v>3.4831107159028073E-3</v>
      </c>
      <c r="BI440" s="28">
        <f t="shared" si="446"/>
        <v>6.9385613994864107E-4</v>
      </c>
      <c r="BJ440" s="28">
        <f t="shared" si="446"/>
        <v>7.653975017829686E-4</v>
      </c>
      <c r="BK440" s="28">
        <f t="shared" si="446"/>
        <v>3.948733972804374E-4</v>
      </c>
      <c r="BL440" s="28">
        <f t="shared" si="446"/>
        <v>1.1000351200658288E-6</v>
      </c>
      <c r="BM440" s="28">
        <f t="shared" si="446"/>
        <v>2.9608515139573947E-5</v>
      </c>
      <c r="BN440" s="28">
        <f t="shared" si="446"/>
        <v>6.2432580498623618E-5</v>
      </c>
      <c r="BO440" s="28">
        <f t="shared" si="446"/>
        <v>1.8566695796276244E-4</v>
      </c>
      <c r="BP440" s="28">
        <f t="shared" si="446"/>
        <v>7.1258532892494022E-5</v>
      </c>
      <c r="BQ440" s="28">
        <f t="shared" si="446"/>
        <v>3.1406898076309636E-4</v>
      </c>
      <c r="BR440" s="28">
        <f t="shared" si="446"/>
        <v>0</v>
      </c>
    </row>
    <row r="441" spans="1:70" x14ac:dyDescent="0.3">
      <c r="B441" s="2" t="s">
        <v>22</v>
      </c>
      <c r="C441" s="28"/>
      <c r="D441" s="328"/>
      <c r="E441" s="30">
        <f>SUM(F441:BR441)</f>
        <v>0.4085123658217939</v>
      </c>
      <c r="F441" s="28">
        <f t="shared" ref="F441:BQ441" si="447">F438*F$161</f>
        <v>1.3053190525784587E-4</v>
      </c>
      <c r="G441" s="28">
        <f t="shared" si="447"/>
        <v>2.9267395085541672E-4</v>
      </c>
      <c r="H441" s="28">
        <f t="shared" si="447"/>
        <v>6.0651503168349328E-6</v>
      </c>
      <c r="I441" s="28">
        <f t="shared" si="447"/>
        <v>7.2793296671666091E-2</v>
      </c>
      <c r="J441" s="28">
        <f t="shared" si="447"/>
        <v>3.3718359129553323E-5</v>
      </c>
      <c r="K441" s="28">
        <f t="shared" si="447"/>
        <v>4.3089712012182226E-5</v>
      </c>
      <c r="L441" s="28">
        <f t="shared" si="447"/>
        <v>3.2275955328010732E-4</v>
      </c>
      <c r="M441" s="28">
        <f t="shared" si="447"/>
        <v>1.6916996033694795E-4</v>
      </c>
      <c r="N441" s="28">
        <f t="shared" si="447"/>
        <v>1.2452626622059087E-4</v>
      </c>
      <c r="O441" s="28">
        <f t="shared" si="447"/>
        <v>0.26861267873862044</v>
      </c>
      <c r="P441" s="28">
        <f t="shared" si="447"/>
        <v>2.4590932423409774E-3</v>
      </c>
      <c r="Q441" s="28">
        <f t="shared" si="447"/>
        <v>9.8822770612132375E-7</v>
      </c>
      <c r="R441" s="28">
        <f t="shared" si="447"/>
        <v>1.2762575567891574E-4</v>
      </c>
      <c r="S441" s="28">
        <f t="shared" si="447"/>
        <v>7.8737206320758223E-5</v>
      </c>
      <c r="T441" s="28">
        <f t="shared" si="447"/>
        <v>9.4709714568656976E-5</v>
      </c>
      <c r="U441" s="28">
        <f t="shared" si="447"/>
        <v>1.1584796092625348E-3</v>
      </c>
      <c r="V441" s="28">
        <f t="shared" si="447"/>
        <v>5.8617106452289202E-5</v>
      </c>
      <c r="W441" s="28">
        <f t="shared" si="447"/>
        <v>2.2807104756517881E-4</v>
      </c>
      <c r="X441" s="28">
        <f t="shared" si="447"/>
        <v>5.5515520198208687E-4</v>
      </c>
      <c r="Y441" s="28">
        <f t="shared" si="447"/>
        <v>3.154227142728088E-4</v>
      </c>
      <c r="Z441" s="28">
        <f t="shared" si="447"/>
        <v>2.3120120744114318E-5</v>
      </c>
      <c r="AA441" s="28">
        <f t="shared" si="447"/>
        <v>4.2062913217670868E-5</v>
      </c>
      <c r="AB441" s="28">
        <f t="shared" si="447"/>
        <v>2.4817998907861747E-3</v>
      </c>
      <c r="AC441" s="28">
        <f t="shared" si="447"/>
        <v>1.572166271182477E-2</v>
      </c>
      <c r="AD441" s="28">
        <f t="shared" si="447"/>
        <v>1.4338281084180808E-3</v>
      </c>
      <c r="AE441" s="28">
        <f t="shared" si="447"/>
        <v>1.4430284062195624E-3</v>
      </c>
      <c r="AF441" s="28">
        <f t="shared" si="447"/>
        <v>1.6155828607158505E-3</v>
      </c>
      <c r="AG441" s="28">
        <f t="shared" si="447"/>
        <v>7.3398463109792752E-4</v>
      </c>
      <c r="AH441" s="28">
        <f t="shared" si="447"/>
        <v>4.288538108451113E-4</v>
      </c>
      <c r="AI441" s="28">
        <f t="shared" si="447"/>
        <v>3.4531177605331981E-4</v>
      </c>
      <c r="AJ441" s="28">
        <f t="shared" si="447"/>
        <v>6.2234045707904471E-3</v>
      </c>
      <c r="AK441" s="28">
        <f t="shared" si="447"/>
        <v>5.3048280526228034E-4</v>
      </c>
      <c r="AL441" s="28">
        <f t="shared" si="447"/>
        <v>1.9995971093780987E-3</v>
      </c>
      <c r="AM441" s="28">
        <f t="shared" si="447"/>
        <v>6.8045675821018546E-4</v>
      </c>
      <c r="AN441" s="28">
        <f t="shared" si="447"/>
        <v>0</v>
      </c>
      <c r="AO441" s="28">
        <f t="shared" si="447"/>
        <v>6.9248732453168291E-3</v>
      </c>
      <c r="AP441" s="28">
        <f t="shared" si="447"/>
        <v>5.0349658565547421E-5</v>
      </c>
      <c r="AQ441" s="28">
        <f t="shared" si="447"/>
        <v>1.1065181910298782E-5</v>
      </c>
      <c r="AR441" s="28">
        <f t="shared" si="447"/>
        <v>4.7819138345617091E-5</v>
      </c>
      <c r="AS441" s="28">
        <f t="shared" si="447"/>
        <v>2.2538356139049207E-6</v>
      </c>
      <c r="AT441" s="28">
        <f t="shared" si="447"/>
        <v>1.36594151486846E-3</v>
      </c>
      <c r="AU441" s="28">
        <f t="shared" si="447"/>
        <v>6.9656362630935689E-4</v>
      </c>
      <c r="AV441" s="28">
        <f t="shared" si="447"/>
        <v>1.946138771518452E-3</v>
      </c>
      <c r="AW441" s="28">
        <f t="shared" si="447"/>
        <v>4.4265170712700405E-4</v>
      </c>
      <c r="AX441" s="28">
        <f t="shared" si="447"/>
        <v>2.8187827049194048E-4</v>
      </c>
      <c r="AY441" s="28">
        <f t="shared" si="447"/>
        <v>4.3505708151167716E-3</v>
      </c>
      <c r="AZ441" s="28">
        <f t="shared" si="447"/>
        <v>7.8462070407816619E-3</v>
      </c>
      <c r="BA441" s="28">
        <f t="shared" si="447"/>
        <v>5.6239336765073701E-4</v>
      </c>
      <c r="BB441" s="28">
        <f t="shared" si="447"/>
        <v>1.4533936336532592E-5</v>
      </c>
      <c r="BC441" s="28">
        <f t="shared" si="447"/>
        <v>2.5666936642705499E-4</v>
      </c>
      <c r="BD441" s="28">
        <f t="shared" si="447"/>
        <v>9.996423268753304E-5</v>
      </c>
      <c r="BE441" s="28">
        <f t="shared" si="447"/>
        <v>1.605895938934961E-3</v>
      </c>
      <c r="BF441" s="28">
        <f t="shared" si="447"/>
        <v>0</v>
      </c>
      <c r="BG441" s="28">
        <f t="shared" si="447"/>
        <v>1.057099819145719E-5</v>
      </c>
      <c r="BH441" s="28">
        <f t="shared" si="447"/>
        <v>5.9472077204249891E-4</v>
      </c>
      <c r="BI441" s="28">
        <f t="shared" si="447"/>
        <v>0</v>
      </c>
      <c r="BJ441" s="28">
        <f t="shared" si="447"/>
        <v>1.0331345455202111E-5</v>
      </c>
      <c r="BK441" s="28">
        <f t="shared" si="447"/>
        <v>1.2000769498918014E-5</v>
      </c>
      <c r="BL441" s="28">
        <f t="shared" si="447"/>
        <v>2.451177211873672E-9</v>
      </c>
      <c r="BM441" s="28">
        <f t="shared" si="447"/>
        <v>2.8782085661224646E-6</v>
      </c>
      <c r="BN441" s="28">
        <f t="shared" si="447"/>
        <v>0</v>
      </c>
      <c r="BO441" s="28">
        <f t="shared" si="447"/>
        <v>0</v>
      </c>
      <c r="BP441" s="28">
        <f t="shared" si="447"/>
        <v>1.2868237175463781E-5</v>
      </c>
      <c r="BQ441" s="28">
        <f t="shared" si="447"/>
        <v>5.4636824274503677E-5</v>
      </c>
      <c r="BR441" s="28">
        <f t="shared" ref="BR441" si="448">BR438*BR$161</f>
        <v>0</v>
      </c>
    </row>
    <row r="442" spans="1:70" x14ac:dyDescent="0.3">
      <c r="B442" s="2" t="s">
        <v>21</v>
      </c>
      <c r="C442" s="28"/>
      <c r="D442" s="328"/>
      <c r="E442" s="30">
        <f t="shared" ref="E442:E444" si="449">SUM(F442:BR442)</f>
        <v>0.10282829959055413</v>
      </c>
      <c r="F442" s="28">
        <f>F438*F$160</f>
        <v>5.4849904605955745E-5</v>
      </c>
      <c r="G442" s="28">
        <f t="shared" ref="G442:BR442" si="450">G438*G$160</f>
        <v>1.4052365668710141E-4</v>
      </c>
      <c r="H442" s="28">
        <f t="shared" si="450"/>
        <v>5.8507166384896801E-6</v>
      </c>
      <c r="I442" s="28">
        <f t="shared" si="450"/>
        <v>2.5157213490946219E-2</v>
      </c>
      <c r="J442" s="28">
        <f t="shared" si="450"/>
        <v>3.272166690478842E-5</v>
      </c>
      <c r="K442" s="28">
        <f t="shared" si="450"/>
        <v>4.9383453642832369E-5</v>
      </c>
      <c r="L442" s="28">
        <f t="shared" si="450"/>
        <v>1.7227820921489944E-4</v>
      </c>
      <c r="M442" s="28">
        <f t="shared" si="450"/>
        <v>6.0889430189692394E-5</v>
      </c>
      <c r="N442" s="28">
        <f t="shared" si="450"/>
        <v>7.4053918310678087E-5</v>
      </c>
      <c r="O442" s="28">
        <f t="shared" si="450"/>
        <v>4.024754391735292E-2</v>
      </c>
      <c r="P442" s="28">
        <f t="shared" si="450"/>
        <v>3.641194788950608E-4</v>
      </c>
      <c r="Q442" s="28">
        <f t="shared" si="450"/>
        <v>2.8113647817765624E-7</v>
      </c>
      <c r="R442" s="28">
        <f t="shared" si="450"/>
        <v>1.3022206801009348E-4</v>
      </c>
      <c r="S442" s="28">
        <f t="shared" si="450"/>
        <v>1.6742217939341714E-4</v>
      </c>
      <c r="T442" s="28">
        <f t="shared" si="450"/>
        <v>3.3143983447774569E-5</v>
      </c>
      <c r="U442" s="28">
        <f t="shared" si="450"/>
        <v>5.0503337308218364E-4</v>
      </c>
      <c r="V442" s="28">
        <f t="shared" si="450"/>
        <v>8.2764643508835773E-6</v>
      </c>
      <c r="W442" s="28">
        <f t="shared" si="450"/>
        <v>3.0684879863716241E-5</v>
      </c>
      <c r="X442" s="28">
        <f t="shared" si="450"/>
        <v>2.8653610585696176E-4</v>
      </c>
      <c r="Y442" s="28">
        <f t="shared" si="450"/>
        <v>3.9746133014530361E-5</v>
      </c>
      <c r="Z442" s="28">
        <f t="shared" si="450"/>
        <v>5.6858246958542625E-6</v>
      </c>
      <c r="AA442" s="28">
        <f t="shared" si="450"/>
        <v>2.7434797318179672E-5</v>
      </c>
      <c r="AB442" s="28">
        <f t="shared" si="450"/>
        <v>1.3618986113475252E-3</v>
      </c>
      <c r="AC442" s="28">
        <f t="shared" si="450"/>
        <v>9.369308081253476E-3</v>
      </c>
      <c r="AD442" s="28">
        <f t="shared" si="450"/>
        <v>2.3743801556862213E-4</v>
      </c>
      <c r="AE442" s="28">
        <f t="shared" si="450"/>
        <v>5.3313559018142024E-4</v>
      </c>
      <c r="AF442" s="28">
        <f t="shared" si="450"/>
        <v>1.9852657864909045E-3</v>
      </c>
      <c r="AG442" s="28">
        <f t="shared" si="450"/>
        <v>2.8698667621831131E-4</v>
      </c>
      <c r="AH442" s="28">
        <f t="shared" si="450"/>
        <v>3.3263927018039306E-4</v>
      </c>
      <c r="AI442" s="28">
        <f t="shared" si="450"/>
        <v>4.7270506198935378E-4</v>
      </c>
      <c r="AJ442" s="28">
        <f t="shared" si="450"/>
        <v>2.0735020826681771E-3</v>
      </c>
      <c r="AK442" s="28">
        <f t="shared" si="450"/>
        <v>3.7782216296342399E-4</v>
      </c>
      <c r="AL442" s="28">
        <f t="shared" si="450"/>
        <v>5.9159343886279392E-3</v>
      </c>
      <c r="AM442" s="28">
        <f t="shared" si="450"/>
        <v>3.5027769041235583E-4</v>
      </c>
      <c r="AN442" s="28">
        <f t="shared" si="450"/>
        <v>1.8184662711235502E-5</v>
      </c>
      <c r="AO442" s="28">
        <f t="shared" si="450"/>
        <v>1.7074807044988492E-3</v>
      </c>
      <c r="AP442" s="28">
        <f t="shared" si="450"/>
        <v>1.4017732760795702E-5</v>
      </c>
      <c r="AQ442" s="28">
        <f t="shared" si="450"/>
        <v>8.5094172578621108E-5</v>
      </c>
      <c r="AR442" s="28">
        <f t="shared" si="450"/>
        <v>2.0813180976992369E-4</v>
      </c>
      <c r="AS442" s="28">
        <f t="shared" si="450"/>
        <v>3.2788172095796968E-4</v>
      </c>
      <c r="AT442" s="28">
        <f t="shared" si="450"/>
        <v>3.998533363197439E-4</v>
      </c>
      <c r="AU442" s="28">
        <f t="shared" si="450"/>
        <v>1.4841132511239378E-4</v>
      </c>
      <c r="AV442" s="28">
        <f t="shared" si="450"/>
        <v>1.0373531589469727E-3</v>
      </c>
      <c r="AW442" s="28">
        <f t="shared" si="450"/>
        <v>9.0882147670809447E-5</v>
      </c>
      <c r="AX442" s="28">
        <f t="shared" si="450"/>
        <v>1.2814725535302424E-4</v>
      </c>
      <c r="AY442" s="28">
        <f t="shared" si="450"/>
        <v>3.1007070368784979E-3</v>
      </c>
      <c r="AZ442" s="28">
        <f t="shared" si="450"/>
        <v>1.1409976172935682E-3</v>
      </c>
      <c r="BA442" s="28">
        <f t="shared" si="450"/>
        <v>2.0641607065803851E-4</v>
      </c>
      <c r="BB442" s="28">
        <f t="shared" si="450"/>
        <v>2.9388412186000902E-4</v>
      </c>
      <c r="BC442" s="28">
        <f t="shared" si="450"/>
        <v>7.0625481739694626E-5</v>
      </c>
      <c r="BD442" s="28">
        <f t="shared" si="450"/>
        <v>2.8143072507677266E-5</v>
      </c>
      <c r="BE442" s="28">
        <f t="shared" si="450"/>
        <v>2.1622724888958607E-3</v>
      </c>
      <c r="BF442" s="28">
        <f t="shared" si="450"/>
        <v>1.6438523460541888E-5</v>
      </c>
      <c r="BG442" s="28">
        <f t="shared" si="450"/>
        <v>5.6975483928933448E-6</v>
      </c>
      <c r="BH442" s="28">
        <f t="shared" si="450"/>
        <v>2.9929391830477522E-4</v>
      </c>
      <c r="BI442" s="28">
        <f t="shared" si="450"/>
        <v>1.4400318359419887E-4</v>
      </c>
      <c r="BJ442" s="28">
        <f t="shared" si="450"/>
        <v>7.55505193529086E-5</v>
      </c>
      <c r="BK442" s="28">
        <f t="shared" si="450"/>
        <v>4.6411489462887762E-5</v>
      </c>
      <c r="BL442" s="28">
        <f t="shared" si="450"/>
        <v>9.7413065731921829E-8</v>
      </c>
      <c r="BM442" s="28">
        <f t="shared" si="450"/>
        <v>6.6172901512173051E-6</v>
      </c>
      <c r="BN442" s="28">
        <f t="shared" si="450"/>
        <v>2.8268352041030643E-5</v>
      </c>
      <c r="BO442" s="28">
        <f t="shared" si="450"/>
        <v>1.4323858122707422E-5</v>
      </c>
      <c r="BP442" s="28">
        <f t="shared" si="450"/>
        <v>2.0044082289174776E-5</v>
      </c>
      <c r="BQ442" s="28">
        <f t="shared" si="450"/>
        <v>1.1226128900005494E-4</v>
      </c>
      <c r="BR442" s="28">
        <f t="shared" si="450"/>
        <v>0</v>
      </c>
    </row>
    <row r="443" spans="1:70" x14ac:dyDescent="0.3">
      <c r="B443" s="3" t="s">
        <v>44</v>
      </c>
      <c r="C443" s="28"/>
      <c r="D443" s="328"/>
      <c r="E443" s="30">
        <f t="shared" si="449"/>
        <v>0.82654367178950139</v>
      </c>
      <c r="F443" s="28">
        <f t="shared" ref="F443:BQ443" si="451">F438*F$162</f>
        <v>1.4255678497902678E-4</v>
      </c>
      <c r="G443" s="28">
        <f t="shared" si="451"/>
        <v>6.6286885266819294E-4</v>
      </c>
      <c r="H443" s="28">
        <f t="shared" si="451"/>
        <v>1.6210325119575239E-5</v>
      </c>
      <c r="I443" s="28">
        <f t="shared" si="451"/>
        <v>0.20673002242541588</v>
      </c>
      <c r="J443" s="28">
        <f t="shared" si="451"/>
        <v>1.8654891760383144E-4</v>
      </c>
      <c r="K443" s="28">
        <f t="shared" si="451"/>
        <v>4.3990602686706256E-4</v>
      </c>
      <c r="L443" s="28">
        <f t="shared" si="451"/>
        <v>1.0952613887978406E-3</v>
      </c>
      <c r="M443" s="28">
        <f t="shared" si="451"/>
        <v>3.4170233121192403E-4</v>
      </c>
      <c r="N443" s="28">
        <f t="shared" si="451"/>
        <v>4.6780830227413297E-4</v>
      </c>
      <c r="O443" s="28">
        <f t="shared" si="451"/>
        <v>0.42128184856822937</v>
      </c>
      <c r="P443" s="28">
        <f t="shared" si="451"/>
        <v>4.3345905992238634E-3</v>
      </c>
      <c r="Q443" s="28">
        <f t="shared" si="451"/>
        <v>4.7125248421246073E-6</v>
      </c>
      <c r="R443" s="28">
        <f t="shared" si="451"/>
        <v>8.9678535752221364E-4</v>
      </c>
      <c r="S443" s="28">
        <f t="shared" si="451"/>
        <v>6.5673180814029538E-4</v>
      </c>
      <c r="T443" s="28">
        <f t="shared" si="451"/>
        <v>3.9617123022815697E-4</v>
      </c>
      <c r="U443" s="28">
        <f t="shared" si="451"/>
        <v>5.6621876731476183E-3</v>
      </c>
      <c r="V443" s="28">
        <f t="shared" si="451"/>
        <v>1.4607976894088486E-4</v>
      </c>
      <c r="W443" s="28">
        <f t="shared" si="451"/>
        <v>6.81198108860938E-4</v>
      </c>
      <c r="X443" s="28">
        <f t="shared" si="451"/>
        <v>3.2495998542804443E-3</v>
      </c>
      <c r="Y443" s="28">
        <f t="shared" si="451"/>
        <v>7.1129291116504986E-4</v>
      </c>
      <c r="Z443" s="28">
        <f t="shared" si="451"/>
        <v>6.4413366235496812E-5</v>
      </c>
      <c r="AA443" s="28">
        <f t="shared" si="451"/>
        <v>2.4319192437695749E-4</v>
      </c>
      <c r="AB443" s="28">
        <f t="shared" si="451"/>
        <v>1.5070014493049965E-2</v>
      </c>
      <c r="AC443" s="28">
        <f t="shared" si="451"/>
        <v>3.2070202757219488E-2</v>
      </c>
      <c r="AD443" s="28">
        <f t="shared" si="451"/>
        <v>2.2697916156482621E-3</v>
      </c>
      <c r="AE443" s="28">
        <f t="shared" si="451"/>
        <v>3.0741695260138261E-3</v>
      </c>
      <c r="AF443" s="28">
        <f t="shared" si="451"/>
        <v>5.7483673705692948E-3</v>
      </c>
      <c r="AG443" s="28">
        <f t="shared" si="451"/>
        <v>1.7737916899673257E-3</v>
      </c>
      <c r="AH443" s="28">
        <f t="shared" si="451"/>
        <v>2.7340841102226556E-3</v>
      </c>
      <c r="AI443" s="28">
        <f t="shared" si="451"/>
        <v>3.1741154976652453E-3</v>
      </c>
      <c r="AJ443" s="28">
        <f t="shared" si="451"/>
        <v>1.6325639539086521E-2</v>
      </c>
      <c r="AK443" s="28">
        <f t="shared" si="451"/>
        <v>3.3231727433676432E-3</v>
      </c>
      <c r="AL443" s="28">
        <f t="shared" si="451"/>
        <v>1.7324573533462617E-2</v>
      </c>
      <c r="AM443" s="28">
        <f t="shared" si="451"/>
        <v>1.2977447381826081E-3</v>
      </c>
      <c r="AN443" s="28">
        <f t="shared" si="451"/>
        <v>1.1084202189608792E-4</v>
      </c>
      <c r="AO443" s="28">
        <f t="shared" si="451"/>
        <v>1.3217842068596098E-2</v>
      </c>
      <c r="AP443" s="28">
        <f t="shared" si="451"/>
        <v>4.4406794437756739E-4</v>
      </c>
      <c r="AQ443" s="28">
        <f t="shared" si="451"/>
        <v>5.7617437179998342E-4</v>
      </c>
      <c r="AR443" s="28">
        <f t="shared" si="451"/>
        <v>1.2311846592581621E-3</v>
      </c>
      <c r="AS443" s="28">
        <f t="shared" si="451"/>
        <v>6.8398533097305562E-4</v>
      </c>
      <c r="AT443" s="28">
        <f t="shared" si="451"/>
        <v>2.343736824243263E-3</v>
      </c>
      <c r="AU443" s="28">
        <f t="shared" si="451"/>
        <v>2.8190814879837252E-3</v>
      </c>
      <c r="AV443" s="28">
        <f t="shared" si="451"/>
        <v>5.1526348727279998E-3</v>
      </c>
      <c r="AW443" s="28">
        <f t="shared" si="451"/>
        <v>1.0167442058845657E-3</v>
      </c>
      <c r="AX443" s="28">
        <f t="shared" si="451"/>
        <v>8.5657832211831378E-4</v>
      </c>
      <c r="AY443" s="28">
        <f t="shared" si="451"/>
        <v>8.376199542193841E-3</v>
      </c>
      <c r="AZ443" s="28">
        <f t="shared" si="451"/>
        <v>1.8267382352434261E-2</v>
      </c>
      <c r="BA443" s="28">
        <f t="shared" si="451"/>
        <v>2.1534742229701717E-3</v>
      </c>
      <c r="BB443" s="28">
        <f t="shared" si="451"/>
        <v>2.1891920855971951E-3</v>
      </c>
      <c r="BC443" s="28">
        <f t="shared" si="451"/>
        <v>8.5743129882971442E-4</v>
      </c>
      <c r="BD443" s="28">
        <f t="shared" si="451"/>
        <v>3.7920554928115813E-4</v>
      </c>
      <c r="BE443" s="28">
        <f t="shared" si="451"/>
        <v>4.5230578123462298E-3</v>
      </c>
      <c r="BF443" s="28">
        <f t="shared" si="451"/>
        <v>1.2516080569697093E-3</v>
      </c>
      <c r="BG443" s="28">
        <f t="shared" si="451"/>
        <v>6.2389181444463595E-5</v>
      </c>
      <c r="BH443" s="28">
        <f t="shared" si="451"/>
        <v>4.3727389821440867E-3</v>
      </c>
      <c r="BI443" s="28">
        <f t="shared" si="451"/>
        <v>8.416018126229149E-4</v>
      </c>
      <c r="BJ443" s="28">
        <f t="shared" si="451"/>
        <v>8.5099190013420811E-4</v>
      </c>
      <c r="BK443" s="28">
        <f t="shared" si="451"/>
        <v>4.5336492514256346E-4</v>
      </c>
      <c r="BL443" s="28">
        <f t="shared" si="451"/>
        <v>1.197417994238559E-6</v>
      </c>
      <c r="BM443" s="28">
        <f t="shared" si="451"/>
        <v>3.9102469464581297E-5</v>
      </c>
      <c r="BN443" s="28">
        <f t="shared" si="451"/>
        <v>8.9490294797854326E-5</v>
      </c>
      <c r="BO443" s="28">
        <f t="shared" si="451"/>
        <v>1.9954839645874528E-4</v>
      </c>
      <c r="BP443" s="28">
        <f t="shared" si="451"/>
        <v>1.0431679122357325E-4</v>
      </c>
      <c r="BQ443" s="28">
        <f t="shared" si="451"/>
        <v>4.8114992300694149E-4</v>
      </c>
      <c r="BR443" s="28">
        <f t="shared" ref="BR443" si="452">BR438*BR$162</f>
        <v>0</v>
      </c>
    </row>
    <row r="444" spans="1:70" x14ac:dyDescent="0.3">
      <c r="B444" s="3" t="s">
        <v>25</v>
      </c>
      <c r="C444" s="28"/>
      <c r="D444" s="328"/>
      <c r="E444" s="30">
        <f t="shared" si="449"/>
        <v>0.14783458178110195</v>
      </c>
      <c r="F444" s="28">
        <f t="shared" ref="F444:BQ444" si="453">F438*F$164</f>
        <v>1.0348817164577566E-4</v>
      </c>
      <c r="G444" s="28">
        <f t="shared" si="453"/>
        <v>1.0082976853192497E-4</v>
      </c>
      <c r="H444" s="28">
        <f t="shared" si="453"/>
        <v>1.0341985638009505E-5</v>
      </c>
      <c r="I444" s="28">
        <f t="shared" si="453"/>
        <v>0</v>
      </c>
      <c r="J444" s="28">
        <f t="shared" si="453"/>
        <v>6.3960315297020213E-4</v>
      </c>
      <c r="K444" s="28">
        <f t="shared" si="453"/>
        <v>1.8444966153600038E-3</v>
      </c>
      <c r="L444" s="28">
        <f t="shared" si="453"/>
        <v>9.0675235333598399E-4</v>
      </c>
      <c r="M444" s="28">
        <f t="shared" si="453"/>
        <v>1.2178777675066496E-3</v>
      </c>
      <c r="N444" s="28">
        <f t="shared" si="453"/>
        <v>1.7554327165956404E-5</v>
      </c>
      <c r="O444" s="28">
        <f t="shared" si="453"/>
        <v>0</v>
      </c>
      <c r="P444" s="28">
        <f t="shared" si="453"/>
        <v>3.5029074244573757E-2</v>
      </c>
      <c r="Q444" s="28">
        <f t="shared" si="453"/>
        <v>1.5178959355399677E-4</v>
      </c>
      <c r="R444" s="28">
        <f t="shared" si="453"/>
        <v>4.8413870140681008E-3</v>
      </c>
      <c r="S444" s="28">
        <f t="shared" si="453"/>
        <v>1.2601082973797868E-3</v>
      </c>
      <c r="T444" s="28">
        <f t="shared" si="453"/>
        <v>1.3795118935921525E-2</v>
      </c>
      <c r="U444" s="28">
        <f t="shared" si="453"/>
        <v>1.1401329295846623E-2</v>
      </c>
      <c r="V444" s="28">
        <f t="shared" si="453"/>
        <v>1.7555135812587453E-3</v>
      </c>
      <c r="W444" s="28">
        <f t="shared" si="453"/>
        <v>3.7774529642083917E-3</v>
      </c>
      <c r="X444" s="28">
        <f t="shared" si="453"/>
        <v>2.1747678505823556E-2</v>
      </c>
      <c r="Y444" s="28">
        <f t="shared" si="453"/>
        <v>5.0907856760972299E-3</v>
      </c>
      <c r="Z444" s="28">
        <f t="shared" si="453"/>
        <v>4.1662820875912511E-4</v>
      </c>
      <c r="AA444" s="28">
        <f t="shared" si="453"/>
        <v>4.214988310560969E-4</v>
      </c>
      <c r="AB444" s="28">
        <f t="shared" si="453"/>
        <v>1.2044653464683586E-3</v>
      </c>
      <c r="AC444" s="28">
        <f t="shared" si="453"/>
        <v>4.8166474612283752E-3</v>
      </c>
      <c r="AD444" s="28">
        <f t="shared" si="453"/>
        <v>0</v>
      </c>
      <c r="AE444" s="28">
        <f t="shared" si="453"/>
        <v>0</v>
      </c>
      <c r="AF444" s="28">
        <f t="shared" si="453"/>
        <v>0</v>
      </c>
      <c r="AG444" s="28">
        <f t="shared" si="453"/>
        <v>1.536209631145686E-3</v>
      </c>
      <c r="AH444" s="28">
        <f t="shared" si="453"/>
        <v>2.5129002361668769E-4</v>
      </c>
      <c r="AI444" s="28">
        <f t="shared" si="453"/>
        <v>3.8067028364120961E-5</v>
      </c>
      <c r="AJ444" s="28">
        <f t="shared" si="453"/>
        <v>0</v>
      </c>
      <c r="AK444" s="28">
        <f t="shared" si="453"/>
        <v>0</v>
      </c>
      <c r="AL444" s="28">
        <f t="shared" si="453"/>
        <v>3.3460919607816949E-3</v>
      </c>
      <c r="AM444" s="28">
        <f t="shared" si="453"/>
        <v>2.0137456842962962E-3</v>
      </c>
      <c r="AN444" s="28">
        <f t="shared" si="453"/>
        <v>4.9821277342578928E-4</v>
      </c>
      <c r="AO444" s="28">
        <f t="shared" si="453"/>
        <v>5.6097167742570524E-3</v>
      </c>
      <c r="AP444" s="28">
        <f t="shared" si="453"/>
        <v>9.678547460392104E-5</v>
      </c>
      <c r="AQ444" s="28">
        <f t="shared" si="453"/>
        <v>1.7132687868370852E-4</v>
      </c>
      <c r="AR444" s="28">
        <f t="shared" si="453"/>
        <v>7.8473085658177218E-4</v>
      </c>
      <c r="AS444" s="28">
        <f t="shared" si="453"/>
        <v>2.9516666256439324E-4</v>
      </c>
      <c r="AT444" s="28">
        <f t="shared" si="453"/>
        <v>1.1402543954508247E-3</v>
      </c>
      <c r="AU444" s="28">
        <f t="shared" si="453"/>
        <v>7.7436030745766868E-4</v>
      </c>
      <c r="AV444" s="28">
        <f t="shared" si="453"/>
        <v>1.3115960743311699E-3</v>
      </c>
      <c r="AW444" s="28">
        <f t="shared" si="453"/>
        <v>3.6262735106364689E-5</v>
      </c>
      <c r="AX444" s="28">
        <f t="shared" si="453"/>
        <v>6.3748301249819117E-5</v>
      </c>
      <c r="AY444" s="28">
        <f t="shared" si="453"/>
        <v>3.8516019896224556E-5</v>
      </c>
      <c r="AZ444" s="28">
        <f t="shared" si="453"/>
        <v>1.4578246077018511E-2</v>
      </c>
      <c r="BA444" s="28">
        <f t="shared" si="453"/>
        <v>5.8916222725576863E-4</v>
      </c>
      <c r="BB444" s="28">
        <f t="shared" si="453"/>
        <v>2.2826068596170485E-4</v>
      </c>
      <c r="BC444" s="28">
        <f t="shared" si="453"/>
        <v>3.7977220149168755E-4</v>
      </c>
      <c r="BD444" s="28">
        <f t="shared" si="453"/>
        <v>4.8047119572627166E-5</v>
      </c>
      <c r="BE444" s="28">
        <f t="shared" si="453"/>
        <v>3.3596049236871662E-3</v>
      </c>
      <c r="BF444" s="28">
        <f t="shared" si="453"/>
        <v>7.1490852129235243E-6</v>
      </c>
      <c r="BG444" s="28">
        <f t="shared" si="453"/>
        <v>0</v>
      </c>
      <c r="BH444" s="28">
        <f t="shared" si="453"/>
        <v>5.7596972868855268E-5</v>
      </c>
      <c r="BI444" s="28">
        <f t="shared" si="453"/>
        <v>4.3831406551187254E-6</v>
      </c>
      <c r="BJ444" s="28">
        <f t="shared" si="453"/>
        <v>1.8996366853859738E-5</v>
      </c>
      <c r="BK444" s="28">
        <f t="shared" si="453"/>
        <v>4.3147349717077497E-6</v>
      </c>
      <c r="BL444" s="28">
        <f t="shared" si="453"/>
        <v>0</v>
      </c>
      <c r="BM444" s="28">
        <f t="shared" si="453"/>
        <v>2.234412460107201E-6</v>
      </c>
      <c r="BN444" s="28">
        <f t="shared" si="453"/>
        <v>2.3917222183539673E-7</v>
      </c>
      <c r="BO444" s="28">
        <f t="shared" si="453"/>
        <v>0</v>
      </c>
      <c r="BP444" s="28">
        <f t="shared" si="453"/>
        <v>0</v>
      </c>
      <c r="BQ444" s="28">
        <f t="shared" si="453"/>
        <v>7.0980658664197837E-8</v>
      </c>
      <c r="BR444" s="28">
        <f t="shared" ref="BR444" si="454">BR438*BR$164</f>
        <v>0</v>
      </c>
    </row>
    <row r="445" spans="1:70" x14ac:dyDescent="0.3">
      <c r="A445" s="73">
        <v>23</v>
      </c>
      <c r="B445" s="16" t="s">
        <v>133</v>
      </c>
      <c r="D445" s="244"/>
    </row>
    <row r="446" spans="1:70" x14ac:dyDescent="0.3">
      <c r="A446" s="3">
        <f>A426+1</f>
        <v>4</v>
      </c>
      <c r="B446" s="7" t="s">
        <v>61</v>
      </c>
      <c r="D446" s="327" t="s">
        <v>235</v>
      </c>
      <c r="E446" s="88">
        <f>HLOOKUP(A445,$F$305:$BK$372,A445+2)</f>
        <v>1.1119050893533782</v>
      </c>
    </row>
    <row r="447" spans="1:70" x14ac:dyDescent="0.3">
      <c r="D447" s="327" t="s">
        <v>60</v>
      </c>
      <c r="E447" s="88">
        <f>HLOOKUP(A445,$F$305:$BK$372,68)-E446</f>
        <v>0.8287052931616441</v>
      </c>
      <c r="F447" s="32"/>
    </row>
    <row r="448" spans="1:70" x14ac:dyDescent="0.3">
      <c r="C448" s="29"/>
      <c r="D448" s="327" t="s">
        <v>201</v>
      </c>
      <c r="E448" s="30">
        <f>E447+E446</f>
        <v>1.9406103825150223</v>
      </c>
      <c r="F448" s="95">
        <f t="shared" ref="F448:AK448" si="455">HLOOKUP($A445,$F$305:$BK$372,F$305+2)</f>
        <v>1.2701105097156205E-3</v>
      </c>
      <c r="G448" s="95">
        <f t="shared" si="455"/>
        <v>8.8818648889570453E-4</v>
      </c>
      <c r="H448" s="95">
        <f t="shared" si="455"/>
        <v>2.069711643323162E-4</v>
      </c>
      <c r="I448" s="95">
        <f t="shared" si="455"/>
        <v>1.1107535012972531E-2</v>
      </c>
      <c r="J448" s="95">
        <f t="shared" si="455"/>
        <v>3.8421051484154849E-3</v>
      </c>
      <c r="K448" s="95">
        <f t="shared" si="455"/>
        <v>5.8149552913326378E-3</v>
      </c>
      <c r="L448" s="95">
        <f t="shared" si="455"/>
        <v>2.9708343702242366E-3</v>
      </c>
      <c r="M448" s="95">
        <f t="shared" si="455"/>
        <v>3.0682409437699106E-3</v>
      </c>
      <c r="N448" s="95">
        <f t="shared" si="455"/>
        <v>1.3417920872215469E-3</v>
      </c>
      <c r="O448" s="95">
        <f t="shared" si="455"/>
        <v>1.4344232353961506E-2</v>
      </c>
      <c r="P448" s="95">
        <f t="shared" si="455"/>
        <v>2.572354417232366E-2</v>
      </c>
      <c r="Q448" s="95">
        <f t="shared" si="455"/>
        <v>1.8454941871849678E-4</v>
      </c>
      <c r="R448" s="95">
        <f t="shared" si="455"/>
        <v>9.7985056252495959E-3</v>
      </c>
      <c r="S448" s="95">
        <f t="shared" si="455"/>
        <v>6.9107036333437696E-3</v>
      </c>
      <c r="T448" s="95">
        <f t="shared" si="455"/>
        <v>8.2798733819409082E-2</v>
      </c>
      <c r="U448" s="95">
        <f t="shared" si="455"/>
        <v>7.630298787228991E-2</v>
      </c>
      <c r="V448" s="95">
        <f t="shared" si="455"/>
        <v>6.5506896889157094E-3</v>
      </c>
      <c r="W448" s="95">
        <f t="shared" si="455"/>
        <v>1.9473147910704206E-2</v>
      </c>
      <c r="X448" s="95">
        <f t="shared" si="455"/>
        <v>8.2144387942160654E-2</v>
      </c>
      <c r="Y448" s="95">
        <f t="shared" si="455"/>
        <v>3.9166076567194773E-3</v>
      </c>
      <c r="Z448" s="95">
        <f t="shared" si="455"/>
        <v>1.3931650512885198E-2</v>
      </c>
      <c r="AA448" s="95">
        <f t="shared" si="455"/>
        <v>2.5488645049613645E-3</v>
      </c>
      <c r="AB448" s="95">
        <f t="shared" si="455"/>
        <v>1.1119050893533782</v>
      </c>
      <c r="AC448" s="95">
        <f t="shared" si="455"/>
        <v>1.2096271489111058E-2</v>
      </c>
      <c r="AD448" s="95">
        <f t="shared" si="455"/>
        <v>3.4139791201526189E-3</v>
      </c>
      <c r="AE448" s="95">
        <f t="shared" si="455"/>
        <v>4.2895714758771136E-3</v>
      </c>
      <c r="AF448" s="95">
        <f t="shared" si="455"/>
        <v>1.7272610369934655E-3</v>
      </c>
      <c r="AG448" s="95">
        <f t="shared" si="455"/>
        <v>5.9853594528213273E-3</v>
      </c>
      <c r="AH448" s="95">
        <f t="shared" si="455"/>
        <v>5.2634766792562298E-3</v>
      </c>
      <c r="AI448" s="95">
        <f t="shared" si="455"/>
        <v>5.5458681673389316E-3</v>
      </c>
      <c r="AJ448" s="95">
        <f t="shared" si="455"/>
        <v>4.1676365380186153E-2</v>
      </c>
      <c r="AK448" s="95">
        <f t="shared" si="455"/>
        <v>7.0724556813245194E-3</v>
      </c>
      <c r="AL448" s="95">
        <f t="shared" ref="AL448:BK448" si="456">HLOOKUP($A445,$F$305:$BK$372,AL$305+2)</f>
        <v>2.6400677952356316E-2</v>
      </c>
      <c r="AM448" s="95">
        <f t="shared" si="456"/>
        <v>7.8342371333455577E-3</v>
      </c>
      <c r="AN448" s="95">
        <f t="shared" si="456"/>
        <v>7.8002801019084996E-3</v>
      </c>
      <c r="AO448" s="95">
        <f t="shared" si="456"/>
        <v>6.1041050793647855E-2</v>
      </c>
      <c r="AP448" s="95">
        <f t="shared" si="456"/>
        <v>8.9592577128636203E-4</v>
      </c>
      <c r="AQ448" s="95">
        <f t="shared" si="456"/>
        <v>1.1835333472275878E-2</v>
      </c>
      <c r="AR448" s="95">
        <f t="shared" si="456"/>
        <v>1.5280255066677071E-3</v>
      </c>
      <c r="AS448" s="95">
        <f t="shared" si="456"/>
        <v>1.6847372268730945E-3</v>
      </c>
      <c r="AT448" s="95">
        <f t="shared" si="456"/>
        <v>6.5521254339466657E-3</v>
      </c>
      <c r="AU448" s="95">
        <f t="shared" si="456"/>
        <v>5.2991934981402129E-3</v>
      </c>
      <c r="AV448" s="95">
        <f t="shared" si="456"/>
        <v>1.0587286321999446E-2</v>
      </c>
      <c r="AW448" s="95">
        <f t="shared" si="456"/>
        <v>2.4788388259843544E-3</v>
      </c>
      <c r="AX448" s="95">
        <f t="shared" si="456"/>
        <v>2.5479253756385831E-3</v>
      </c>
      <c r="AY448" s="95">
        <f t="shared" si="456"/>
        <v>4.3629093665684258E-2</v>
      </c>
      <c r="AZ448" s="95">
        <f t="shared" si="456"/>
        <v>0.10838131160515116</v>
      </c>
      <c r="BA448" s="95">
        <f t="shared" si="456"/>
        <v>2.6392161992978058E-2</v>
      </c>
      <c r="BB448" s="95">
        <f t="shared" si="456"/>
        <v>5.5780781953769477E-4</v>
      </c>
      <c r="BC448" s="95">
        <f t="shared" si="456"/>
        <v>4.3956485799021561E-3</v>
      </c>
      <c r="BD448" s="95">
        <f t="shared" si="456"/>
        <v>1.5422714868247849E-3</v>
      </c>
      <c r="BE448" s="95">
        <f t="shared" si="456"/>
        <v>1.4140036532384033E-2</v>
      </c>
      <c r="BF448" s="95">
        <f t="shared" si="456"/>
        <v>1.4282153850745957E-3</v>
      </c>
      <c r="BG448" s="95">
        <f t="shared" si="456"/>
        <v>1.659119068281637E-3</v>
      </c>
      <c r="BH448" s="95">
        <f t="shared" si="456"/>
        <v>1.1592780896052847E-2</v>
      </c>
      <c r="BI448" s="95">
        <f t="shared" si="456"/>
        <v>1.5916328079364826E-3</v>
      </c>
      <c r="BJ448" s="95">
        <f t="shared" si="456"/>
        <v>1.6081813126348917E-3</v>
      </c>
      <c r="BK448" s="95">
        <f t="shared" si="456"/>
        <v>5.2229577257297281E-4</v>
      </c>
      <c r="BL448" s="95">
        <f t="shared" ref="BL448:BR448" si="457">HLOOKUP($A445,$F$305:$BK$372,BL$305+2)</f>
        <v>2.2292409366038083E-6</v>
      </c>
      <c r="BM448" s="95">
        <f t="shared" si="457"/>
        <v>1.416281908685696E-4</v>
      </c>
      <c r="BN448" s="95">
        <f t="shared" si="457"/>
        <v>1.6445273472119753E-4</v>
      </c>
      <c r="BO448" s="95">
        <f t="shared" si="457"/>
        <v>3.1153422401380688E-4</v>
      </c>
      <c r="BP448" s="95">
        <f t="shared" si="457"/>
        <v>3.7883491839495219E-4</v>
      </c>
      <c r="BQ448" s="95">
        <f t="shared" si="457"/>
        <v>1.5704749020394059E-3</v>
      </c>
      <c r="BR448" s="95">
        <f t="shared" si="457"/>
        <v>0</v>
      </c>
    </row>
    <row r="449" spans="1:70" x14ac:dyDescent="0.3">
      <c r="B449" s="3" t="s">
        <v>110</v>
      </c>
      <c r="C449" s="29"/>
      <c r="D449" s="327"/>
      <c r="E449" s="30">
        <f>SUM(F449:BR449)</f>
        <v>1.138636921910373E-2</v>
      </c>
      <c r="F449" s="28">
        <f>F448*F$155</f>
        <v>2.9232541326515521E-5</v>
      </c>
      <c r="G449" s="28">
        <f t="shared" ref="G449:BR449" si="458">G448*G$155</f>
        <v>1.0721845931121407E-5</v>
      </c>
      <c r="H449" s="28">
        <f t="shared" si="458"/>
        <v>4.1499613127989023E-6</v>
      </c>
      <c r="I449" s="28">
        <f t="shared" si="458"/>
        <v>1.8810158513188241E-4</v>
      </c>
      <c r="J449" s="28">
        <f t="shared" si="458"/>
        <v>4.0160961404454364E-6</v>
      </c>
      <c r="K449" s="28">
        <f t="shared" si="458"/>
        <v>2.4496186632030245E-5</v>
      </c>
      <c r="L449" s="28">
        <f t="shared" si="458"/>
        <v>9.3779366176825398E-6</v>
      </c>
      <c r="M449" s="28">
        <f t="shared" si="458"/>
        <v>1.5910949024149595E-5</v>
      </c>
      <c r="N449" s="28">
        <f t="shared" si="458"/>
        <v>2.7871721000295163E-6</v>
      </c>
      <c r="O449" s="28">
        <f t="shared" si="458"/>
        <v>1.6696287503039598E-4</v>
      </c>
      <c r="P449" s="28">
        <f t="shared" si="458"/>
        <v>2.8891344409209209E-5</v>
      </c>
      <c r="Q449" s="28">
        <f t="shared" si="458"/>
        <v>3.3012813394336601E-8</v>
      </c>
      <c r="R449" s="28">
        <f t="shared" si="458"/>
        <v>1.6936011175955061E-5</v>
      </c>
      <c r="S449" s="28">
        <f t="shared" si="458"/>
        <v>2.107955408661754E-5</v>
      </c>
      <c r="T449" s="28">
        <f t="shared" si="458"/>
        <v>5.4858547982406856E-5</v>
      </c>
      <c r="U449" s="28">
        <f t="shared" si="458"/>
        <v>1.7720649262388508E-4</v>
      </c>
      <c r="V449" s="28">
        <f t="shared" si="458"/>
        <v>4.5619893755578625E-6</v>
      </c>
      <c r="W449" s="28">
        <f t="shared" si="458"/>
        <v>1.7204075378760369E-5</v>
      </c>
      <c r="X449" s="28">
        <f t="shared" si="458"/>
        <v>7.1549885144624048E-5</v>
      </c>
      <c r="Y449" s="28">
        <f t="shared" si="458"/>
        <v>2.9418304980719836E-6</v>
      </c>
      <c r="Z449" s="28">
        <f t="shared" si="458"/>
        <v>8.8801431511141972E-6</v>
      </c>
      <c r="AA449" s="28">
        <f t="shared" si="458"/>
        <v>1.1068945506705236E-5</v>
      </c>
      <c r="AB449" s="28">
        <f t="shared" si="458"/>
        <v>5.0963948809401652E-3</v>
      </c>
      <c r="AC449" s="28">
        <f t="shared" si="458"/>
        <v>2.1911513091098093E-5</v>
      </c>
      <c r="AD449" s="28">
        <f t="shared" si="458"/>
        <v>3.3294643226131935E-7</v>
      </c>
      <c r="AE449" s="28">
        <f t="shared" si="458"/>
        <v>1.3561739125367921E-4</v>
      </c>
      <c r="AF449" s="28">
        <f t="shared" si="458"/>
        <v>1.2221199191242404E-5</v>
      </c>
      <c r="AG449" s="28">
        <f t="shared" si="458"/>
        <v>2.8470821202859759E-5</v>
      </c>
      <c r="AH449" s="28">
        <f t="shared" si="458"/>
        <v>6.0941708695758001E-5</v>
      </c>
      <c r="AI449" s="28">
        <f t="shared" si="458"/>
        <v>3.4983259195530761E-5</v>
      </c>
      <c r="AJ449" s="28">
        <f t="shared" si="458"/>
        <v>2.3158248665751678E-4</v>
      </c>
      <c r="AK449" s="28">
        <f t="shared" si="458"/>
        <v>3.8199100224409682E-5</v>
      </c>
      <c r="AL449" s="28">
        <f t="shared" si="458"/>
        <v>2.2392543397764648E-3</v>
      </c>
      <c r="AM449" s="28">
        <f t="shared" si="458"/>
        <v>0</v>
      </c>
      <c r="AN449" s="28">
        <f t="shared" si="458"/>
        <v>6.9207563397763641E-6</v>
      </c>
      <c r="AO449" s="28">
        <f t="shared" si="458"/>
        <v>1.5360474676323648E-4</v>
      </c>
      <c r="AP449" s="28">
        <f t="shared" si="458"/>
        <v>1.7990824161133564E-5</v>
      </c>
      <c r="AQ449" s="28">
        <f t="shared" si="458"/>
        <v>4.7547300375358285E-5</v>
      </c>
      <c r="AR449" s="28">
        <f t="shared" si="458"/>
        <v>2.953656357240843E-6</v>
      </c>
      <c r="AS449" s="28">
        <f t="shared" si="458"/>
        <v>1.4046229082579241E-5</v>
      </c>
      <c r="AT449" s="28">
        <f t="shared" si="458"/>
        <v>7.3978936144942622E-6</v>
      </c>
      <c r="AU449" s="28">
        <f t="shared" si="458"/>
        <v>1.7901505528036692E-5</v>
      </c>
      <c r="AV449" s="28">
        <f t="shared" si="458"/>
        <v>3.1507374626680966E-4</v>
      </c>
      <c r="AW449" s="28">
        <f t="shared" si="458"/>
        <v>9.5597374763960085E-5</v>
      </c>
      <c r="AX449" s="28">
        <f t="shared" si="458"/>
        <v>7.1918130324879494E-5</v>
      </c>
      <c r="AY449" s="28">
        <f t="shared" si="458"/>
        <v>7.5173774350395549E-4</v>
      </c>
      <c r="AZ449" s="28">
        <f t="shared" si="458"/>
        <v>4.1276959131701462E-4</v>
      </c>
      <c r="BA449" s="28">
        <f t="shared" si="458"/>
        <v>2.5410251004511403E-4</v>
      </c>
      <c r="BB449" s="28">
        <f t="shared" si="458"/>
        <v>1.5226741793403929E-5</v>
      </c>
      <c r="BC449" s="28">
        <f t="shared" si="458"/>
        <v>1.7069457356935437E-5</v>
      </c>
      <c r="BD449" s="28">
        <f t="shared" si="458"/>
        <v>1.2808047244691027E-5</v>
      </c>
      <c r="BE449" s="28">
        <f t="shared" si="458"/>
        <v>2.5505100486622282E-5</v>
      </c>
      <c r="BF449" s="28">
        <f t="shared" si="458"/>
        <v>2.8292553713254709E-6</v>
      </c>
      <c r="BG449" s="28">
        <f t="shared" si="458"/>
        <v>2.7062327668405863E-6</v>
      </c>
      <c r="BH449" s="28">
        <f t="shared" si="458"/>
        <v>1.1300527468379964E-4</v>
      </c>
      <c r="BI449" s="28">
        <f t="shared" si="458"/>
        <v>7.9265963324882016E-5</v>
      </c>
      <c r="BJ449" s="28">
        <f t="shared" si="458"/>
        <v>6.6085965234555344E-5</v>
      </c>
      <c r="BK449" s="28">
        <f t="shared" si="458"/>
        <v>2.447884845668429E-5</v>
      </c>
      <c r="BL449" s="28">
        <f t="shared" si="458"/>
        <v>1.2706081394792943E-7</v>
      </c>
      <c r="BM449" s="28">
        <f t="shared" si="458"/>
        <v>6.4177626175294439E-6</v>
      </c>
      <c r="BN449" s="28">
        <f t="shared" si="458"/>
        <v>8.5395953019817283E-6</v>
      </c>
      <c r="BO449" s="28">
        <f t="shared" si="458"/>
        <v>1.8922345622978438E-5</v>
      </c>
      <c r="BP449" s="28">
        <f t="shared" si="458"/>
        <v>1.0272770207565326E-5</v>
      </c>
      <c r="BQ449" s="28">
        <f t="shared" si="458"/>
        <v>4.266816132205644E-5</v>
      </c>
      <c r="BR449" s="28">
        <f t="shared" si="458"/>
        <v>0</v>
      </c>
    </row>
    <row r="450" spans="1:70" x14ac:dyDescent="0.3">
      <c r="B450" s="3" t="s">
        <v>56</v>
      </c>
      <c r="C450" s="28"/>
      <c r="D450" s="328"/>
      <c r="E450" s="30">
        <f t="shared" ref="E450:E454" si="459">SUM(F450:BR450)</f>
        <v>0.43501400551564201</v>
      </c>
      <c r="F450" s="28">
        <f>F448*F$157</f>
        <v>1.5783704684930381E-4</v>
      </c>
      <c r="G450" s="28">
        <f t="shared" ref="G450:BR450" si="460">G448*G$157</f>
        <v>1.0562923074214281E-4</v>
      </c>
      <c r="H450" s="28">
        <f t="shared" si="460"/>
        <v>1.4383395202610862E-5</v>
      </c>
      <c r="I450" s="28">
        <f t="shared" si="460"/>
        <v>2.8769975571612027E-3</v>
      </c>
      <c r="J450" s="28">
        <f t="shared" si="460"/>
        <v>2.9390652417977448E-4</v>
      </c>
      <c r="K450" s="28">
        <f t="shared" si="460"/>
        <v>6.1912327709365777E-4</v>
      </c>
      <c r="L450" s="28">
        <f t="shared" si="460"/>
        <v>3.3275230546426208E-4</v>
      </c>
      <c r="M450" s="28">
        <f t="shared" si="460"/>
        <v>1.4376074896337682E-4</v>
      </c>
      <c r="N450" s="28">
        <f t="shared" si="460"/>
        <v>2.5090530851865414E-4</v>
      </c>
      <c r="O450" s="28">
        <f t="shared" si="460"/>
        <v>1.4192770748260731E-3</v>
      </c>
      <c r="P450" s="28">
        <f t="shared" si="460"/>
        <v>7.5201562359278296E-4</v>
      </c>
      <c r="Q450" s="28">
        <f t="shared" si="460"/>
        <v>3.7103531575808743E-6</v>
      </c>
      <c r="R450" s="28">
        <f t="shared" si="460"/>
        <v>7.5285454597592415E-4</v>
      </c>
      <c r="S450" s="28">
        <f t="shared" si="460"/>
        <v>8.2783946046294233E-4</v>
      </c>
      <c r="T450" s="28">
        <f t="shared" si="460"/>
        <v>1.4353757007226811E-3</v>
      </c>
      <c r="U450" s="28">
        <f t="shared" si="460"/>
        <v>8.8417091698132725E-3</v>
      </c>
      <c r="V450" s="28">
        <f t="shared" si="460"/>
        <v>1.6872396655271158E-4</v>
      </c>
      <c r="W450" s="28">
        <f t="shared" si="460"/>
        <v>1.2079131568978937E-3</v>
      </c>
      <c r="X450" s="28">
        <f t="shared" si="460"/>
        <v>6.3177990593449602E-3</v>
      </c>
      <c r="Y450" s="28">
        <f t="shared" si="460"/>
        <v>1.8725059276149535E-4</v>
      </c>
      <c r="Z450" s="28">
        <f t="shared" si="460"/>
        <v>8.4242363042437603E-4</v>
      </c>
      <c r="AA450" s="28">
        <f t="shared" si="460"/>
        <v>3.6851402624674009E-4</v>
      </c>
      <c r="AB450" s="28">
        <f t="shared" si="460"/>
        <v>0.31990157047235673</v>
      </c>
      <c r="AC450" s="28">
        <f t="shared" si="460"/>
        <v>1.0548497933059702E-3</v>
      </c>
      <c r="AD450" s="28">
        <f t="shared" si="460"/>
        <v>9.2287878636024132E-5</v>
      </c>
      <c r="AE450" s="28">
        <f t="shared" si="460"/>
        <v>4.4749559591646251E-4</v>
      </c>
      <c r="AF450" s="28">
        <f t="shared" si="460"/>
        <v>3.6659142485074821E-4</v>
      </c>
      <c r="AG450" s="28">
        <f t="shared" si="460"/>
        <v>5.0041287778705929E-4</v>
      </c>
      <c r="AH450" s="28">
        <f t="shared" si="460"/>
        <v>1.3626796578680694E-3</v>
      </c>
      <c r="AI450" s="28">
        <f t="shared" si="460"/>
        <v>1.7603805564979239E-3</v>
      </c>
      <c r="AJ450" s="28">
        <f t="shared" si="460"/>
        <v>1.0782166891105076E-2</v>
      </c>
      <c r="AK450" s="28">
        <f t="shared" si="460"/>
        <v>2.7706222421461763E-3</v>
      </c>
      <c r="AL450" s="28">
        <f t="shared" si="460"/>
        <v>4.762395484342632E-3</v>
      </c>
      <c r="AM450" s="28">
        <f t="shared" si="460"/>
        <v>1.543244838378258E-4</v>
      </c>
      <c r="AN450" s="28">
        <f t="shared" si="460"/>
        <v>5.5597587002784686E-4</v>
      </c>
      <c r="AO450" s="28">
        <f t="shared" si="460"/>
        <v>6.4886162288605729E-3</v>
      </c>
      <c r="AP450" s="28">
        <f t="shared" si="460"/>
        <v>3.5971845330378592E-4</v>
      </c>
      <c r="AQ450" s="28">
        <f t="shared" si="460"/>
        <v>3.1637681988868813E-3</v>
      </c>
      <c r="AR450" s="28">
        <f t="shared" si="460"/>
        <v>4.0126816421029514E-4</v>
      </c>
      <c r="AS450" s="28">
        <f t="shared" si="460"/>
        <v>3.8751111492711269E-4</v>
      </c>
      <c r="AT450" s="28">
        <f t="shared" si="460"/>
        <v>5.7742994460237274E-4</v>
      </c>
      <c r="AU450" s="28">
        <f t="shared" si="460"/>
        <v>2.1086704708259728E-3</v>
      </c>
      <c r="AV450" s="28">
        <f t="shared" si="460"/>
        <v>2.2541064656160406E-3</v>
      </c>
      <c r="AW450" s="28">
        <f t="shared" si="460"/>
        <v>5.7110639445903915E-4</v>
      </c>
      <c r="AX450" s="28">
        <f t="shared" si="460"/>
        <v>5.9539023907409754E-4</v>
      </c>
      <c r="AY450" s="28">
        <f t="shared" si="460"/>
        <v>2.882533370958272E-3</v>
      </c>
      <c r="AZ450" s="28">
        <f t="shared" si="460"/>
        <v>2.2939939887511529E-2</v>
      </c>
      <c r="BA450" s="28">
        <f t="shared" si="460"/>
        <v>7.9340510566816916E-3</v>
      </c>
      <c r="BB450" s="28">
        <f t="shared" si="460"/>
        <v>3.3121502045842406E-4</v>
      </c>
      <c r="BC450" s="28">
        <f t="shared" si="460"/>
        <v>8.5708037924827458E-4</v>
      </c>
      <c r="BD450" s="28">
        <f t="shared" si="460"/>
        <v>4.9962932850823908E-4</v>
      </c>
      <c r="BE450" s="28">
        <f t="shared" si="460"/>
        <v>9.2386641028121663E-4</v>
      </c>
      <c r="BF450" s="28">
        <f t="shared" si="460"/>
        <v>1.0534267049345852E-3</v>
      </c>
      <c r="BG450" s="28">
        <f t="shared" si="460"/>
        <v>3.613756508865945E-4</v>
      </c>
      <c r="BH450" s="28">
        <f t="shared" si="460"/>
        <v>4.9573499218705606E-3</v>
      </c>
      <c r="BI450" s="28">
        <f t="shared" si="460"/>
        <v>8.3638209174971459E-4</v>
      </c>
      <c r="BJ450" s="28">
        <f t="shared" si="460"/>
        <v>1.030474463999695E-3</v>
      </c>
      <c r="BK450" s="28">
        <f t="shared" si="460"/>
        <v>2.7135477173174553E-4</v>
      </c>
      <c r="BL450" s="28">
        <f t="shared" si="460"/>
        <v>1.2982744992730884E-6</v>
      </c>
      <c r="BM450" s="28">
        <f t="shared" si="460"/>
        <v>5.3723891861604243E-5</v>
      </c>
      <c r="BN450" s="28">
        <f t="shared" si="460"/>
        <v>4.6278112179360337E-5</v>
      </c>
      <c r="BO450" s="28">
        <f t="shared" si="460"/>
        <v>1.2404515316166093E-4</v>
      </c>
      <c r="BP450" s="28">
        <f t="shared" si="460"/>
        <v>1.0758690404719531E-4</v>
      </c>
      <c r="BQ450" s="28">
        <f t="shared" si="460"/>
        <v>4.623534626731527E-4</v>
      </c>
      <c r="BR450" s="28">
        <f t="shared" si="460"/>
        <v>0</v>
      </c>
    </row>
    <row r="451" spans="1:70" x14ac:dyDescent="0.3">
      <c r="B451" s="2" t="s">
        <v>22</v>
      </c>
      <c r="C451" s="28"/>
      <c r="D451" s="328"/>
      <c r="E451" s="30">
        <f>SUM(F451:BR451)</f>
        <v>0.15834798555199783</v>
      </c>
      <c r="F451" s="28">
        <f t="shared" ref="F451:AK451" si="461">F448*F$161</f>
        <v>3.2858294483896982E-4</v>
      </c>
      <c r="G451" s="28">
        <f t="shared" si="461"/>
        <v>1.4601653560893468E-4</v>
      </c>
      <c r="H451" s="28">
        <f t="shared" si="461"/>
        <v>2.6033544005592722E-5</v>
      </c>
      <c r="I451" s="28">
        <f t="shared" si="461"/>
        <v>2.1687046941601539E-3</v>
      </c>
      <c r="J451" s="28">
        <f t="shared" si="461"/>
        <v>8.2283258892566644E-5</v>
      </c>
      <c r="K451" s="28">
        <f t="shared" si="461"/>
        <v>7.6781390557361024E-5</v>
      </c>
      <c r="L451" s="28">
        <f t="shared" si="461"/>
        <v>1.7832065771650153E-4</v>
      </c>
      <c r="M451" s="28">
        <f t="shared" si="461"/>
        <v>2.2581410817546638E-4</v>
      </c>
      <c r="N451" s="28">
        <f t="shared" si="461"/>
        <v>1.1545653490581467E-4</v>
      </c>
      <c r="O451" s="28">
        <f t="shared" si="461"/>
        <v>3.7211074936957462E-3</v>
      </c>
      <c r="P451" s="28">
        <f t="shared" si="461"/>
        <v>1.2189167754522534E-3</v>
      </c>
      <c r="Q451" s="28">
        <f t="shared" si="461"/>
        <v>1.0648170183651551E-6</v>
      </c>
      <c r="R451" s="28">
        <f t="shared" si="461"/>
        <v>1.4957091817846243E-4</v>
      </c>
      <c r="S451" s="28">
        <f t="shared" si="461"/>
        <v>1.59799114756713E-4</v>
      </c>
      <c r="T451" s="28">
        <f t="shared" si="461"/>
        <v>5.0800500863913689E-4</v>
      </c>
      <c r="U451" s="28">
        <f t="shared" si="461"/>
        <v>2.5612814394959009E-3</v>
      </c>
      <c r="V451" s="28">
        <f t="shared" si="461"/>
        <v>1.234340440555153E-4</v>
      </c>
      <c r="W451" s="28">
        <f t="shared" si="461"/>
        <v>6.5221576362364071E-4</v>
      </c>
      <c r="X451" s="28">
        <f t="shared" si="461"/>
        <v>1.4380361989136854E-3</v>
      </c>
      <c r="Y451" s="28">
        <f t="shared" si="461"/>
        <v>1.6591726412962677E-4</v>
      </c>
      <c r="Z451" s="28">
        <f t="shared" si="461"/>
        <v>5.3389443571682062E-4</v>
      </c>
      <c r="AA451" s="28">
        <f t="shared" si="461"/>
        <v>8.8935170059580473E-5</v>
      </c>
      <c r="AB451" s="28">
        <f t="shared" si="461"/>
        <v>7.0665402105076797E-2</v>
      </c>
      <c r="AC451" s="28">
        <f t="shared" si="461"/>
        <v>3.0132662140420082E-3</v>
      </c>
      <c r="AD451" s="28">
        <f t="shared" si="461"/>
        <v>2.2198756735565553E-4</v>
      </c>
      <c r="AE451" s="28">
        <f t="shared" si="461"/>
        <v>6.3299023714994871E-4</v>
      </c>
      <c r="AF451" s="28">
        <f t="shared" si="461"/>
        <v>3.4897244024826733E-4</v>
      </c>
      <c r="AG451" s="28">
        <f t="shared" si="461"/>
        <v>5.0336616535017658E-4</v>
      </c>
      <c r="AH451" s="28">
        <f t="shared" si="461"/>
        <v>2.9747170437556379E-4</v>
      </c>
      <c r="AI451" s="28">
        <f t="shared" si="461"/>
        <v>2.5831785947572316E-4</v>
      </c>
      <c r="AJ451" s="28">
        <f t="shared" si="461"/>
        <v>8.3473568749184088E-3</v>
      </c>
      <c r="AK451" s="28">
        <f t="shared" si="461"/>
        <v>6.0989451750456127E-4</v>
      </c>
      <c r="AL451" s="28">
        <f t="shared" ref="AL451:BR451" si="462">AL448*AL$161</f>
        <v>1.0118236537980396E-3</v>
      </c>
      <c r="AM451" s="28">
        <f t="shared" si="462"/>
        <v>3.9722683829101547E-4</v>
      </c>
      <c r="AN451" s="28">
        <f t="shared" si="462"/>
        <v>0</v>
      </c>
      <c r="AO451" s="28">
        <f t="shared" si="462"/>
        <v>9.8863357982386501E-3</v>
      </c>
      <c r="AP451" s="28">
        <f t="shared" si="462"/>
        <v>4.7756908816937438E-5</v>
      </c>
      <c r="AQ451" s="28">
        <f t="shared" si="462"/>
        <v>7.2601197671436326E-5</v>
      </c>
      <c r="AR451" s="28">
        <f t="shared" si="462"/>
        <v>1.9475410947931936E-5</v>
      </c>
      <c r="AS451" s="28">
        <f t="shared" si="462"/>
        <v>2.3356113800829435E-6</v>
      </c>
      <c r="AT451" s="28">
        <f t="shared" si="462"/>
        <v>1.3628696467328769E-3</v>
      </c>
      <c r="AU451" s="28">
        <f t="shared" si="462"/>
        <v>7.2720629428812088E-4</v>
      </c>
      <c r="AV451" s="28">
        <f t="shared" si="462"/>
        <v>2.0283282240234745E-3</v>
      </c>
      <c r="AW451" s="28">
        <f t="shared" si="462"/>
        <v>5.2443392736835684E-4</v>
      </c>
      <c r="AX451" s="28">
        <f t="shared" si="462"/>
        <v>3.744571833429139E-4</v>
      </c>
      <c r="AY451" s="28">
        <f t="shared" si="462"/>
        <v>1.618582240498314E-2</v>
      </c>
      <c r="AZ451" s="28">
        <f t="shared" si="462"/>
        <v>1.930289489289717E-2</v>
      </c>
      <c r="BA451" s="28">
        <f t="shared" si="462"/>
        <v>3.2036921841359133E-3</v>
      </c>
      <c r="BB451" s="28">
        <f t="shared" si="462"/>
        <v>2.1707493058112668E-6</v>
      </c>
      <c r="BC451" s="28">
        <f t="shared" si="462"/>
        <v>4.0756679947431687E-4</v>
      </c>
      <c r="BD451" s="28">
        <f t="shared" si="462"/>
        <v>1.7808371643656147E-4</v>
      </c>
      <c r="BE451" s="28">
        <f t="shared" si="462"/>
        <v>1.9871532645593538E-3</v>
      </c>
      <c r="BF451" s="28">
        <f t="shared" si="462"/>
        <v>0</v>
      </c>
      <c r="BG451" s="28">
        <f t="shared" si="462"/>
        <v>8.2871360245989723E-5</v>
      </c>
      <c r="BH451" s="28">
        <f t="shared" si="462"/>
        <v>8.4643848941089747E-4</v>
      </c>
      <c r="BI451" s="28">
        <f t="shared" si="462"/>
        <v>0</v>
      </c>
      <c r="BJ451" s="28">
        <f t="shared" si="462"/>
        <v>1.3909357746197409E-5</v>
      </c>
      <c r="BK451" s="28">
        <f t="shared" si="462"/>
        <v>8.2468611215950395E-6</v>
      </c>
      <c r="BL451" s="28">
        <f t="shared" si="462"/>
        <v>2.8929084256732274E-9</v>
      </c>
      <c r="BM451" s="28">
        <f t="shared" si="462"/>
        <v>5.2224356754329059E-6</v>
      </c>
      <c r="BN451" s="28">
        <f t="shared" si="462"/>
        <v>0</v>
      </c>
      <c r="BO451" s="28">
        <f t="shared" si="462"/>
        <v>0</v>
      </c>
      <c r="BP451" s="28">
        <f t="shared" si="462"/>
        <v>1.9428603734262457E-5</v>
      </c>
      <c r="BQ451" s="28">
        <f t="shared" si="462"/>
        <v>8.0433046368995673E-5</v>
      </c>
      <c r="BR451" s="28">
        <f t="shared" si="462"/>
        <v>0</v>
      </c>
    </row>
    <row r="452" spans="1:70" x14ac:dyDescent="0.3">
      <c r="B452" s="2" t="s">
        <v>21</v>
      </c>
      <c r="C452" s="28"/>
      <c r="D452" s="328"/>
      <c r="E452" s="30">
        <f t="shared" si="459"/>
        <v>7.8332746614262497E-2</v>
      </c>
      <c r="F452" s="28">
        <f>F448*F$160</f>
        <v>1.3807155533323697E-4</v>
      </c>
      <c r="G452" s="28">
        <f t="shared" ref="G452:BR452" si="463">G448*G$160</f>
        <v>7.0107973260272462E-5</v>
      </c>
      <c r="H452" s="28">
        <f t="shared" si="463"/>
        <v>2.5113126817252461E-5</v>
      </c>
      <c r="I452" s="28">
        <f t="shared" si="463"/>
        <v>7.4949987820843505E-4</v>
      </c>
      <c r="J452" s="28">
        <f t="shared" si="463"/>
        <v>7.9851020596170485E-5</v>
      </c>
      <c r="K452" s="28">
        <f t="shared" si="463"/>
        <v>8.7996184336290185E-5</v>
      </c>
      <c r="L452" s="28">
        <f t="shared" si="463"/>
        <v>9.518157794313486E-5</v>
      </c>
      <c r="M452" s="28">
        <f t="shared" si="463"/>
        <v>8.1277387239504326E-5</v>
      </c>
      <c r="N452" s="28">
        <f t="shared" si="463"/>
        <v>6.8660284001475816E-5</v>
      </c>
      <c r="O452" s="28">
        <f t="shared" si="463"/>
        <v>5.5755163150523958E-4</v>
      </c>
      <c r="P452" s="28">
        <f t="shared" si="463"/>
        <v>1.8048577152430758E-4</v>
      </c>
      <c r="Q452" s="28">
        <f t="shared" si="463"/>
        <v>3.0292502891035156E-7</v>
      </c>
      <c r="R452" s="28">
        <f t="shared" si="463"/>
        <v>1.5261366466161975E-4</v>
      </c>
      <c r="S452" s="28">
        <f t="shared" si="463"/>
        <v>3.3978746907425229E-4</v>
      </c>
      <c r="T452" s="28">
        <f t="shared" si="463"/>
        <v>1.7777806294111916E-4</v>
      </c>
      <c r="U452" s="28">
        <f t="shared" si="463"/>
        <v>1.1165777925300237E-3</v>
      </c>
      <c r="V452" s="28">
        <f t="shared" si="463"/>
        <v>1.7428316188592219E-5</v>
      </c>
      <c r="W452" s="28">
        <f t="shared" si="463"/>
        <v>8.7749683993949062E-5</v>
      </c>
      <c r="X452" s="28">
        <f t="shared" si="463"/>
        <v>7.4222359989949301E-4</v>
      </c>
      <c r="Y452" s="28">
        <f t="shared" si="463"/>
        <v>2.0907085479581145E-5</v>
      </c>
      <c r="Z452" s="28">
        <f t="shared" si="463"/>
        <v>1.3129819697635682E-4</v>
      </c>
      <c r="AA452" s="28">
        <f t="shared" si="463"/>
        <v>5.8006404654288369E-5</v>
      </c>
      <c r="AB452" s="28">
        <f t="shared" si="463"/>
        <v>3.8777950371628206E-2</v>
      </c>
      <c r="AC452" s="28">
        <f t="shared" si="463"/>
        <v>1.7957527780415674E-3</v>
      </c>
      <c r="AD452" s="28">
        <f t="shared" si="463"/>
        <v>3.6760534379525371E-5</v>
      </c>
      <c r="AE452" s="28">
        <f t="shared" si="463"/>
        <v>2.3386207936551713E-4</v>
      </c>
      <c r="AF452" s="28">
        <f t="shared" si="463"/>
        <v>4.2882544925374594E-4</v>
      </c>
      <c r="AG452" s="28">
        <f t="shared" si="463"/>
        <v>1.9681526914060198E-4</v>
      </c>
      <c r="AH452" s="28">
        <f t="shared" si="463"/>
        <v>2.307331033104498E-4</v>
      </c>
      <c r="AI452" s="28">
        <f t="shared" si="463"/>
        <v>3.5361713166009751E-4</v>
      </c>
      <c r="AJ452" s="28">
        <f t="shared" si="463"/>
        <v>2.7811564663743995E-3</v>
      </c>
      <c r="AK452" s="28">
        <f t="shared" si="463"/>
        <v>4.3438102705172052E-4</v>
      </c>
      <c r="AL452" s="28">
        <f t="shared" si="463"/>
        <v>2.9935442098096856E-3</v>
      </c>
      <c r="AM452" s="28">
        <f t="shared" si="463"/>
        <v>2.0447985534357874E-4</v>
      </c>
      <c r="AN452" s="28">
        <f t="shared" si="463"/>
        <v>1.0902471132917099E-4</v>
      </c>
      <c r="AO452" s="28">
        <f t="shared" si="463"/>
        <v>2.437694816306546E-3</v>
      </c>
      <c r="AP452" s="28">
        <f t="shared" si="463"/>
        <v>1.329589126023577E-5</v>
      </c>
      <c r="AQ452" s="28">
        <f t="shared" si="463"/>
        <v>5.5832239308399871E-4</v>
      </c>
      <c r="AR452" s="28">
        <f t="shared" si="463"/>
        <v>8.4766323000413953E-5</v>
      </c>
      <c r="AS452" s="28">
        <f t="shared" si="463"/>
        <v>3.3977823141405025E-4</v>
      </c>
      <c r="AT452" s="28">
        <f t="shared" si="463"/>
        <v>3.9895410548930422E-4</v>
      </c>
      <c r="AU452" s="28">
        <f t="shared" si="463"/>
        <v>1.5494011701013173E-4</v>
      </c>
      <c r="AV452" s="28">
        <f t="shared" si="463"/>
        <v>1.0811627214694255E-3</v>
      </c>
      <c r="AW452" s="28">
        <f t="shared" si="463"/>
        <v>1.0767310023498597E-4</v>
      </c>
      <c r="AX452" s="28">
        <f t="shared" si="463"/>
        <v>1.7023540058221911E-4</v>
      </c>
      <c r="AY452" s="28">
        <f t="shared" si="463"/>
        <v>1.1535841056629215E-2</v>
      </c>
      <c r="AZ452" s="28">
        <f t="shared" si="463"/>
        <v>2.8070323616479166E-3</v>
      </c>
      <c r="BA452" s="28">
        <f t="shared" si="463"/>
        <v>1.1758558871517264E-3</v>
      </c>
      <c r="BB452" s="28">
        <f t="shared" si="463"/>
        <v>4.389373523764628E-5</v>
      </c>
      <c r="BC452" s="28">
        <f t="shared" si="463"/>
        <v>1.1214661864278098E-4</v>
      </c>
      <c r="BD452" s="28">
        <f t="shared" si="463"/>
        <v>5.0136161798757378E-5</v>
      </c>
      <c r="BE452" s="28">
        <f t="shared" si="463"/>
        <v>2.6756197154505089E-3</v>
      </c>
      <c r="BF452" s="28">
        <f t="shared" si="463"/>
        <v>1.402318466512605E-5</v>
      </c>
      <c r="BG452" s="28">
        <f t="shared" si="463"/>
        <v>4.4665941364742342E-5</v>
      </c>
      <c r="BH452" s="28">
        <f t="shared" si="463"/>
        <v>4.2597115151992571E-4</v>
      </c>
      <c r="BI452" s="28">
        <f t="shared" si="463"/>
        <v>1.7358307720970699E-4</v>
      </c>
      <c r="BJ452" s="28">
        <f t="shared" si="463"/>
        <v>1.017156193399264E-4</v>
      </c>
      <c r="BK452" s="28">
        <f t="shared" si="463"/>
        <v>3.1893713822377429E-5</v>
      </c>
      <c r="BL452" s="28">
        <f t="shared" si="463"/>
        <v>1.1496805586370648E-7</v>
      </c>
      <c r="BM452" s="28">
        <f t="shared" si="463"/>
        <v>1.2006903379821866E-5</v>
      </c>
      <c r="BN452" s="28">
        <f t="shared" si="463"/>
        <v>2.0953898692515304E-5</v>
      </c>
      <c r="BO452" s="28">
        <f t="shared" si="463"/>
        <v>9.5698512766795113E-6</v>
      </c>
      <c r="BP452" s="28">
        <f t="shared" si="463"/>
        <v>3.0262772336513899E-5</v>
      </c>
      <c r="BQ452" s="28">
        <f t="shared" si="463"/>
        <v>1.652643173076638E-4</v>
      </c>
      <c r="BR452" s="28">
        <f t="shared" si="463"/>
        <v>0</v>
      </c>
    </row>
    <row r="453" spans="1:70" x14ac:dyDescent="0.3">
      <c r="B453" s="3" t="s">
        <v>44</v>
      </c>
      <c r="C453" s="28"/>
      <c r="D453" s="328"/>
      <c r="E453" s="30">
        <f t="shared" si="459"/>
        <v>0.6722939497743432</v>
      </c>
      <c r="F453" s="28">
        <f t="shared" ref="F453:AK453" si="464">F448*F$162</f>
        <v>3.5885271208334655E-4</v>
      </c>
      <c r="G453" s="28">
        <f t="shared" si="464"/>
        <v>3.3070867136205713E-4</v>
      </c>
      <c r="H453" s="28">
        <f t="shared" si="464"/>
        <v>6.957984391154414E-5</v>
      </c>
      <c r="I453" s="28">
        <f t="shared" si="464"/>
        <v>6.1590337374065217E-3</v>
      </c>
      <c r="J453" s="28">
        <f t="shared" si="464"/>
        <v>4.5523724402918444E-4</v>
      </c>
      <c r="K453" s="28">
        <f t="shared" si="464"/>
        <v>7.8386684152977483E-4</v>
      </c>
      <c r="L453" s="28">
        <f t="shared" si="464"/>
        <v>6.051183589674316E-4</v>
      </c>
      <c r="M453" s="28">
        <f t="shared" si="464"/>
        <v>4.5611648208943799E-4</v>
      </c>
      <c r="N453" s="28">
        <f t="shared" si="464"/>
        <v>4.3373600783199536E-4</v>
      </c>
      <c r="O453" s="28">
        <f t="shared" si="464"/>
        <v>5.8360426284667566E-3</v>
      </c>
      <c r="P453" s="28">
        <f t="shared" si="464"/>
        <v>2.1485582999211028E-3</v>
      </c>
      <c r="Q453" s="28">
        <f t="shared" si="464"/>
        <v>5.0777534573057153E-6</v>
      </c>
      <c r="R453" s="28">
        <f t="shared" si="464"/>
        <v>1.0509869941225153E-3</v>
      </c>
      <c r="S453" s="28">
        <f t="shared" si="464"/>
        <v>1.3328535069668456E-3</v>
      </c>
      <c r="T453" s="28">
        <f t="shared" si="464"/>
        <v>2.1249876018656685E-3</v>
      </c>
      <c r="U453" s="28">
        <f t="shared" si="464"/>
        <v>1.2518525210303402E-2</v>
      </c>
      <c r="V453" s="28">
        <f t="shared" si="464"/>
        <v>3.0761014533777788E-4</v>
      </c>
      <c r="W453" s="28">
        <f t="shared" si="464"/>
        <v>1.9480251855411269E-3</v>
      </c>
      <c r="X453" s="28">
        <f t="shared" si="464"/>
        <v>8.4175419878182115E-3</v>
      </c>
      <c r="Y453" s="28">
        <f t="shared" si="464"/>
        <v>3.7415115803369505E-4</v>
      </c>
      <c r="Z453" s="28">
        <f t="shared" si="464"/>
        <v>1.4874462897290931E-3</v>
      </c>
      <c r="AA453" s="28">
        <f t="shared" si="464"/>
        <v>5.1418966250999399E-4</v>
      </c>
      <c r="AB453" s="28">
        <f t="shared" si="464"/>
        <v>0.42909528597946994</v>
      </c>
      <c r="AC453" s="28">
        <f t="shared" si="464"/>
        <v>6.1466818247616541E-3</v>
      </c>
      <c r="AD453" s="28">
        <f t="shared" si="464"/>
        <v>3.5141277828478856E-4</v>
      </c>
      <c r="AE453" s="28">
        <f t="shared" si="464"/>
        <v>1.3484968756842046E-3</v>
      </c>
      <c r="AF453" s="28">
        <f t="shared" si="464"/>
        <v>1.2416706301663985E-3</v>
      </c>
      <c r="AG453" s="28">
        <f t="shared" si="464"/>
        <v>1.2164651455620692E-3</v>
      </c>
      <c r="AH453" s="28">
        <f t="shared" si="464"/>
        <v>1.896479964982341E-3</v>
      </c>
      <c r="AI453" s="28">
        <f t="shared" si="464"/>
        <v>2.3744649848228749E-3</v>
      </c>
      <c r="AJ453" s="28">
        <f t="shared" si="464"/>
        <v>2.1897329330579737E-2</v>
      </c>
      <c r="AK453" s="28">
        <f t="shared" si="464"/>
        <v>3.8206419073252306E-3</v>
      </c>
      <c r="AL453" s="28">
        <f t="shared" ref="AL453:BR453" si="465">AL448*AL$162</f>
        <v>8.7664726113616132E-3</v>
      </c>
      <c r="AM453" s="28">
        <f t="shared" si="465"/>
        <v>7.5757795486226505E-4</v>
      </c>
      <c r="AN453" s="28">
        <f t="shared" si="465"/>
        <v>6.6454460180315265E-4</v>
      </c>
      <c r="AO453" s="28">
        <f t="shared" si="465"/>
        <v>1.8870529551800869E-2</v>
      </c>
      <c r="AP453" s="28">
        <f t="shared" si="465"/>
        <v>4.2120071778750418E-4</v>
      </c>
      <c r="AQ453" s="28">
        <f t="shared" si="465"/>
        <v>3.7804122697099635E-3</v>
      </c>
      <c r="AR453" s="28">
        <f t="shared" si="465"/>
        <v>5.0142742051394521E-4</v>
      </c>
      <c r="AS453" s="28">
        <f t="shared" si="465"/>
        <v>7.0880232479007214E-4</v>
      </c>
      <c r="AT453" s="28">
        <f t="shared" si="465"/>
        <v>2.3384659906166279E-3</v>
      </c>
      <c r="AU453" s="28">
        <f t="shared" si="465"/>
        <v>2.943096258176449E-3</v>
      </c>
      <c r="AV453" s="28">
        <f t="shared" si="465"/>
        <v>5.3702412661391823E-3</v>
      </c>
      <c r="AW453" s="28">
        <f t="shared" si="465"/>
        <v>1.2045930207337384E-3</v>
      </c>
      <c r="AX453" s="28">
        <f t="shared" si="465"/>
        <v>1.1379093012499309E-3</v>
      </c>
      <c r="AY453" s="28">
        <f t="shared" si="465"/>
        <v>3.1162733346983038E-2</v>
      </c>
      <c r="AZ453" s="28">
        <f t="shared" si="465"/>
        <v>4.494061394055119E-2</v>
      </c>
      <c r="BA453" s="28">
        <f t="shared" si="465"/>
        <v>1.2267336234221425E-2</v>
      </c>
      <c r="BB453" s="28">
        <f t="shared" si="465"/>
        <v>3.2697179140330369E-4</v>
      </c>
      <c r="BC453" s="28">
        <f t="shared" si="465"/>
        <v>1.3615202121615452E-3</v>
      </c>
      <c r="BD453" s="28">
        <f t="shared" si="465"/>
        <v>6.7554495937003571E-4</v>
      </c>
      <c r="BE453" s="28">
        <f t="shared" si="465"/>
        <v>5.5968813916768452E-3</v>
      </c>
      <c r="BF453" s="28">
        <f t="shared" si="465"/>
        <v>1.0677072641819413E-3</v>
      </c>
      <c r="BG453" s="28">
        <f t="shared" si="465"/>
        <v>4.8910010552407897E-4</v>
      </c>
      <c r="BH453" s="28">
        <f t="shared" si="465"/>
        <v>6.2235165688305453E-3</v>
      </c>
      <c r="BI453" s="28">
        <f t="shared" si="465"/>
        <v>1.0144764079107339E-3</v>
      </c>
      <c r="BJ453" s="28">
        <f t="shared" si="465"/>
        <v>1.1457124175557284E-3</v>
      </c>
      <c r="BK453" s="28">
        <f t="shared" si="465"/>
        <v>3.1154981981698296E-4</v>
      </c>
      <c r="BL453" s="28">
        <f t="shared" si="465"/>
        <v>1.4132069227004509E-6</v>
      </c>
      <c r="BM453" s="28">
        <f t="shared" si="465"/>
        <v>7.0950428656554252E-5</v>
      </c>
      <c r="BN453" s="28">
        <f t="shared" si="465"/>
        <v>6.633462638486377E-5</v>
      </c>
      <c r="BO453" s="28">
        <f t="shared" si="465"/>
        <v>1.3331942136334988E-4</v>
      </c>
      <c r="BP453" s="28">
        <f t="shared" si="465"/>
        <v>1.574986201977232E-4</v>
      </c>
      <c r="BQ453" s="28">
        <f t="shared" si="465"/>
        <v>7.0831997616149106E-4</v>
      </c>
      <c r="BR453" s="28">
        <f t="shared" si="465"/>
        <v>0</v>
      </c>
    </row>
    <row r="454" spans="1:70" x14ac:dyDescent="0.3">
      <c r="B454" s="3" t="s">
        <v>25</v>
      </c>
      <c r="C454" s="28"/>
      <c r="D454" s="328"/>
      <c r="E454" s="30">
        <f t="shared" si="459"/>
        <v>0.31631968100655267</v>
      </c>
      <c r="F454" s="28">
        <f t="shared" ref="F454:AK454" si="466">F448*F$164</f>
        <v>2.6050679432127448E-4</v>
      </c>
      <c r="G454" s="28">
        <f t="shared" si="466"/>
        <v>5.0304488815117172E-5</v>
      </c>
      <c r="H454" s="28">
        <f t="shared" si="466"/>
        <v>4.4391074276429329E-5</v>
      </c>
      <c r="I454" s="28">
        <f t="shared" si="466"/>
        <v>0</v>
      </c>
      <c r="J454" s="28">
        <f t="shared" si="466"/>
        <v>1.5608301584943177E-3</v>
      </c>
      <c r="K454" s="28">
        <f t="shared" si="466"/>
        <v>3.286701358450658E-3</v>
      </c>
      <c r="L454" s="28">
        <f t="shared" si="466"/>
        <v>5.0096945044577203E-4</v>
      </c>
      <c r="M454" s="28">
        <f t="shared" si="466"/>
        <v>1.6256667637001094E-3</v>
      </c>
      <c r="N454" s="28">
        <f t="shared" si="466"/>
        <v>1.6275777381729639E-5</v>
      </c>
      <c r="O454" s="28">
        <f t="shared" si="466"/>
        <v>0</v>
      </c>
      <c r="P454" s="28">
        <f t="shared" si="466"/>
        <v>1.7363118034770721E-2</v>
      </c>
      <c r="Q454" s="28">
        <f t="shared" si="466"/>
        <v>1.6355354279773925E-4</v>
      </c>
      <c r="R454" s="28">
        <f t="shared" si="466"/>
        <v>5.6738602416054459E-3</v>
      </c>
      <c r="S454" s="28">
        <f t="shared" si="466"/>
        <v>2.5574210697616694E-3</v>
      </c>
      <c r="T454" s="28">
        <f t="shared" si="466"/>
        <v>7.3994410669884367E-2</v>
      </c>
      <c r="U454" s="28">
        <f t="shared" si="466"/>
        <v>2.5207187832699315E-2</v>
      </c>
      <c r="V454" s="28">
        <f t="shared" si="466"/>
        <v>3.6967048331790335E-3</v>
      </c>
      <c r="W454" s="28">
        <f t="shared" si="466"/>
        <v>1.0802398620541585E-2</v>
      </c>
      <c r="X454" s="28">
        <f t="shared" si="466"/>
        <v>5.6333704200290428E-2</v>
      </c>
      <c r="Y454" s="28">
        <f t="shared" si="466"/>
        <v>2.6778326145459781E-3</v>
      </c>
      <c r="Z454" s="28">
        <f t="shared" si="466"/>
        <v>9.6208616244267738E-3</v>
      </c>
      <c r="AA454" s="28">
        <f t="shared" si="466"/>
        <v>8.9119053703917608E-4</v>
      </c>
      <c r="AB454" s="28">
        <f t="shared" si="466"/>
        <v>3.4295282365757185E-2</v>
      </c>
      <c r="AC454" s="28">
        <f t="shared" si="466"/>
        <v>9.2317468743012456E-4</v>
      </c>
      <c r="AD454" s="28">
        <f t="shared" si="466"/>
        <v>0</v>
      </c>
      <c r="AE454" s="28">
        <f t="shared" si="466"/>
        <v>0</v>
      </c>
      <c r="AF454" s="28">
        <f t="shared" si="466"/>
        <v>0</v>
      </c>
      <c r="AG454" s="28">
        <f t="shared" si="466"/>
        <v>1.0535315297366811E-3</v>
      </c>
      <c r="AH454" s="28">
        <f t="shared" si="466"/>
        <v>1.7430571846971355E-4</v>
      </c>
      <c r="AI454" s="28">
        <f t="shared" si="466"/>
        <v>2.8476854731137192E-5</v>
      </c>
      <c r="AJ454" s="28">
        <f t="shared" si="466"/>
        <v>0</v>
      </c>
      <c r="AK454" s="28">
        <f t="shared" si="466"/>
        <v>0</v>
      </c>
      <c r="AL454" s="28">
        <f t="shared" ref="AL454:BR454" si="467">AL448*AL$164</f>
        <v>1.6931685777218214E-3</v>
      </c>
      <c r="AM454" s="28">
        <f t="shared" si="467"/>
        <v>1.1755542459438854E-3</v>
      </c>
      <c r="AN454" s="28">
        <f t="shared" si="467"/>
        <v>2.9869953963837861E-3</v>
      </c>
      <c r="AO454" s="28">
        <f t="shared" si="467"/>
        <v>8.0087449688445445E-3</v>
      </c>
      <c r="AP454" s="28">
        <f t="shared" si="467"/>
        <v>9.1801517967517467E-5</v>
      </c>
      <c r="AQ454" s="28">
        <f t="shared" si="467"/>
        <v>1.124114965897587E-3</v>
      </c>
      <c r="AR454" s="28">
        <f t="shared" si="467"/>
        <v>3.1959914888038605E-4</v>
      </c>
      <c r="AS454" s="28">
        <f t="shared" si="467"/>
        <v>3.0587617475441196E-4</v>
      </c>
      <c r="AT454" s="28">
        <f t="shared" si="467"/>
        <v>1.1376900754519693E-3</v>
      </c>
      <c r="AU454" s="28">
        <f t="shared" si="467"/>
        <v>8.0842534459301383E-4</v>
      </c>
      <c r="AV454" s="28">
        <f t="shared" si="467"/>
        <v>1.3669874805528888E-3</v>
      </c>
      <c r="AW454" s="28">
        <f t="shared" si="467"/>
        <v>4.2962465258250579E-5</v>
      </c>
      <c r="AX454" s="28">
        <f t="shared" si="467"/>
        <v>8.4685525021998282E-5</v>
      </c>
      <c r="AY454" s="28">
        <f t="shared" si="467"/>
        <v>1.4329463518233872E-4</v>
      </c>
      <c r="AZ454" s="28">
        <f t="shared" si="467"/>
        <v>3.5864762462276892E-2</v>
      </c>
      <c r="BA454" s="28">
        <f t="shared" si="467"/>
        <v>3.3561818670301293E-3</v>
      </c>
      <c r="BB454" s="28">
        <f t="shared" si="467"/>
        <v>3.4092396864976678E-5</v>
      </c>
      <c r="BC454" s="28">
        <f t="shared" si="467"/>
        <v>6.030425167051301E-4</v>
      </c>
      <c r="BD454" s="28">
        <f t="shared" si="467"/>
        <v>8.5594711103428536E-5</v>
      </c>
      <c r="BE454" s="28">
        <f t="shared" si="467"/>
        <v>4.1572120147225881E-3</v>
      </c>
      <c r="BF454" s="28">
        <f t="shared" si="467"/>
        <v>6.0986585789283397E-6</v>
      </c>
      <c r="BG454" s="28">
        <f t="shared" si="467"/>
        <v>0</v>
      </c>
      <c r="BH454" s="28">
        <f t="shared" si="467"/>
        <v>8.1975099915074844E-5</v>
      </c>
      <c r="BI454" s="28">
        <f t="shared" si="467"/>
        <v>5.2834876547071673E-6</v>
      </c>
      <c r="BJ454" s="28">
        <f t="shared" si="467"/>
        <v>2.5575300293080036E-5</v>
      </c>
      <c r="BK454" s="28">
        <f t="shared" si="467"/>
        <v>2.9650615397097053E-6</v>
      </c>
      <c r="BL454" s="28">
        <f t="shared" si="467"/>
        <v>0</v>
      </c>
      <c r="BM454" s="28">
        <f t="shared" si="467"/>
        <v>4.0542841414082371E-6</v>
      </c>
      <c r="BN454" s="28">
        <f t="shared" si="467"/>
        <v>1.7728626342025631E-7</v>
      </c>
      <c r="BO454" s="28">
        <f t="shared" si="467"/>
        <v>0</v>
      </c>
      <c r="BP454" s="28">
        <f t="shared" si="467"/>
        <v>0</v>
      </c>
      <c r="BQ454" s="28">
        <f t="shared" si="467"/>
        <v>1.0449345629891373E-7</v>
      </c>
      <c r="BR454" s="28">
        <f t="shared" si="467"/>
        <v>0</v>
      </c>
    </row>
    <row r="455" spans="1:70" x14ac:dyDescent="0.3">
      <c r="A455" s="73">
        <v>24</v>
      </c>
      <c r="B455" s="16" t="s">
        <v>285</v>
      </c>
      <c r="C455" s="29"/>
      <c r="D455" s="3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</row>
    <row r="456" spans="1:70" x14ac:dyDescent="0.3">
      <c r="A456" s="3">
        <f>A446+1</f>
        <v>5</v>
      </c>
      <c r="B456" s="7" t="s">
        <v>61</v>
      </c>
      <c r="D456" s="327" t="s">
        <v>235</v>
      </c>
      <c r="E456" s="88">
        <f>HLOOKUP(A455,$F$305:$BK$372,A455+2)</f>
        <v>1.0193442161425701</v>
      </c>
    </row>
    <row r="457" spans="1:70" x14ac:dyDescent="0.3">
      <c r="D457" s="327" t="s">
        <v>60</v>
      </c>
      <c r="E457" s="88">
        <f>HLOOKUP(A455,$F$305:$BK$372,68)-E456</f>
        <v>0.7186153794253618</v>
      </c>
      <c r="F457" s="32"/>
    </row>
    <row r="458" spans="1:70" x14ac:dyDescent="0.3">
      <c r="C458" s="29"/>
      <c r="D458" s="327" t="s">
        <v>201</v>
      </c>
      <c r="E458" s="30">
        <f>E457+E456</f>
        <v>1.7379595955679319</v>
      </c>
      <c r="F458" s="95">
        <f t="shared" ref="F458:AK458" si="468">HLOOKUP($A455,$F$305:$BK$372,F$305+2)</f>
        <v>3.4812009385737217E-4</v>
      </c>
      <c r="G458" s="95">
        <f t="shared" si="468"/>
        <v>4.6636903672822271E-3</v>
      </c>
      <c r="H458" s="95">
        <f t="shared" si="468"/>
        <v>2.9960905061259974E-5</v>
      </c>
      <c r="I458" s="95">
        <f t="shared" si="468"/>
        <v>0.25099850919646949</v>
      </c>
      <c r="J458" s="95">
        <f t="shared" si="468"/>
        <v>8.9679928661393743E-4</v>
      </c>
      <c r="K458" s="95">
        <f t="shared" si="468"/>
        <v>1.489218547741E-3</v>
      </c>
      <c r="L458" s="95">
        <f t="shared" si="468"/>
        <v>2.230387474604097E-2</v>
      </c>
      <c r="M458" s="95">
        <f t="shared" si="468"/>
        <v>2.1163455665232402E-3</v>
      </c>
      <c r="N458" s="95">
        <f t="shared" si="468"/>
        <v>1.158351903886748E-3</v>
      </c>
      <c r="O458" s="95">
        <f t="shared" si="468"/>
        <v>2.0189864581501391E-2</v>
      </c>
      <c r="P458" s="95">
        <f t="shared" si="468"/>
        <v>2.0701770122054423E-2</v>
      </c>
      <c r="Q458" s="95">
        <f t="shared" si="468"/>
        <v>1.8598964919823389E-4</v>
      </c>
      <c r="R458" s="95">
        <f t="shared" si="468"/>
        <v>6.0063800162168989E-3</v>
      </c>
      <c r="S458" s="95">
        <f t="shared" si="468"/>
        <v>1.5179857771368428E-3</v>
      </c>
      <c r="T458" s="95">
        <f t="shared" si="468"/>
        <v>1.0465205585418032E-2</v>
      </c>
      <c r="U458" s="95">
        <f t="shared" si="468"/>
        <v>2.5493289100407046E-2</v>
      </c>
      <c r="V458" s="95">
        <f t="shared" si="468"/>
        <v>2.7715291732458317E-3</v>
      </c>
      <c r="W458" s="95">
        <f t="shared" si="468"/>
        <v>2.9247619058270891E-2</v>
      </c>
      <c r="X458" s="95">
        <f t="shared" si="468"/>
        <v>2.4610649558838196E-2</v>
      </c>
      <c r="Y458" s="95">
        <f t="shared" si="468"/>
        <v>4.2287986877717933E-3</v>
      </c>
      <c r="Z458" s="95">
        <f t="shared" si="468"/>
        <v>3.0340302719451627E-4</v>
      </c>
      <c r="AA458" s="95">
        <f t="shared" si="468"/>
        <v>1.4387866482889272E-3</v>
      </c>
      <c r="AB458" s="95">
        <f t="shared" si="468"/>
        <v>1.8727405042081716E-2</v>
      </c>
      <c r="AC458" s="95">
        <f t="shared" si="468"/>
        <v>1.0193442161425701</v>
      </c>
      <c r="AD458" s="95">
        <f t="shared" si="468"/>
        <v>2.8768440059365664E-2</v>
      </c>
      <c r="AE458" s="95">
        <f t="shared" si="468"/>
        <v>1.295748864149348E-3</v>
      </c>
      <c r="AF458" s="95">
        <f t="shared" si="468"/>
        <v>3.7636609786243755E-4</v>
      </c>
      <c r="AG458" s="95">
        <f t="shared" si="468"/>
        <v>1.0166773952469874E-3</v>
      </c>
      <c r="AH458" s="95">
        <f t="shared" si="468"/>
        <v>4.3889469187744119E-3</v>
      </c>
      <c r="AI458" s="95">
        <f t="shared" si="468"/>
        <v>4.4071848638055043E-3</v>
      </c>
      <c r="AJ458" s="95">
        <f t="shared" si="468"/>
        <v>3.1745873881554858E-2</v>
      </c>
      <c r="AK458" s="95">
        <f t="shared" si="468"/>
        <v>3.461891505461041E-3</v>
      </c>
      <c r="AL458" s="95">
        <f t="shared" ref="AL458:BK458" si="469">HLOOKUP($A455,$F$305:$BK$372,AL$305+2)</f>
        <v>2.4993256477836266E-2</v>
      </c>
      <c r="AM458" s="95">
        <f t="shared" si="469"/>
        <v>4.6991303835593363E-3</v>
      </c>
      <c r="AN458" s="95">
        <f t="shared" si="469"/>
        <v>1.2683664822392274E-3</v>
      </c>
      <c r="AO458" s="95">
        <f t="shared" si="469"/>
        <v>2.4217963417199943E-2</v>
      </c>
      <c r="AP458" s="95">
        <f t="shared" si="469"/>
        <v>4.2086352908328835E-3</v>
      </c>
      <c r="AQ458" s="95">
        <f t="shared" si="469"/>
        <v>1.1025306765605298E-3</v>
      </c>
      <c r="AR458" s="95">
        <f t="shared" si="469"/>
        <v>1.5297402990170296E-3</v>
      </c>
      <c r="AS458" s="95">
        <f t="shared" si="469"/>
        <v>1.5331899440741829E-3</v>
      </c>
      <c r="AT458" s="95">
        <f t="shared" si="469"/>
        <v>1.2609161596308956E-2</v>
      </c>
      <c r="AU458" s="95">
        <f t="shared" si="469"/>
        <v>9.6705252993608062E-3</v>
      </c>
      <c r="AV458" s="95">
        <f t="shared" si="469"/>
        <v>1.6300688380757006E-2</v>
      </c>
      <c r="AW458" s="95">
        <f t="shared" si="469"/>
        <v>2.4656554409106623E-3</v>
      </c>
      <c r="AX458" s="95">
        <f t="shared" si="469"/>
        <v>2.4478109968902335E-3</v>
      </c>
      <c r="AY458" s="95">
        <f t="shared" si="469"/>
        <v>1.7490914899832316E-2</v>
      </c>
      <c r="AZ458" s="95">
        <f t="shared" si="469"/>
        <v>2.4554718109005506E-2</v>
      </c>
      <c r="BA458" s="95">
        <f t="shared" si="469"/>
        <v>1.4786528783294242E-2</v>
      </c>
      <c r="BB458" s="95">
        <f t="shared" si="469"/>
        <v>1.4916154226327848E-3</v>
      </c>
      <c r="BC458" s="95">
        <f t="shared" si="469"/>
        <v>2.2831280954116063E-3</v>
      </c>
      <c r="BD458" s="95">
        <f t="shared" si="469"/>
        <v>1.2904496801894336E-3</v>
      </c>
      <c r="BE458" s="95">
        <f t="shared" si="469"/>
        <v>6.9759014954456277E-3</v>
      </c>
      <c r="BF458" s="95">
        <f t="shared" si="469"/>
        <v>9.2476773187017715E-4</v>
      </c>
      <c r="BG458" s="95">
        <f t="shared" si="469"/>
        <v>1.2788048625027152E-4</v>
      </c>
      <c r="BH458" s="95">
        <f t="shared" si="469"/>
        <v>1.0553963278692183E-2</v>
      </c>
      <c r="BI458" s="95">
        <f t="shared" si="469"/>
        <v>1.622763422511815E-3</v>
      </c>
      <c r="BJ458" s="95">
        <f t="shared" si="469"/>
        <v>1.8478202176001974E-3</v>
      </c>
      <c r="BK458" s="95">
        <f t="shared" si="469"/>
        <v>1.0691738350087536E-3</v>
      </c>
      <c r="BL458" s="95">
        <f t="shared" ref="BL458:BR458" si="470">HLOOKUP($A455,$F$305:$BK$372,BL$305+2)</f>
        <v>2.2032951284422921E-6</v>
      </c>
      <c r="BM458" s="95">
        <f t="shared" si="470"/>
        <v>7.2946792279922958E-5</v>
      </c>
      <c r="BN458" s="95">
        <f t="shared" si="470"/>
        <v>1.1098996011740366E-4</v>
      </c>
      <c r="BO458" s="95">
        <f t="shared" si="470"/>
        <v>5.4155054195613201E-4</v>
      </c>
      <c r="BP458" s="95">
        <f t="shared" si="470"/>
        <v>2.7157139804476167E-4</v>
      </c>
      <c r="BQ458" s="95">
        <f t="shared" si="470"/>
        <v>1.9516106722175446E-4</v>
      </c>
      <c r="BR458" s="95">
        <f t="shared" si="470"/>
        <v>0</v>
      </c>
    </row>
    <row r="459" spans="1:70" x14ac:dyDescent="0.3">
      <c r="B459" s="3" t="s">
        <v>110</v>
      </c>
      <c r="C459" s="29"/>
      <c r="D459" s="327"/>
      <c r="E459" s="30">
        <f>SUM(F459:BR459)</f>
        <v>1.1021509087120667E-2</v>
      </c>
      <c r="F459" s="28">
        <f>F458*F$155</f>
        <v>8.0122437791295908E-6</v>
      </c>
      <c r="G459" s="28">
        <f t="shared" ref="G459:BR459" si="471">G458*G$155</f>
        <v>5.6298277685607427E-5</v>
      </c>
      <c r="H459" s="28">
        <f t="shared" si="471"/>
        <v>6.0074357363633944E-7</v>
      </c>
      <c r="I459" s="28">
        <f t="shared" si="471"/>
        <v>4.2505576071067775E-3</v>
      </c>
      <c r="J459" s="28">
        <f t="shared" si="471"/>
        <v>9.3741113649890534E-7</v>
      </c>
      <c r="K459" s="28">
        <f t="shared" si="471"/>
        <v>6.2735091937369415E-6</v>
      </c>
      <c r="L459" s="28">
        <f t="shared" si="471"/>
        <v>7.0405918887128972E-5</v>
      </c>
      <c r="M459" s="28">
        <f t="shared" si="471"/>
        <v>1.0974713864896991E-5</v>
      </c>
      <c r="N459" s="28">
        <f t="shared" si="471"/>
        <v>2.4061299356851442E-6</v>
      </c>
      <c r="O459" s="28">
        <f t="shared" si="471"/>
        <v>2.3500440830985725E-4</v>
      </c>
      <c r="P459" s="28">
        <f t="shared" si="471"/>
        <v>2.3251149471077088E-5</v>
      </c>
      <c r="Q459" s="28">
        <f t="shared" si="471"/>
        <v>3.3270446609345109E-8</v>
      </c>
      <c r="R459" s="28">
        <f t="shared" si="471"/>
        <v>1.0381595211779178E-5</v>
      </c>
      <c r="S459" s="28">
        <f t="shared" si="471"/>
        <v>4.6302757272763649E-6</v>
      </c>
      <c r="T459" s="28">
        <f t="shared" si="471"/>
        <v>6.9337531659068621E-6</v>
      </c>
      <c r="U459" s="28">
        <f t="shared" si="471"/>
        <v>5.9205759471582215E-5</v>
      </c>
      <c r="V459" s="28">
        <f t="shared" si="471"/>
        <v>1.930130603467644E-6</v>
      </c>
      <c r="W459" s="28">
        <f t="shared" si="471"/>
        <v>2.5839594360148027E-5</v>
      </c>
      <c r="X459" s="28">
        <f t="shared" si="471"/>
        <v>2.1436511895485048E-5</v>
      </c>
      <c r="Y459" s="28">
        <f t="shared" si="471"/>
        <v>3.1763224811529484E-6</v>
      </c>
      <c r="Z459" s="28">
        <f t="shared" si="471"/>
        <v>1.9339146581927322E-7</v>
      </c>
      <c r="AA459" s="28">
        <f t="shared" si="471"/>
        <v>6.2482140477399015E-6</v>
      </c>
      <c r="AB459" s="28">
        <f t="shared" si="471"/>
        <v>8.5836688853778133E-5</v>
      </c>
      <c r="AC459" s="28">
        <f t="shared" si="471"/>
        <v>1.8464676620766265E-3</v>
      </c>
      <c r="AD459" s="28">
        <f t="shared" si="471"/>
        <v>2.8056262626062063E-6</v>
      </c>
      <c r="AE459" s="28">
        <f t="shared" si="471"/>
        <v>4.0965882411347583E-5</v>
      </c>
      <c r="AF459" s="28">
        <f t="shared" si="471"/>
        <v>2.6629704209699502E-6</v>
      </c>
      <c r="AG459" s="28">
        <f t="shared" si="471"/>
        <v>4.8360738514078738E-6</v>
      </c>
      <c r="AH459" s="28">
        <f t="shared" si="471"/>
        <v>5.0816207785096613E-5</v>
      </c>
      <c r="AI459" s="28">
        <f t="shared" si="471"/>
        <v>2.7800460768454731E-5</v>
      </c>
      <c r="AJ459" s="28">
        <f t="shared" si="471"/>
        <v>1.7640186104380369E-4</v>
      </c>
      <c r="AK459" s="28">
        <f t="shared" si="471"/>
        <v>1.8698051503148181E-5</v>
      </c>
      <c r="AL459" s="28">
        <f t="shared" si="471"/>
        <v>2.1198795778706882E-3</v>
      </c>
      <c r="AM459" s="28">
        <f t="shared" si="471"/>
        <v>0</v>
      </c>
      <c r="AN459" s="28">
        <f t="shared" si="471"/>
        <v>1.1253513025729994E-6</v>
      </c>
      <c r="AO459" s="28">
        <f t="shared" si="471"/>
        <v>6.0942498358947622E-5</v>
      </c>
      <c r="AP459" s="28">
        <f t="shared" si="471"/>
        <v>8.4512378036633661E-5</v>
      </c>
      <c r="AQ459" s="28">
        <f t="shared" si="471"/>
        <v>4.4293096915493955E-6</v>
      </c>
      <c r="AR459" s="28">
        <f t="shared" si="471"/>
        <v>2.9569710318335269E-6</v>
      </c>
      <c r="AS459" s="28">
        <f t="shared" si="471"/>
        <v>1.2782727678869666E-5</v>
      </c>
      <c r="AT459" s="28">
        <f t="shared" si="471"/>
        <v>1.4236790335876163E-5</v>
      </c>
      <c r="AU459" s="28">
        <f t="shared" si="471"/>
        <v>3.2668548934150589E-5</v>
      </c>
      <c r="AV459" s="28">
        <f t="shared" si="471"/>
        <v>4.8510248978352266E-4</v>
      </c>
      <c r="AW459" s="28">
        <f t="shared" si="471"/>
        <v>9.5088952437209228E-5</v>
      </c>
      <c r="AX459" s="28">
        <f t="shared" si="471"/>
        <v>6.9092286598426708E-5</v>
      </c>
      <c r="AY459" s="28">
        <f t="shared" si="471"/>
        <v>3.0137185519765812E-4</v>
      </c>
      <c r="AZ459" s="28">
        <f t="shared" si="471"/>
        <v>9.351650029558216E-5</v>
      </c>
      <c r="BA459" s="28">
        <f t="shared" si="471"/>
        <v>1.4236401245525335E-4</v>
      </c>
      <c r="BB459" s="28">
        <f t="shared" si="471"/>
        <v>4.0717326111190627E-5</v>
      </c>
      <c r="BC459" s="28">
        <f t="shared" si="471"/>
        <v>8.8659857485506983E-6</v>
      </c>
      <c r="BD459" s="28">
        <f t="shared" si="471"/>
        <v>1.0716751630279233E-5</v>
      </c>
      <c r="BE459" s="28">
        <f t="shared" si="471"/>
        <v>1.2582787054236955E-5</v>
      </c>
      <c r="BF459" s="28">
        <f t="shared" si="471"/>
        <v>1.8319394259189532E-6</v>
      </c>
      <c r="BG459" s="28">
        <f t="shared" si="471"/>
        <v>2.0858922590072082E-7</v>
      </c>
      <c r="BH459" s="28">
        <f t="shared" si="471"/>
        <v>1.028789839129474E-4</v>
      </c>
      <c r="BI459" s="28">
        <f t="shared" si="471"/>
        <v>8.0816319751882612E-5</v>
      </c>
      <c r="BJ459" s="28">
        <f t="shared" si="471"/>
        <v>7.5933591380911112E-5</v>
      </c>
      <c r="BK459" s="28">
        <f t="shared" si="471"/>
        <v>5.0109814506252007E-5</v>
      </c>
      <c r="BL459" s="28">
        <f t="shared" si="471"/>
        <v>1.2558197177819899E-7</v>
      </c>
      <c r="BM459" s="28">
        <f t="shared" si="471"/>
        <v>3.3055226766062499E-6</v>
      </c>
      <c r="BN459" s="28">
        <f t="shared" si="471"/>
        <v>5.7634149021150311E-6</v>
      </c>
      <c r="BO459" s="28">
        <f t="shared" si="471"/>
        <v>3.2893357253587199E-5</v>
      </c>
      <c r="BP459" s="28">
        <f t="shared" si="471"/>
        <v>7.3641325854566866E-6</v>
      </c>
      <c r="BQ459" s="28">
        <f t="shared" si="471"/>
        <v>5.3023221760430123E-6</v>
      </c>
      <c r="BR459" s="28">
        <f t="shared" si="471"/>
        <v>0</v>
      </c>
    </row>
    <row r="460" spans="1:70" x14ac:dyDescent="0.3">
      <c r="B460" s="3" t="s">
        <v>56</v>
      </c>
      <c r="C460" s="28"/>
      <c r="D460" s="328"/>
      <c r="E460" s="30">
        <f t="shared" ref="E460:E464" si="472">SUM(F460:BR460)</f>
        <v>0.22751007491968217</v>
      </c>
      <c r="F460" s="28">
        <f>F458*F$157</f>
        <v>4.3260997482536093E-5</v>
      </c>
      <c r="G460" s="28">
        <f t="shared" ref="G460:BR460" si="473">G458*G$157</f>
        <v>5.5463805414113806E-4</v>
      </c>
      <c r="H460" s="28">
        <f t="shared" si="473"/>
        <v>2.0821235630296923E-6</v>
      </c>
      <c r="I460" s="28">
        <f t="shared" si="473"/>
        <v>6.5011912811076197E-2</v>
      </c>
      <c r="J460" s="28">
        <f t="shared" si="473"/>
        <v>6.8601756337747344E-5</v>
      </c>
      <c r="K460" s="28">
        <f t="shared" si="473"/>
        <v>1.5855837601371563E-4</v>
      </c>
      <c r="L460" s="28">
        <f t="shared" si="473"/>
        <v>2.4981755351009632E-3</v>
      </c>
      <c r="M460" s="28">
        <f t="shared" si="473"/>
        <v>9.9160212409810911E-5</v>
      </c>
      <c r="N460" s="28">
        <f t="shared" si="473"/>
        <v>2.1660333563279323E-4</v>
      </c>
      <c r="O460" s="28">
        <f t="shared" si="473"/>
        <v>1.9976678596156498E-3</v>
      </c>
      <c r="P460" s="28">
        <f t="shared" si="473"/>
        <v>6.0520643903187721E-4</v>
      </c>
      <c r="Q460" s="28">
        <f t="shared" si="473"/>
        <v>3.7393088906590045E-6</v>
      </c>
      <c r="R460" s="28">
        <f t="shared" si="473"/>
        <v>4.6149185120793879E-4</v>
      </c>
      <c r="S460" s="28">
        <f t="shared" si="473"/>
        <v>1.8184089398250611E-4</v>
      </c>
      <c r="T460" s="28">
        <f t="shared" si="473"/>
        <v>1.8142187817919375E-4</v>
      </c>
      <c r="U460" s="28">
        <f t="shared" si="473"/>
        <v>2.9540684354986738E-3</v>
      </c>
      <c r="V460" s="28">
        <f t="shared" si="473"/>
        <v>7.138536821822751E-5</v>
      </c>
      <c r="W460" s="28">
        <f t="shared" si="473"/>
        <v>1.8142204860983572E-3</v>
      </c>
      <c r="X460" s="28">
        <f t="shared" si="473"/>
        <v>1.8928272828836014E-3</v>
      </c>
      <c r="Y460" s="28">
        <f t="shared" si="473"/>
        <v>2.0217625311429475E-4</v>
      </c>
      <c r="Z460" s="28">
        <f t="shared" si="473"/>
        <v>1.8346274148533566E-5</v>
      </c>
      <c r="AA460" s="28">
        <f t="shared" si="473"/>
        <v>2.0801931983396735E-4</v>
      </c>
      <c r="AB460" s="28">
        <f t="shared" si="473"/>
        <v>5.3879835079429844E-3</v>
      </c>
      <c r="AC460" s="28">
        <f t="shared" si="473"/>
        <v>8.8891443671180834E-2</v>
      </c>
      <c r="AD460" s="28">
        <f t="shared" si="473"/>
        <v>7.7767854204913384E-4</v>
      </c>
      <c r="AE460" s="28">
        <f t="shared" si="473"/>
        <v>1.3517478689454131E-4</v>
      </c>
      <c r="AF460" s="28">
        <f t="shared" si="473"/>
        <v>7.9879405096213653E-5</v>
      </c>
      <c r="AG460" s="28">
        <f t="shared" si="473"/>
        <v>8.5000485793176918E-5</v>
      </c>
      <c r="AH460" s="28">
        <f t="shared" si="473"/>
        <v>1.136269627496812E-3</v>
      </c>
      <c r="AI460" s="28">
        <f t="shared" si="473"/>
        <v>1.3989374267542008E-3</v>
      </c>
      <c r="AJ460" s="28">
        <f t="shared" si="473"/>
        <v>8.2130317068779216E-3</v>
      </c>
      <c r="AK460" s="28">
        <f t="shared" si="473"/>
        <v>1.3561899907347274E-3</v>
      </c>
      <c r="AL460" s="28">
        <f t="shared" si="473"/>
        <v>4.5085119406352665E-3</v>
      </c>
      <c r="AM460" s="28">
        <f t="shared" si="473"/>
        <v>9.2566877742664285E-5</v>
      </c>
      <c r="AN460" s="28">
        <f t="shared" si="473"/>
        <v>9.0404594356115103E-5</v>
      </c>
      <c r="AO460" s="28">
        <f t="shared" si="473"/>
        <v>2.5743506773829631E-3</v>
      </c>
      <c r="AP460" s="28">
        <f t="shared" si="473"/>
        <v>1.6897870625648553E-3</v>
      </c>
      <c r="AQ460" s="28">
        <f t="shared" si="473"/>
        <v>2.9472354969721753E-4</v>
      </c>
      <c r="AR460" s="28">
        <f t="shared" si="473"/>
        <v>4.0171847840663019E-4</v>
      </c>
      <c r="AS460" s="28">
        <f t="shared" si="473"/>
        <v>3.5265330114770343E-4</v>
      </c>
      <c r="AT460" s="28">
        <f t="shared" si="473"/>
        <v>1.1112283419234543E-3</v>
      </c>
      <c r="AU460" s="28">
        <f t="shared" si="473"/>
        <v>3.848123519794913E-3</v>
      </c>
      <c r="AV460" s="28">
        <f t="shared" si="473"/>
        <v>3.4705292702537868E-3</v>
      </c>
      <c r="AW460" s="28">
        <f t="shared" si="473"/>
        <v>5.6806903864660082E-4</v>
      </c>
      <c r="AX460" s="28">
        <f t="shared" si="473"/>
        <v>5.71995863215348E-4</v>
      </c>
      <c r="AY460" s="28">
        <f t="shared" si="473"/>
        <v>1.155608371645214E-3</v>
      </c>
      <c r="AZ460" s="28">
        <f t="shared" si="473"/>
        <v>5.1972406407804102E-3</v>
      </c>
      <c r="BA460" s="28">
        <f t="shared" si="473"/>
        <v>4.4451483114177426E-3</v>
      </c>
      <c r="BB460" s="28">
        <f t="shared" si="473"/>
        <v>8.8569112052405133E-4</v>
      </c>
      <c r="BC460" s="28">
        <f t="shared" si="473"/>
        <v>4.4517305201211693E-4</v>
      </c>
      <c r="BD460" s="28">
        <f t="shared" si="473"/>
        <v>4.1804994301886307E-4</v>
      </c>
      <c r="BE460" s="28">
        <f t="shared" si="473"/>
        <v>4.5578390538897139E-4</v>
      </c>
      <c r="BF460" s="28">
        <f t="shared" si="473"/>
        <v>6.8209251545273716E-4</v>
      </c>
      <c r="BG460" s="28">
        <f t="shared" si="473"/>
        <v>2.7853874286580973E-5</v>
      </c>
      <c r="BH460" s="28">
        <f t="shared" si="473"/>
        <v>4.5131267039527564E-3</v>
      </c>
      <c r="BI460" s="28">
        <f t="shared" si="473"/>
        <v>8.5274081997279458E-4</v>
      </c>
      <c r="BJ460" s="28">
        <f t="shared" si="473"/>
        <v>1.1840279036569438E-3</v>
      </c>
      <c r="BK460" s="28">
        <f t="shared" si="473"/>
        <v>5.5548108404385036E-4</v>
      </c>
      <c r="BL460" s="28">
        <f t="shared" si="473"/>
        <v>1.2831640728736674E-6</v>
      </c>
      <c r="BM460" s="28">
        <f t="shared" si="473"/>
        <v>2.7670942882651741E-5</v>
      </c>
      <c r="BN460" s="28">
        <f t="shared" si="473"/>
        <v>3.1233325695701356E-5</v>
      </c>
      <c r="BO460" s="28">
        <f t="shared" si="473"/>
        <v>2.1563191053690359E-4</v>
      </c>
      <c r="BP460" s="28">
        <f t="shared" si="473"/>
        <v>7.7124690794590098E-5</v>
      </c>
      <c r="BQ460" s="28">
        <f t="shared" si="473"/>
        <v>5.7456120496920859E-5</v>
      </c>
      <c r="BR460" s="28">
        <f t="shared" si="473"/>
        <v>0</v>
      </c>
    </row>
    <row r="461" spans="1:70" x14ac:dyDescent="0.3">
      <c r="B461" s="2" t="s">
        <v>22</v>
      </c>
      <c r="C461" s="28"/>
      <c r="D461" s="328"/>
      <c r="E461" s="30">
        <f>SUM(F461:BR461)</f>
        <v>0.35308542350113947</v>
      </c>
      <c r="F461" s="28">
        <f t="shared" ref="F461:AK461" si="474">F458*F$161</f>
        <v>9.0060136281279327E-5</v>
      </c>
      <c r="G461" s="28">
        <f t="shared" si="474"/>
        <v>7.6670374870257084E-4</v>
      </c>
      <c r="H461" s="28">
        <f t="shared" si="474"/>
        <v>3.7685855557508253E-6</v>
      </c>
      <c r="I461" s="28">
        <f t="shared" si="474"/>
        <v>4.9006520752430248E-2</v>
      </c>
      <c r="J461" s="28">
        <f t="shared" si="474"/>
        <v>1.9206025089020775E-5</v>
      </c>
      <c r="K461" s="28">
        <f t="shared" si="474"/>
        <v>1.9663826325509538E-5</v>
      </c>
      <c r="L461" s="28">
        <f t="shared" si="474"/>
        <v>1.3387624884790513E-3</v>
      </c>
      <c r="M461" s="28">
        <f t="shared" si="474"/>
        <v>1.5575722228266625E-4</v>
      </c>
      <c r="N461" s="28">
        <f t="shared" si="474"/>
        <v>9.9672146152874976E-5</v>
      </c>
      <c r="O461" s="28">
        <f t="shared" si="474"/>
        <v>5.237551549433634E-3</v>
      </c>
      <c r="P461" s="28">
        <f t="shared" si="474"/>
        <v>9.8095871681934594E-4</v>
      </c>
      <c r="Q461" s="28">
        <f t="shared" si="474"/>
        <v>1.0731268897039076E-6</v>
      </c>
      <c r="R461" s="28">
        <f t="shared" si="474"/>
        <v>9.1685386355171408E-5</v>
      </c>
      <c r="S461" s="28">
        <f t="shared" si="474"/>
        <v>3.5101025347020816E-5</v>
      </c>
      <c r="T461" s="28">
        <f t="shared" si="474"/>
        <v>6.4208431803149192E-5</v>
      </c>
      <c r="U461" s="28">
        <f t="shared" si="474"/>
        <v>8.5573959847892592E-4</v>
      </c>
      <c r="V461" s="28">
        <f t="shared" si="474"/>
        <v>5.2223669616106864E-5</v>
      </c>
      <c r="W461" s="28">
        <f t="shared" si="474"/>
        <v>9.7959293924829334E-4</v>
      </c>
      <c r="X461" s="28">
        <f t="shared" si="474"/>
        <v>4.3083898767750137E-4</v>
      </c>
      <c r="Y461" s="28">
        <f t="shared" si="474"/>
        <v>1.7914245447238198E-4</v>
      </c>
      <c r="Z461" s="28">
        <f t="shared" si="474"/>
        <v>1.1627135481827763E-5</v>
      </c>
      <c r="AA461" s="28">
        <f t="shared" si="474"/>
        <v>5.0202250843839628E-5</v>
      </c>
      <c r="AB461" s="28">
        <f t="shared" si="474"/>
        <v>1.1901911596186243E-3</v>
      </c>
      <c r="AC461" s="28">
        <f t="shared" si="474"/>
        <v>0.25392580595983849</v>
      </c>
      <c r="AD461" s="28">
        <f t="shared" si="474"/>
        <v>1.8706136741428235E-3</v>
      </c>
      <c r="AE461" s="28">
        <f t="shared" si="474"/>
        <v>1.9120706705020275E-4</v>
      </c>
      <c r="AF461" s="28">
        <f t="shared" si="474"/>
        <v>7.6040269990916218E-5</v>
      </c>
      <c r="AG461" s="28">
        <f t="shared" si="474"/>
        <v>8.5502133310047458E-5</v>
      </c>
      <c r="AH461" s="28">
        <f t="shared" si="474"/>
        <v>2.480466049155542E-4</v>
      </c>
      <c r="AI461" s="28">
        <f t="shared" si="474"/>
        <v>2.052797733340834E-4</v>
      </c>
      <c r="AJ461" s="28">
        <f t="shared" si="474"/>
        <v>6.3583792919109407E-3</v>
      </c>
      <c r="AK461" s="28">
        <f t="shared" si="474"/>
        <v>2.9853685120312878E-4</v>
      </c>
      <c r="AL461" s="28">
        <f t="shared" ref="AL461:BR461" si="475">AL458*AL$161</f>
        <v>9.5788328373055032E-4</v>
      </c>
      <c r="AM461" s="28">
        <f t="shared" si="475"/>
        <v>2.3826451423501836E-4</v>
      </c>
      <c r="AN461" s="28">
        <f t="shared" si="475"/>
        <v>0</v>
      </c>
      <c r="AO461" s="28">
        <f t="shared" si="475"/>
        <v>3.9223918261383113E-3</v>
      </c>
      <c r="AP461" s="28">
        <f t="shared" si="475"/>
        <v>2.2433935742184239E-4</v>
      </c>
      <c r="AQ461" s="28">
        <f t="shared" si="475"/>
        <v>6.7632270586458749E-6</v>
      </c>
      <c r="AR461" s="28">
        <f t="shared" si="475"/>
        <v>1.9497266791010274E-5</v>
      </c>
      <c r="AS461" s="28">
        <f t="shared" si="475"/>
        <v>2.1255159701401508E-6</v>
      </c>
      <c r="AT461" s="28">
        <f t="shared" si="475"/>
        <v>2.6227586427642904E-3</v>
      </c>
      <c r="AU461" s="28">
        <f t="shared" si="475"/>
        <v>1.3270824832563263E-3</v>
      </c>
      <c r="AV461" s="28">
        <f t="shared" si="475"/>
        <v>3.122910376476609E-3</v>
      </c>
      <c r="AW461" s="28">
        <f t="shared" si="475"/>
        <v>5.2164479306170814E-4</v>
      </c>
      <c r="AX461" s="28">
        <f t="shared" si="475"/>
        <v>3.5974382139100159E-4</v>
      </c>
      <c r="AY461" s="28">
        <f t="shared" si="475"/>
        <v>6.4889003754856995E-3</v>
      </c>
      <c r="AZ461" s="28">
        <f t="shared" si="475"/>
        <v>4.3732368225033067E-3</v>
      </c>
      <c r="BA461" s="28">
        <f t="shared" si="475"/>
        <v>1.7949073935717814E-3</v>
      </c>
      <c r="BB461" s="28">
        <f t="shared" si="475"/>
        <v>5.8047288507017591E-6</v>
      </c>
      <c r="BC461" s="28">
        <f t="shared" si="475"/>
        <v>2.1169281249901786E-4</v>
      </c>
      <c r="BD461" s="28">
        <f t="shared" si="475"/>
        <v>1.4900623974812202E-4</v>
      </c>
      <c r="BE461" s="28">
        <f t="shared" si="475"/>
        <v>9.8035004352156857E-4</v>
      </c>
      <c r="BF461" s="28">
        <f t="shared" si="475"/>
        <v>0</v>
      </c>
      <c r="BG461" s="28">
        <f t="shared" si="475"/>
        <v>6.3875040960469695E-6</v>
      </c>
      <c r="BH461" s="28">
        <f t="shared" si="475"/>
        <v>7.705899744862711E-4</v>
      </c>
      <c r="BI461" s="28">
        <f t="shared" si="475"/>
        <v>0</v>
      </c>
      <c r="BJ461" s="28">
        <f t="shared" si="475"/>
        <v>1.5982024076095366E-5</v>
      </c>
      <c r="BK461" s="28">
        <f t="shared" si="475"/>
        <v>1.6881867698686844E-5</v>
      </c>
      <c r="BL461" s="28">
        <f t="shared" si="475"/>
        <v>2.8592382889872838E-9</v>
      </c>
      <c r="BM461" s="28">
        <f t="shared" si="475"/>
        <v>2.689859469888962E-6</v>
      </c>
      <c r="BN461" s="28">
        <f t="shared" si="475"/>
        <v>0</v>
      </c>
      <c r="BO461" s="28">
        <f t="shared" si="475"/>
        <v>0</v>
      </c>
      <c r="BP461" s="28">
        <f t="shared" si="475"/>
        <v>1.3927578536122706E-5</v>
      </c>
      <c r="BQ461" s="28">
        <f t="shared" si="475"/>
        <v>9.9953199818001185E-6</v>
      </c>
      <c r="BR461" s="28">
        <f t="shared" si="475"/>
        <v>0</v>
      </c>
    </row>
    <row r="462" spans="1:70" x14ac:dyDescent="0.3">
      <c r="B462" s="2" t="s">
        <v>21</v>
      </c>
      <c r="C462" s="28"/>
      <c r="D462" s="328"/>
      <c r="E462" s="30">
        <f t="shared" si="472"/>
        <v>0.19115434361457781</v>
      </c>
      <c r="F462" s="28">
        <f>F458*F$160</f>
        <v>3.784354387588033E-5</v>
      </c>
      <c r="G462" s="28">
        <f t="shared" ref="G462:BR462" si="476">G458*G$160</f>
        <v>3.6812300530503369E-4</v>
      </c>
      <c r="H462" s="28">
        <f t="shared" si="476"/>
        <v>3.6353470339230355E-6</v>
      </c>
      <c r="I462" s="28">
        <f t="shared" si="476"/>
        <v>1.6936552696304147E-2</v>
      </c>
      <c r="J462" s="28">
        <f t="shared" si="476"/>
        <v>1.8638307786962363E-5</v>
      </c>
      <c r="K462" s="28">
        <f t="shared" si="476"/>
        <v>2.2535951400927648E-5</v>
      </c>
      <c r="L462" s="28">
        <f t="shared" si="476"/>
        <v>7.1458645216023245E-4</v>
      </c>
      <c r="M462" s="28">
        <f t="shared" si="476"/>
        <v>5.6061776534267116E-5</v>
      </c>
      <c r="N462" s="28">
        <f t="shared" si="476"/>
        <v>5.9273542787991162E-5</v>
      </c>
      <c r="O462" s="28">
        <f t="shared" si="476"/>
        <v>7.8476781883535848E-4</v>
      </c>
      <c r="P462" s="28">
        <f t="shared" si="476"/>
        <v>1.4525117251991553E-4</v>
      </c>
      <c r="Q462" s="28">
        <f t="shared" si="476"/>
        <v>3.0528906702405283E-7</v>
      </c>
      <c r="R462" s="28">
        <f t="shared" si="476"/>
        <v>9.355055767514857E-5</v>
      </c>
      <c r="S462" s="28">
        <f t="shared" si="476"/>
        <v>7.4636762429713935E-5</v>
      </c>
      <c r="T462" s="28">
        <f t="shared" si="476"/>
        <v>2.2469956863278473E-5</v>
      </c>
      <c r="U462" s="28">
        <f t="shared" si="476"/>
        <v>3.7305538435408519E-4</v>
      </c>
      <c r="V462" s="28">
        <f t="shared" si="476"/>
        <v>7.3737406366490871E-6</v>
      </c>
      <c r="W462" s="28">
        <f t="shared" si="476"/>
        <v>1.3179529789982794E-4</v>
      </c>
      <c r="X462" s="28">
        <f t="shared" si="476"/>
        <v>2.2237191570880779E-4</v>
      </c>
      <c r="Y462" s="28">
        <f t="shared" si="476"/>
        <v>2.2573579840069709E-5</v>
      </c>
      <c r="Z462" s="28">
        <f t="shared" si="476"/>
        <v>2.8594078204132742E-6</v>
      </c>
      <c r="AA462" s="28">
        <f t="shared" si="476"/>
        <v>3.2743537512246011E-5</v>
      </c>
      <c r="AB462" s="28">
        <f t="shared" si="476"/>
        <v>6.5312263633359922E-4</v>
      </c>
      <c r="AC462" s="28">
        <f t="shared" si="476"/>
        <v>0.15132681252784488</v>
      </c>
      <c r="AD462" s="28">
        <f t="shared" si="476"/>
        <v>3.0976851135526275E-4</v>
      </c>
      <c r="AE462" s="28">
        <f t="shared" si="476"/>
        <v>7.064260973609536E-5</v>
      </c>
      <c r="AF462" s="28">
        <f t="shared" si="476"/>
        <v>9.3440051933707619E-5</v>
      </c>
      <c r="AG462" s="28">
        <f t="shared" si="476"/>
        <v>3.3431180992877829E-5</v>
      </c>
      <c r="AH462" s="28">
        <f t="shared" si="476"/>
        <v>1.9239666185369241E-4</v>
      </c>
      <c r="AI462" s="28">
        <f t="shared" si="476"/>
        <v>2.8101210184058384E-4</v>
      </c>
      <c r="AJ462" s="28">
        <f t="shared" si="476"/>
        <v>2.1184727031970871E-3</v>
      </c>
      <c r="AK462" s="28">
        <f t="shared" si="476"/>
        <v>2.1262487252548864E-4</v>
      </c>
      <c r="AL462" s="28">
        <f t="shared" si="476"/>
        <v>2.8339582168509223E-3</v>
      </c>
      <c r="AM462" s="28">
        <f t="shared" si="476"/>
        <v>1.2265106157955836E-4</v>
      </c>
      <c r="AN462" s="28">
        <f t="shared" si="476"/>
        <v>1.7727990248951958E-5</v>
      </c>
      <c r="AO462" s="28">
        <f t="shared" si="476"/>
        <v>9.6715248371434265E-4</v>
      </c>
      <c r="AP462" s="28">
        <f t="shared" si="476"/>
        <v>6.2457805070794442E-5</v>
      </c>
      <c r="AQ462" s="28">
        <f t="shared" si="476"/>
        <v>5.201100308899234E-5</v>
      </c>
      <c r="AR462" s="28">
        <f t="shared" si="476"/>
        <v>8.4861450104985848E-5</v>
      </c>
      <c r="AS462" s="28">
        <f t="shared" si="476"/>
        <v>3.092141369643834E-4</v>
      </c>
      <c r="AT462" s="28">
        <f t="shared" si="476"/>
        <v>7.677625888482762E-4</v>
      </c>
      <c r="AU462" s="28">
        <f t="shared" si="476"/>
        <v>2.827510114432053E-4</v>
      </c>
      <c r="AV462" s="28">
        <f t="shared" si="476"/>
        <v>1.6646094263969989E-3</v>
      </c>
      <c r="AW462" s="28">
        <f t="shared" si="476"/>
        <v>1.0710045471741692E-4</v>
      </c>
      <c r="AX462" s="28">
        <f t="shared" si="476"/>
        <v>1.6354642470670165E-4</v>
      </c>
      <c r="AY462" s="28">
        <f t="shared" si="476"/>
        <v>4.6247216539864553E-3</v>
      </c>
      <c r="AZ462" s="28">
        <f t="shared" si="476"/>
        <v>6.3595731904618025E-4</v>
      </c>
      <c r="BA462" s="28">
        <f t="shared" si="476"/>
        <v>6.5878751899904814E-4</v>
      </c>
      <c r="BB462" s="28">
        <f t="shared" si="476"/>
        <v>1.1737478418946562E-4</v>
      </c>
      <c r="BC462" s="28">
        <f t="shared" si="476"/>
        <v>5.8249673779527584E-5</v>
      </c>
      <c r="BD462" s="28">
        <f t="shared" si="476"/>
        <v>4.1949938458845676E-5</v>
      </c>
      <c r="BE462" s="28">
        <f t="shared" si="476"/>
        <v>1.3200008027919915E-3</v>
      </c>
      <c r="BF462" s="28">
        <f t="shared" si="476"/>
        <v>9.0799950846965125E-6</v>
      </c>
      <c r="BG462" s="28">
        <f t="shared" si="476"/>
        <v>3.4427319953987575E-6</v>
      </c>
      <c r="BH462" s="28">
        <f t="shared" si="476"/>
        <v>3.8780029841280162E-4</v>
      </c>
      <c r="BI462" s="28">
        <f t="shared" si="476"/>
        <v>1.7697817427384793E-4</v>
      </c>
      <c r="BJ462" s="28">
        <f t="shared" si="476"/>
        <v>1.168725046021678E-4</v>
      </c>
      <c r="BK462" s="28">
        <f t="shared" si="476"/>
        <v>6.5288532113054169E-5</v>
      </c>
      <c r="BL462" s="28">
        <f t="shared" si="476"/>
        <v>1.1362995953093113E-7</v>
      </c>
      <c r="BM462" s="28">
        <f t="shared" si="476"/>
        <v>6.1842566893039664E-6</v>
      </c>
      <c r="BN462" s="28">
        <f t="shared" si="476"/>
        <v>1.4141889364924116E-5</v>
      </c>
      <c r="BO462" s="28">
        <f t="shared" si="476"/>
        <v>1.6635598100758538E-5</v>
      </c>
      <c r="BP462" s="28">
        <f t="shared" si="476"/>
        <v>2.1694154876106917E-5</v>
      </c>
      <c r="BQ462" s="28">
        <f t="shared" si="476"/>
        <v>2.0537202153026859E-5</v>
      </c>
      <c r="BR462" s="28">
        <f t="shared" si="476"/>
        <v>0</v>
      </c>
    </row>
    <row r="463" spans="1:70" x14ac:dyDescent="0.3">
      <c r="B463" s="3" t="s">
        <v>44</v>
      </c>
      <c r="C463" s="28"/>
      <c r="D463" s="328"/>
      <c r="E463" s="30">
        <f t="shared" si="472"/>
        <v>0.80388082295288377</v>
      </c>
      <c r="F463" s="28">
        <f t="shared" ref="F463:AK463" si="477">F458*F$162</f>
        <v>9.8356669640815568E-5</v>
      </c>
      <c r="G463" s="28">
        <f t="shared" si="477"/>
        <v>1.7364853713610557E-3</v>
      </c>
      <c r="H463" s="28">
        <f t="shared" si="477"/>
        <v>1.0072297289992892E-5</v>
      </c>
      <c r="I463" s="28">
        <f t="shared" si="477"/>
        <v>0.13917653956294757</v>
      </c>
      <c r="J463" s="28">
        <f t="shared" si="477"/>
        <v>1.0625852752984539E-4</v>
      </c>
      <c r="K463" s="28">
        <f t="shared" si="477"/>
        <v>2.0074944361227746E-4</v>
      </c>
      <c r="L463" s="28">
        <f t="shared" si="477"/>
        <v>4.5429944598091975E-3</v>
      </c>
      <c r="M463" s="28">
        <f t="shared" si="477"/>
        <v>3.1461026444100127E-4</v>
      </c>
      <c r="N463" s="28">
        <f t="shared" si="477"/>
        <v>3.7443873401935891E-4</v>
      </c>
      <c r="O463" s="28">
        <f t="shared" si="477"/>
        <v>8.214375468344387E-3</v>
      </c>
      <c r="P463" s="28">
        <f t="shared" si="477"/>
        <v>1.7291147643120771E-3</v>
      </c>
      <c r="Q463" s="28">
        <f t="shared" si="477"/>
        <v>5.1173804328257916E-6</v>
      </c>
      <c r="R463" s="28">
        <f t="shared" si="477"/>
        <v>6.4424387965185685E-4</v>
      </c>
      <c r="S463" s="28">
        <f t="shared" si="477"/>
        <v>2.9277086298717096E-4</v>
      </c>
      <c r="T463" s="28">
        <f t="shared" si="477"/>
        <v>2.6858420526686469E-4</v>
      </c>
      <c r="U463" s="28">
        <f t="shared" si="477"/>
        <v>4.1825148817389423E-3</v>
      </c>
      <c r="V463" s="28">
        <f t="shared" si="477"/>
        <v>1.3014667649921278E-4</v>
      </c>
      <c r="W463" s="28">
        <f t="shared" si="477"/>
        <v>2.9258288800500343E-3</v>
      </c>
      <c r="X463" s="28">
        <f t="shared" si="477"/>
        <v>2.5219151447676033E-3</v>
      </c>
      <c r="Y463" s="28">
        <f t="shared" si="477"/>
        <v>4.0397457820588397E-4</v>
      </c>
      <c r="Z463" s="28">
        <f t="shared" si="477"/>
        <v>3.2393556432933841E-5</v>
      </c>
      <c r="AA463" s="28">
        <f t="shared" si="477"/>
        <v>2.9025050945922403E-4</v>
      </c>
      <c r="AB463" s="28">
        <f t="shared" si="477"/>
        <v>7.2270927610005066E-3</v>
      </c>
      <c r="AC463" s="28">
        <f t="shared" si="477"/>
        <v>0.51797651633229858</v>
      </c>
      <c r="AD463" s="28">
        <f t="shared" si="477"/>
        <v>2.961235875317584E-3</v>
      </c>
      <c r="AE463" s="28">
        <f t="shared" si="477"/>
        <v>4.0733982515572126E-4</v>
      </c>
      <c r="AF463" s="28">
        <f t="shared" si="477"/>
        <v>2.705570958281792E-4</v>
      </c>
      <c r="AG463" s="28">
        <f t="shared" si="477"/>
        <v>2.0662963107684736E-4</v>
      </c>
      <c r="AH463" s="28">
        <f t="shared" si="477"/>
        <v>1.5813786981578937E-3</v>
      </c>
      <c r="AI463" s="28">
        <f t="shared" si="477"/>
        <v>1.8869374144839816E-3</v>
      </c>
      <c r="AJ463" s="28">
        <f t="shared" si="477"/>
        <v>1.6679714004089852E-2</v>
      </c>
      <c r="AK463" s="28">
        <f t="shared" si="477"/>
        <v>1.8701634001474037E-3</v>
      </c>
      <c r="AL463" s="28">
        <f t="shared" ref="AL463:BR463" si="478">AL458*AL$162</f>
        <v>8.299131513860707E-3</v>
      </c>
      <c r="AM463" s="28">
        <f t="shared" si="478"/>
        <v>4.5441024122890668E-4</v>
      </c>
      <c r="AN463" s="28">
        <f t="shared" si="478"/>
        <v>1.0805843993652272E-4</v>
      </c>
      <c r="AO463" s="28">
        <f t="shared" si="478"/>
        <v>7.4868598821084108E-3</v>
      </c>
      <c r="AP463" s="28">
        <f t="shared" si="478"/>
        <v>1.9786016456022175E-3</v>
      </c>
      <c r="AQ463" s="28">
        <f t="shared" si="478"/>
        <v>3.5216755887483781E-4</v>
      </c>
      <c r="AR463" s="28">
        <f t="shared" si="478"/>
        <v>5.0199013618896875E-4</v>
      </c>
      <c r="AS463" s="28">
        <f t="shared" si="478"/>
        <v>6.4504338087283271E-4</v>
      </c>
      <c r="AT463" s="28">
        <f t="shared" si="478"/>
        <v>4.5002336814844593E-3</v>
      </c>
      <c r="AU463" s="28">
        <f t="shared" si="478"/>
        <v>5.3708714039481954E-3</v>
      </c>
      <c r="AV463" s="28">
        <f t="shared" si="478"/>
        <v>8.2682782675782759E-3</v>
      </c>
      <c r="AW463" s="28">
        <f t="shared" si="478"/>
        <v>1.1981865478792122E-3</v>
      </c>
      <c r="AX463" s="28">
        <f t="shared" si="478"/>
        <v>1.0931979906849368E-3</v>
      </c>
      <c r="AY463" s="28">
        <f t="shared" si="478"/>
        <v>1.2493147833757514E-2</v>
      </c>
      <c r="AZ463" s="28">
        <f t="shared" si="478"/>
        <v>1.0181682530066651E-2</v>
      </c>
      <c r="BA463" s="28">
        <f t="shared" si="478"/>
        <v>6.8729238767905711E-3</v>
      </c>
      <c r="BB463" s="28">
        <f t="shared" si="478"/>
        <v>8.7434444219023602E-4</v>
      </c>
      <c r="BC463" s="28">
        <f t="shared" si="478"/>
        <v>7.0718234006913907E-4</v>
      </c>
      <c r="BD463" s="28">
        <f t="shared" si="478"/>
        <v>5.6524210180881429E-4</v>
      </c>
      <c r="BE463" s="28">
        <f t="shared" si="478"/>
        <v>2.7611875811361535E-3</v>
      </c>
      <c r="BF463" s="28">
        <f t="shared" si="478"/>
        <v>6.9133916026767556E-4</v>
      </c>
      <c r="BG463" s="28">
        <f t="shared" si="478"/>
        <v>3.7698535635696181E-5</v>
      </c>
      <c r="BH463" s="28">
        <f t="shared" si="478"/>
        <v>5.6658334113891392E-3</v>
      </c>
      <c r="BI463" s="28">
        <f t="shared" si="478"/>
        <v>1.0343184681478441E-3</v>
      </c>
      <c r="BJ463" s="28">
        <f t="shared" si="478"/>
        <v>1.3164377375125716E-3</v>
      </c>
      <c r="BK463" s="28">
        <f t="shared" si="478"/>
        <v>6.377629939623348E-4</v>
      </c>
      <c r="BL463" s="28">
        <f t="shared" si="478"/>
        <v>1.3967588146889529E-6</v>
      </c>
      <c r="BM463" s="28">
        <f t="shared" si="478"/>
        <v>3.6543615714078408E-5</v>
      </c>
      <c r="BN463" s="28">
        <f t="shared" si="478"/>
        <v>4.4769565853318084E-5</v>
      </c>
      <c r="BO463" s="28">
        <f t="shared" si="478"/>
        <v>2.3175368652081146E-4</v>
      </c>
      <c r="BP463" s="28">
        <f t="shared" si="478"/>
        <v>1.1290437707916037E-4</v>
      </c>
      <c r="BQ463" s="28">
        <f t="shared" si="478"/>
        <v>8.8022089561986318E-5</v>
      </c>
      <c r="BR463" s="28">
        <f t="shared" si="478"/>
        <v>0</v>
      </c>
    </row>
    <row r="464" spans="1:70" x14ac:dyDescent="0.3">
      <c r="B464" s="3" t="s">
        <v>25</v>
      </c>
      <c r="C464" s="28"/>
      <c r="D464" s="328"/>
      <c r="E464" s="30">
        <f t="shared" si="472"/>
        <v>0.18509766795999613</v>
      </c>
      <c r="F464" s="28">
        <f t="shared" ref="F464:AK464" si="479">F458*F$164</f>
        <v>7.1401385151840301E-5</v>
      </c>
      <c r="G464" s="28">
        <f t="shared" si="479"/>
        <v>2.6413885242704586E-4</v>
      </c>
      <c r="H464" s="28">
        <f t="shared" si="479"/>
        <v>6.4260002897213981E-6</v>
      </c>
      <c r="I464" s="28">
        <f t="shared" si="479"/>
        <v>0</v>
      </c>
      <c r="J464" s="28">
        <f t="shared" si="479"/>
        <v>3.6431886129938216E-4</v>
      </c>
      <c r="K464" s="28">
        <f t="shared" si="479"/>
        <v>8.4172902088960693E-4</v>
      </c>
      <c r="L464" s="28">
        <f t="shared" si="479"/>
        <v>3.7610847600003045E-3</v>
      </c>
      <c r="M464" s="28">
        <f t="shared" si="479"/>
        <v>1.1213176250016543E-3</v>
      </c>
      <c r="N464" s="28">
        <f t="shared" si="479"/>
        <v>1.4050669918916071E-5</v>
      </c>
      <c r="O464" s="28">
        <f t="shared" si="479"/>
        <v>0</v>
      </c>
      <c r="P464" s="28">
        <f t="shared" si="479"/>
        <v>1.397347409633605E-2</v>
      </c>
      <c r="Q464" s="28">
        <f t="shared" si="479"/>
        <v>1.6482992068633936E-4</v>
      </c>
      <c r="R464" s="28">
        <f t="shared" si="479"/>
        <v>3.4780161458669813E-3</v>
      </c>
      <c r="S464" s="28">
        <f t="shared" si="479"/>
        <v>5.6175593919514119E-4</v>
      </c>
      <c r="T464" s="28">
        <f t="shared" si="479"/>
        <v>9.3523980876464557E-3</v>
      </c>
      <c r="U464" s="28">
        <f t="shared" si="479"/>
        <v>8.4218737004483329E-3</v>
      </c>
      <c r="V464" s="28">
        <f t="shared" si="479"/>
        <v>1.5640376474206684E-3</v>
      </c>
      <c r="W464" s="28">
        <f t="shared" si="479"/>
        <v>1.6224620755615968E-2</v>
      </c>
      <c r="X464" s="28">
        <f t="shared" si="479"/>
        <v>1.6877708717006872E-2</v>
      </c>
      <c r="Y464" s="28">
        <f t="shared" si="479"/>
        <v>2.891281445318283E-3</v>
      </c>
      <c r="Z464" s="28">
        <f t="shared" si="479"/>
        <v>2.0952280839738922E-4</v>
      </c>
      <c r="AA464" s="28">
        <f t="shared" si="479"/>
        <v>5.0306049744014978E-4</v>
      </c>
      <c r="AB464" s="28">
        <f t="shared" si="479"/>
        <v>5.7762272162060232E-4</v>
      </c>
      <c r="AC464" s="28">
        <f t="shared" si="479"/>
        <v>7.7795275921859947E-2</v>
      </c>
      <c r="AD464" s="28">
        <f t="shared" si="479"/>
        <v>0</v>
      </c>
      <c r="AE464" s="28">
        <f t="shared" si="479"/>
        <v>0</v>
      </c>
      <c r="AF464" s="28">
        <f t="shared" si="479"/>
        <v>0</v>
      </c>
      <c r="AG464" s="28">
        <f t="shared" si="479"/>
        <v>1.7895361170971549E-4</v>
      </c>
      <c r="AH464" s="28">
        <f t="shared" si="479"/>
        <v>1.4534472034756171E-4</v>
      </c>
      <c r="AI464" s="28">
        <f t="shared" si="479"/>
        <v>2.2629957898922769E-5</v>
      </c>
      <c r="AJ464" s="28">
        <f t="shared" si="479"/>
        <v>0</v>
      </c>
      <c r="AK464" s="28">
        <f t="shared" si="479"/>
        <v>0</v>
      </c>
      <c r="AL464" s="28">
        <f t="shared" ref="AL464:BR464" si="480">AL458*AL$164</f>
        <v>1.6029056753611803E-3</v>
      </c>
      <c r="AM464" s="28">
        <f t="shared" si="480"/>
        <v>7.0512068764480638E-4</v>
      </c>
      <c r="AN464" s="28">
        <f t="shared" si="480"/>
        <v>4.8570112789271617E-4</v>
      </c>
      <c r="AO464" s="28">
        <f t="shared" si="480"/>
        <v>3.1774599249419365E-3</v>
      </c>
      <c r="AP464" s="28">
        <f t="shared" si="480"/>
        <v>4.3124008779811323E-4</v>
      </c>
      <c r="AQ464" s="28">
        <f t="shared" si="480"/>
        <v>1.0471789720045449E-4</v>
      </c>
      <c r="AR464" s="28">
        <f t="shared" si="480"/>
        <v>3.1995781185620585E-4</v>
      </c>
      <c r="AS464" s="28">
        <f t="shared" si="480"/>
        <v>2.7836167432220428E-4</v>
      </c>
      <c r="AT464" s="28">
        <f t="shared" si="480"/>
        <v>2.1894144354391463E-3</v>
      </c>
      <c r="AU464" s="28">
        <f t="shared" si="480"/>
        <v>1.4752995432748325E-3</v>
      </c>
      <c r="AV464" s="28">
        <f t="shared" si="480"/>
        <v>2.1046787876688477E-3</v>
      </c>
      <c r="AW464" s="28">
        <f t="shared" si="480"/>
        <v>4.2733974919436507E-5</v>
      </c>
      <c r="AX464" s="28">
        <f t="shared" si="480"/>
        <v>8.1358018334550542E-5</v>
      </c>
      <c r="AY464" s="28">
        <f t="shared" si="480"/>
        <v>5.744685619147152E-5</v>
      </c>
      <c r="AZ464" s="28">
        <f t="shared" si="480"/>
        <v>8.1254703349225368E-3</v>
      </c>
      <c r="BA464" s="28">
        <f t="shared" si="480"/>
        <v>1.8803415874764206E-3</v>
      </c>
      <c r="BB464" s="28">
        <f t="shared" si="480"/>
        <v>9.1165349744403074E-5</v>
      </c>
      <c r="BC464" s="28">
        <f t="shared" si="480"/>
        <v>3.1322415511384047E-4</v>
      </c>
      <c r="BD464" s="28">
        <f t="shared" si="480"/>
        <v>7.1618822310416623E-5</v>
      </c>
      <c r="BE464" s="28">
        <f t="shared" si="480"/>
        <v>2.0509354020387623E-3</v>
      </c>
      <c r="BF464" s="28">
        <f t="shared" si="480"/>
        <v>3.9488740426862086E-6</v>
      </c>
      <c r="BG464" s="28">
        <f t="shared" si="480"/>
        <v>0</v>
      </c>
      <c r="BH464" s="28">
        <f t="shared" si="480"/>
        <v>7.4629392380338717E-5</v>
      </c>
      <c r="BI464" s="28">
        <f t="shared" si="480"/>
        <v>5.3868269531760504E-6</v>
      </c>
      <c r="BJ464" s="28">
        <f t="shared" si="480"/>
        <v>2.9386336342461118E-5</v>
      </c>
      <c r="BK464" s="28">
        <f t="shared" si="480"/>
        <v>6.0696761948335782E-6</v>
      </c>
      <c r="BL464" s="28">
        <f t="shared" si="480"/>
        <v>0</v>
      </c>
      <c r="BM464" s="28">
        <f t="shared" si="480"/>
        <v>2.0881931859282489E-6</v>
      </c>
      <c r="BN464" s="28">
        <f t="shared" si="480"/>
        <v>1.1965137180440852E-7</v>
      </c>
      <c r="BO464" s="28">
        <f t="shared" si="480"/>
        <v>0</v>
      </c>
      <c r="BP464" s="28">
        <f t="shared" si="480"/>
        <v>0</v>
      </c>
      <c r="BQ464" s="28">
        <f t="shared" si="480"/>
        <v>1.2985278798472683E-8</v>
      </c>
      <c r="BR464" s="28">
        <f t="shared" si="480"/>
        <v>0</v>
      </c>
    </row>
    <row r="465" spans="1:75" x14ac:dyDescent="0.3">
      <c r="A465" s="73">
        <v>26</v>
      </c>
      <c r="B465" s="16" t="s">
        <v>315</v>
      </c>
      <c r="D465" s="244"/>
      <c r="E465" s="29"/>
    </row>
    <row r="466" spans="1:75" x14ac:dyDescent="0.3">
      <c r="A466" s="3">
        <f>A456+1</f>
        <v>6</v>
      </c>
      <c r="B466" s="7" t="s">
        <v>61</v>
      </c>
      <c r="D466" s="327" t="s">
        <v>235</v>
      </c>
      <c r="E466" s="88">
        <f>HLOOKUP(A465,$F$305:$BK$372,A465+2)</f>
        <v>1.0035343176779856</v>
      </c>
      <c r="BS466" s="20"/>
      <c r="BT466" s="20"/>
      <c r="BU466" s="20"/>
      <c r="BV466" s="20"/>
      <c r="BW466" s="20"/>
    </row>
    <row r="467" spans="1:75" x14ac:dyDescent="0.3">
      <c r="D467" s="327" t="s">
        <v>60</v>
      </c>
      <c r="E467" s="88">
        <f>HLOOKUP(A465,$F$305:$BK$372,68)-E466</f>
        <v>1.4612063270378541</v>
      </c>
      <c r="F467" s="32"/>
    </row>
    <row r="468" spans="1:75" x14ac:dyDescent="0.3">
      <c r="C468" s="29"/>
      <c r="D468" s="327" t="s">
        <v>201</v>
      </c>
      <c r="E468" s="30">
        <f>E467+E466</f>
        <v>2.4647406447158398</v>
      </c>
      <c r="F468" s="95">
        <f t="shared" ref="F468:AK468" si="481">HLOOKUP($A465,$F$305:$BK$372,F$305+2)</f>
        <v>6.3900268002731089E-4</v>
      </c>
      <c r="G468" s="95">
        <f t="shared" si="481"/>
        <v>2.4494369726756549E-2</v>
      </c>
      <c r="H468" s="95">
        <f t="shared" si="481"/>
        <v>4.5065349934024252E-5</v>
      </c>
      <c r="I468" s="95">
        <f t="shared" si="481"/>
        <v>0.30582474997203607</v>
      </c>
      <c r="J468" s="95">
        <f t="shared" si="481"/>
        <v>1.3339440041527254E-3</v>
      </c>
      <c r="K468" s="95">
        <f t="shared" si="481"/>
        <v>2.5486867024420096E-3</v>
      </c>
      <c r="L468" s="95">
        <f t="shared" si="481"/>
        <v>0.1240676830500205</v>
      </c>
      <c r="M468" s="95">
        <f t="shared" si="481"/>
        <v>5.7221336202800529E-3</v>
      </c>
      <c r="N468" s="95">
        <f t="shared" si="481"/>
        <v>1.6476505049743109E-3</v>
      </c>
      <c r="O468" s="95">
        <f t="shared" si="481"/>
        <v>0.10753260644514506</v>
      </c>
      <c r="P468" s="95">
        <f t="shared" si="481"/>
        <v>3.0022030285480675E-2</v>
      </c>
      <c r="Q468" s="95">
        <f t="shared" si="481"/>
        <v>1.5188646679406526E-4</v>
      </c>
      <c r="R468" s="95">
        <f t="shared" si="481"/>
        <v>8.174981663366554E-3</v>
      </c>
      <c r="S468" s="95">
        <f t="shared" si="481"/>
        <v>3.5748432257595056E-3</v>
      </c>
      <c r="T468" s="95">
        <f t="shared" si="481"/>
        <v>9.3846145932846969E-3</v>
      </c>
      <c r="U468" s="95">
        <f t="shared" si="481"/>
        <v>1.8520198830900777E-2</v>
      </c>
      <c r="V468" s="95">
        <f t="shared" si="481"/>
        <v>2.0823932076905762E-3</v>
      </c>
      <c r="W468" s="95">
        <f t="shared" si="481"/>
        <v>6.0001314667325863E-3</v>
      </c>
      <c r="X468" s="95">
        <f t="shared" si="481"/>
        <v>3.0091166853434416E-2</v>
      </c>
      <c r="Y468" s="95">
        <f t="shared" si="481"/>
        <v>6.4271692149637065E-3</v>
      </c>
      <c r="Z468" s="95">
        <f t="shared" si="481"/>
        <v>5.6231548117312822E-4</v>
      </c>
      <c r="AA468" s="95">
        <f t="shared" si="481"/>
        <v>1.4786572678449855E-3</v>
      </c>
      <c r="AB468" s="95">
        <f t="shared" si="481"/>
        <v>3.4506178485887044E-2</v>
      </c>
      <c r="AC468" s="95">
        <f t="shared" si="481"/>
        <v>6.2478646949275407E-2</v>
      </c>
      <c r="AD468" s="95">
        <f t="shared" si="481"/>
        <v>0.32249458498726058</v>
      </c>
      <c r="AE468" s="95">
        <f t="shared" si="481"/>
        <v>1.0035343176779856</v>
      </c>
      <c r="AF468" s="95">
        <f t="shared" si="481"/>
        <v>4.1141080793042949E-3</v>
      </c>
      <c r="AG468" s="95">
        <f t="shared" si="481"/>
        <v>2.0880693330065266E-3</v>
      </c>
      <c r="AH468" s="95">
        <f t="shared" si="481"/>
        <v>1.2576236258094418E-2</v>
      </c>
      <c r="AI468" s="95">
        <f t="shared" si="481"/>
        <v>7.704406063394606E-3</v>
      </c>
      <c r="AJ468" s="95">
        <f t="shared" si="481"/>
        <v>5.7052583717423923E-2</v>
      </c>
      <c r="AK468" s="95">
        <f t="shared" si="481"/>
        <v>5.1607879063522172E-3</v>
      </c>
      <c r="AL468" s="95">
        <f t="shared" ref="AL468:BK468" si="482">HLOOKUP($A465,$F$305:$BK$372,AL$305+2)</f>
        <v>4.2774445291571747E-2</v>
      </c>
      <c r="AM468" s="95">
        <f t="shared" si="482"/>
        <v>7.8821340562101102E-3</v>
      </c>
      <c r="AN468" s="95">
        <f t="shared" si="482"/>
        <v>1.3976330658896836E-3</v>
      </c>
      <c r="AO468" s="95">
        <f t="shared" si="482"/>
        <v>3.9331741585779165E-2</v>
      </c>
      <c r="AP468" s="95">
        <f t="shared" si="482"/>
        <v>1.0845561366006908E-3</v>
      </c>
      <c r="AQ468" s="95">
        <f t="shared" si="482"/>
        <v>1.8089855932943617E-3</v>
      </c>
      <c r="AR468" s="95">
        <f t="shared" si="482"/>
        <v>1.9939546060320423E-3</v>
      </c>
      <c r="AS468" s="95">
        <f t="shared" si="482"/>
        <v>1.1566125457405944E-3</v>
      </c>
      <c r="AT468" s="95">
        <f t="shared" si="482"/>
        <v>8.5540576673334076E-3</v>
      </c>
      <c r="AU468" s="95">
        <f t="shared" si="482"/>
        <v>8.16137824771942E-3</v>
      </c>
      <c r="AV468" s="95">
        <f t="shared" si="482"/>
        <v>2.2859959440492083E-2</v>
      </c>
      <c r="AW468" s="95">
        <f t="shared" si="482"/>
        <v>2.8090845272253648E-3</v>
      </c>
      <c r="AX468" s="95">
        <f t="shared" si="482"/>
        <v>3.2220504513451147E-3</v>
      </c>
      <c r="AY468" s="95">
        <f t="shared" si="482"/>
        <v>1.7012112373531212E-2</v>
      </c>
      <c r="AZ468" s="95">
        <f t="shared" si="482"/>
        <v>3.8034784002019602E-2</v>
      </c>
      <c r="BA468" s="95">
        <f t="shared" si="482"/>
        <v>5.6631869486146692E-3</v>
      </c>
      <c r="BB468" s="95">
        <f t="shared" si="482"/>
        <v>3.1120273231716004E-3</v>
      </c>
      <c r="BC468" s="95">
        <f t="shared" si="482"/>
        <v>3.4980188089506615E-3</v>
      </c>
      <c r="BD468" s="95">
        <f t="shared" si="482"/>
        <v>9.7136165835849805E-4</v>
      </c>
      <c r="BE468" s="95">
        <f t="shared" si="482"/>
        <v>3.3543412397800239E-2</v>
      </c>
      <c r="BF468" s="95">
        <f t="shared" si="482"/>
        <v>1.1447545841448063E-3</v>
      </c>
      <c r="BG468" s="95">
        <f t="shared" si="482"/>
        <v>1.94999409755495E-4</v>
      </c>
      <c r="BH468" s="95">
        <f t="shared" si="482"/>
        <v>1.0528220443219131E-2</v>
      </c>
      <c r="BI468" s="95">
        <f t="shared" si="482"/>
        <v>2.252142893369558E-3</v>
      </c>
      <c r="BJ468" s="95">
        <f t="shared" si="482"/>
        <v>1.4875355808478708E-3</v>
      </c>
      <c r="BK468" s="95">
        <f t="shared" si="482"/>
        <v>5.5877318170204798E-4</v>
      </c>
      <c r="BL468" s="95">
        <f t="shared" ref="BL468:BR468" si="483">HLOOKUP($A465,$F$305:$BK$372,BL$305+2)</f>
        <v>3.0715152659560524E-6</v>
      </c>
      <c r="BM468" s="95">
        <f t="shared" si="483"/>
        <v>1.0253785529824057E-4</v>
      </c>
      <c r="BN468" s="95">
        <f t="shared" si="483"/>
        <v>1.7323546364832141E-4</v>
      </c>
      <c r="BO468" s="95">
        <f t="shared" si="483"/>
        <v>4.5809322306911409E-4</v>
      </c>
      <c r="BP468" s="95">
        <f t="shared" si="483"/>
        <v>3.3699898876521334E-4</v>
      </c>
      <c r="BQ468" s="95">
        <f t="shared" si="483"/>
        <v>5.92584777895349E-4</v>
      </c>
      <c r="BR468" s="95">
        <f t="shared" si="483"/>
        <v>0</v>
      </c>
    </row>
    <row r="469" spans="1:75" x14ac:dyDescent="0.3">
      <c r="B469" s="3" t="s">
        <v>110</v>
      </c>
      <c r="C469" s="29"/>
      <c r="D469" s="327"/>
      <c r="E469" s="30">
        <f>SUM(F469:BR469)</f>
        <v>4.5658481054349095E-2</v>
      </c>
      <c r="F469" s="28">
        <f>F468*F$155</f>
        <v>1.4707123599689719E-5</v>
      </c>
      <c r="G469" s="28">
        <f t="shared" ref="G469:BR469" si="484">G468*G$155</f>
        <v>2.9568661725166918E-4</v>
      </c>
      <c r="H469" s="28">
        <f t="shared" si="484"/>
        <v>9.0360152042080494E-7</v>
      </c>
      <c r="I469" s="28">
        <f t="shared" si="484"/>
        <v>5.179017682601642E-3</v>
      </c>
      <c r="J469" s="28">
        <f t="shared" si="484"/>
        <v>1.3943520959746413E-6</v>
      </c>
      <c r="K469" s="28">
        <f t="shared" si="484"/>
        <v>1.073664404998119E-5</v>
      </c>
      <c r="L469" s="28">
        <f t="shared" si="484"/>
        <v>3.9164043596883472E-4</v>
      </c>
      <c r="M469" s="28">
        <f t="shared" si="484"/>
        <v>2.967321602513495E-5</v>
      </c>
      <c r="N469" s="28">
        <f t="shared" si="484"/>
        <v>3.4225015647343721E-6</v>
      </c>
      <c r="O469" s="28">
        <f t="shared" si="484"/>
        <v>1.2516496309149016E-3</v>
      </c>
      <c r="P469" s="28">
        <f t="shared" si="484"/>
        <v>3.3719180025540773E-5</v>
      </c>
      <c r="Q469" s="28">
        <f t="shared" si="484"/>
        <v>2.7169955994529623E-8</v>
      </c>
      <c r="R469" s="28">
        <f t="shared" si="484"/>
        <v>1.4129866952081982E-5</v>
      </c>
      <c r="S469" s="28">
        <f t="shared" si="484"/>
        <v>1.0904258831906309E-5</v>
      </c>
      <c r="T469" s="28">
        <f t="shared" si="484"/>
        <v>6.2178043819484386E-6</v>
      </c>
      <c r="U469" s="28">
        <f t="shared" si="484"/>
        <v>4.3011415005319259E-5</v>
      </c>
      <c r="V469" s="28">
        <f t="shared" si="484"/>
        <v>1.4502069461926705E-6</v>
      </c>
      <c r="W469" s="28">
        <f t="shared" si="484"/>
        <v>5.3009772487475771E-6</v>
      </c>
      <c r="X469" s="28">
        <f t="shared" si="484"/>
        <v>2.6210184118079139E-5</v>
      </c>
      <c r="Y469" s="28">
        <f t="shared" si="484"/>
        <v>4.8275559029791884E-6</v>
      </c>
      <c r="Z469" s="28">
        <f t="shared" si="484"/>
        <v>3.5842429181572354E-7</v>
      </c>
      <c r="AA469" s="28">
        <f t="shared" si="484"/>
        <v>6.4213600562176163E-6</v>
      </c>
      <c r="AB469" s="28">
        <f t="shared" si="484"/>
        <v>1.5815838337294693E-4</v>
      </c>
      <c r="AC469" s="28">
        <f t="shared" si="484"/>
        <v>1.1317550964158712E-4</v>
      </c>
      <c r="AD469" s="28">
        <f t="shared" si="484"/>
        <v>3.1451106675281368E-5</v>
      </c>
      <c r="AE469" s="28">
        <f t="shared" si="484"/>
        <v>3.1727343153595752E-2</v>
      </c>
      <c r="AF469" s="28">
        <f t="shared" si="484"/>
        <v>2.910928531045635E-5</v>
      </c>
      <c r="AG469" s="28">
        <f t="shared" si="484"/>
        <v>9.9324107612586021E-6</v>
      </c>
      <c r="AH469" s="28">
        <f t="shared" si="484"/>
        <v>1.4561047255140882E-4</v>
      </c>
      <c r="AI469" s="28">
        <f t="shared" si="484"/>
        <v>4.8599286194839061E-5</v>
      </c>
      <c r="AJ469" s="28">
        <f t="shared" si="484"/>
        <v>3.1702330774263334E-4</v>
      </c>
      <c r="AK469" s="28">
        <f t="shared" si="484"/>
        <v>2.7873975229315278E-5</v>
      </c>
      <c r="AL469" s="28">
        <f t="shared" si="484"/>
        <v>3.628045553358003E-3</v>
      </c>
      <c r="AM469" s="28">
        <f t="shared" si="484"/>
        <v>0</v>
      </c>
      <c r="AN469" s="28">
        <f t="shared" si="484"/>
        <v>1.2400423798974198E-6</v>
      </c>
      <c r="AO469" s="28">
        <f t="shared" si="484"/>
        <v>9.8975068867414884E-5</v>
      </c>
      <c r="AP469" s="28">
        <f t="shared" si="484"/>
        <v>2.1778655522372289E-5</v>
      </c>
      <c r="AQ469" s="28">
        <f t="shared" si="484"/>
        <v>7.2674235652544706E-6</v>
      </c>
      <c r="AR469" s="28">
        <f t="shared" si="484"/>
        <v>3.8542921387482805E-6</v>
      </c>
      <c r="AS469" s="28">
        <f t="shared" si="484"/>
        <v>9.6430734230349561E-6</v>
      </c>
      <c r="AT469" s="28">
        <f t="shared" si="484"/>
        <v>9.6582413192696849E-6</v>
      </c>
      <c r="AU469" s="28">
        <f t="shared" si="484"/>
        <v>2.7570413850564755E-5</v>
      </c>
      <c r="AV469" s="28">
        <f t="shared" si="484"/>
        <v>6.8030398360501996E-4</v>
      </c>
      <c r="AW469" s="28">
        <f t="shared" si="484"/>
        <v>1.0833342752172132E-4</v>
      </c>
      <c r="AX469" s="28">
        <f t="shared" si="484"/>
        <v>9.0946087545871763E-5</v>
      </c>
      <c r="AY469" s="28">
        <f t="shared" si="484"/>
        <v>2.9312199483008683E-4</v>
      </c>
      <c r="AZ469" s="28">
        <f t="shared" si="484"/>
        <v>1.4485525240311248E-4</v>
      </c>
      <c r="BA469" s="28">
        <f t="shared" si="484"/>
        <v>5.4524900949023734E-5</v>
      </c>
      <c r="BB469" s="28">
        <f t="shared" si="484"/>
        <v>8.4950470115720161E-5</v>
      </c>
      <c r="BC469" s="28">
        <f t="shared" si="484"/>
        <v>1.3583725315564349E-5</v>
      </c>
      <c r="BD469" s="28">
        <f t="shared" si="484"/>
        <v>8.0668326674125292E-6</v>
      </c>
      <c r="BE469" s="28">
        <f t="shared" si="484"/>
        <v>6.0503952865379441E-5</v>
      </c>
      <c r="BF469" s="28">
        <f t="shared" si="484"/>
        <v>2.2677273259256946E-6</v>
      </c>
      <c r="BG469" s="28">
        <f t="shared" si="484"/>
        <v>3.1806866805614614E-7</v>
      </c>
      <c r="BH469" s="28">
        <f t="shared" si="484"/>
        <v>1.026280453141887E-4</v>
      </c>
      <c r="BI469" s="28">
        <f t="shared" si="484"/>
        <v>1.1216046508847107E-4</v>
      </c>
      <c r="BJ469" s="28">
        <f t="shared" si="484"/>
        <v>6.1128197367254743E-5</v>
      </c>
      <c r="BK469" s="28">
        <f t="shared" si="484"/>
        <v>2.6188463998399877E-5</v>
      </c>
      <c r="BL469" s="28">
        <f t="shared" si="484"/>
        <v>1.7506821417896271E-7</v>
      </c>
      <c r="BM469" s="28">
        <f t="shared" si="484"/>
        <v>4.6464168650249313E-6</v>
      </c>
      <c r="BN469" s="28">
        <f t="shared" si="484"/>
        <v>8.9956591723199021E-6</v>
      </c>
      <c r="BO469" s="28">
        <f t="shared" si="484"/>
        <v>2.7824224840458524E-5</v>
      </c>
      <c r="BP469" s="28">
        <f t="shared" si="484"/>
        <v>9.1383159356966339E-6</v>
      </c>
      <c r="BQ469" s="28">
        <f t="shared" si="484"/>
        <v>1.6099908930349337E-5</v>
      </c>
      <c r="BR469" s="28">
        <f t="shared" si="484"/>
        <v>0</v>
      </c>
    </row>
    <row r="470" spans="1:75" x14ac:dyDescent="0.3">
      <c r="B470" s="3" t="s">
        <v>56</v>
      </c>
      <c r="C470" s="28"/>
      <c r="D470" s="328"/>
      <c r="E470" s="30">
        <f t="shared" ref="E470:E474" si="485">SUM(F470:BR470)</f>
        <v>0.31595048946147658</v>
      </c>
      <c r="F470" s="28">
        <f>F468*F$157</f>
        <v>7.9409071236552218E-5</v>
      </c>
      <c r="G470" s="28">
        <f t="shared" ref="G470:BR470" si="486">G468*G$157</f>
        <v>2.9130384937151883E-3</v>
      </c>
      <c r="H470" s="28">
        <f t="shared" si="486"/>
        <v>3.1318021529041386E-6</v>
      </c>
      <c r="I470" s="28">
        <f t="shared" si="486"/>
        <v>7.9212629765415557E-2</v>
      </c>
      <c r="J470" s="28">
        <f t="shared" si="486"/>
        <v>1.0204167521877029E-4</v>
      </c>
      <c r="K470" s="28">
        <f t="shared" si="486"/>
        <v>2.7136085910289077E-4</v>
      </c>
      <c r="L470" s="28">
        <f t="shared" si="486"/>
        <v>1.3896367963922403E-2</v>
      </c>
      <c r="M470" s="28">
        <f t="shared" si="486"/>
        <v>2.6810743680033105E-4</v>
      </c>
      <c r="N470" s="28">
        <f t="shared" si="486"/>
        <v>3.0809859606307057E-4</v>
      </c>
      <c r="O470" s="28">
        <f t="shared" si="486"/>
        <v>1.0639716323455924E-2</v>
      </c>
      <c r="P470" s="28">
        <f t="shared" si="486"/>
        <v>8.7767982807548462E-4</v>
      </c>
      <c r="Q470" s="28">
        <f t="shared" si="486"/>
        <v>3.0536667932982206E-6</v>
      </c>
      <c r="R470" s="28">
        <f t="shared" si="486"/>
        <v>6.2811334135235114E-4</v>
      </c>
      <c r="S470" s="28">
        <f t="shared" si="486"/>
        <v>4.2823371457769175E-4</v>
      </c>
      <c r="T470" s="28">
        <f t="shared" si="486"/>
        <v>1.6268905484990249E-4</v>
      </c>
      <c r="U470" s="28">
        <f t="shared" si="486"/>
        <v>2.1460524206996061E-3</v>
      </c>
      <c r="V470" s="28">
        <f t="shared" si="486"/>
        <v>5.3635519099384338E-5</v>
      </c>
      <c r="W470" s="28">
        <f t="shared" si="486"/>
        <v>3.7218624205074668E-4</v>
      </c>
      <c r="X470" s="28">
        <f t="shared" si="486"/>
        <v>2.3143388173405108E-3</v>
      </c>
      <c r="Y470" s="28">
        <f t="shared" si="486"/>
        <v>3.0727899007592312E-4</v>
      </c>
      <c r="Z470" s="28">
        <f t="shared" si="486"/>
        <v>3.4002277666639028E-5</v>
      </c>
      <c r="AA470" s="28">
        <f t="shared" si="486"/>
        <v>2.1378380143467833E-4</v>
      </c>
      <c r="AB470" s="28">
        <f t="shared" si="486"/>
        <v>9.9276285308255354E-3</v>
      </c>
      <c r="AC470" s="28">
        <f t="shared" si="486"/>
        <v>5.4484216793420524E-3</v>
      </c>
      <c r="AD470" s="28">
        <f t="shared" si="486"/>
        <v>8.7177865102903082E-3</v>
      </c>
      <c r="AE470" s="28">
        <f t="shared" si="486"/>
        <v>0.10469045452147532</v>
      </c>
      <c r="AF470" s="28">
        <f t="shared" si="486"/>
        <v>8.7317244497528846E-4</v>
      </c>
      <c r="AG470" s="28">
        <f t="shared" si="486"/>
        <v>1.7457544399545908E-4</v>
      </c>
      <c r="AH470" s="28">
        <f t="shared" si="486"/>
        <v>3.2559052439593513E-3</v>
      </c>
      <c r="AI470" s="28">
        <f t="shared" si="486"/>
        <v>2.4455479690697994E-3</v>
      </c>
      <c r="AJ470" s="28">
        <f t="shared" si="486"/>
        <v>1.4760175787845085E-2</v>
      </c>
      <c r="AK470" s="28">
        <f t="shared" si="486"/>
        <v>2.0217297081260226E-3</v>
      </c>
      <c r="AL470" s="28">
        <f t="shared" si="486"/>
        <v>7.7160452269242124E-3</v>
      </c>
      <c r="AM470" s="28">
        <f t="shared" si="486"/>
        <v>1.5526799215557002E-4</v>
      </c>
      <c r="AN470" s="28">
        <f t="shared" si="486"/>
        <v>9.9618250836605536E-5</v>
      </c>
      <c r="AO470" s="28">
        <f t="shared" si="486"/>
        <v>4.1809335429952143E-3</v>
      </c>
      <c r="AP470" s="28">
        <f t="shared" si="486"/>
        <v>4.3545444107381576E-4</v>
      </c>
      <c r="AQ470" s="28">
        <f t="shared" si="486"/>
        <v>4.8356990580077612E-4</v>
      </c>
      <c r="AR470" s="28">
        <f t="shared" si="486"/>
        <v>5.2362378820888127E-4</v>
      </c>
      <c r="AS470" s="28">
        <f t="shared" si="486"/>
        <v>2.660356819980124E-4</v>
      </c>
      <c r="AT470" s="28">
        <f t="shared" si="486"/>
        <v>7.5385752222979167E-4</v>
      </c>
      <c r="AU470" s="28">
        <f t="shared" si="486"/>
        <v>3.2475993409652256E-3</v>
      </c>
      <c r="AV470" s="28">
        <f t="shared" si="486"/>
        <v>4.8670434341103429E-3</v>
      </c>
      <c r="AW470" s="28">
        <f t="shared" si="486"/>
        <v>6.4719259649214419E-4</v>
      </c>
      <c r="AX470" s="28">
        <f t="shared" si="486"/>
        <v>7.529174154303367E-4</v>
      </c>
      <c r="AY470" s="28">
        <f t="shared" si="486"/>
        <v>1.1239743370091105E-3</v>
      </c>
      <c r="AZ470" s="28">
        <f t="shared" si="486"/>
        <v>8.0504253521078983E-3</v>
      </c>
      <c r="BA470" s="28">
        <f t="shared" si="486"/>
        <v>1.7024756973603326E-3</v>
      </c>
      <c r="BB470" s="28">
        <f t="shared" si="486"/>
        <v>1.8478589890793054E-3</v>
      </c>
      <c r="BC470" s="28">
        <f t="shared" si="486"/>
        <v>6.8205709189331188E-4</v>
      </c>
      <c r="BD470" s="28">
        <f t="shared" si="486"/>
        <v>3.1467921001605245E-4</v>
      </c>
      <c r="BE470" s="28">
        <f t="shared" si="486"/>
        <v>2.1916231920309798E-3</v>
      </c>
      <c r="BF470" s="28">
        <f t="shared" si="486"/>
        <v>8.4435097264509565E-4</v>
      </c>
      <c r="BG470" s="28">
        <f t="shared" si="486"/>
        <v>4.2473165410532031E-5</v>
      </c>
      <c r="BH470" s="28">
        <f t="shared" si="486"/>
        <v>4.5021184528208375E-3</v>
      </c>
      <c r="BI470" s="28">
        <f t="shared" si="486"/>
        <v>1.1834714481148445E-3</v>
      </c>
      <c r="BJ470" s="28">
        <f t="shared" si="486"/>
        <v>9.5316828911734422E-4</v>
      </c>
      <c r="BK470" s="28">
        <f t="shared" si="486"/>
        <v>2.9030633049857956E-4</v>
      </c>
      <c r="BL470" s="28">
        <f t="shared" si="486"/>
        <v>1.7888016851125362E-6</v>
      </c>
      <c r="BM470" s="28">
        <f t="shared" si="486"/>
        <v>3.8895735488675286E-5</v>
      </c>
      <c r="BN470" s="28">
        <f t="shared" si="486"/>
        <v>4.8749631520278675E-5</v>
      </c>
      <c r="BO470" s="28">
        <f t="shared" si="486"/>
        <v>1.8240128896852365E-4</v>
      </c>
      <c r="BP470" s="28">
        <f t="shared" si="486"/>
        <v>9.5705744396258806E-5</v>
      </c>
      <c r="BQ470" s="28">
        <f t="shared" si="486"/>
        <v>1.7445909108864001E-4</v>
      </c>
      <c r="BR470" s="28">
        <f t="shared" si="486"/>
        <v>0</v>
      </c>
    </row>
    <row r="471" spans="1:75" x14ac:dyDescent="0.3">
      <c r="B471" s="2" t="s">
        <v>22</v>
      </c>
      <c r="C471" s="28"/>
      <c r="D471" s="328"/>
      <c r="E471" s="30">
        <f>SUM(F471:BR471)</f>
        <v>0.3406994348834288</v>
      </c>
      <c r="F471" s="28">
        <f t="shared" ref="F471:AK471" si="487">F468*F$161</f>
        <v>1.6531268795687656E-4</v>
      </c>
      <c r="G471" s="28">
        <f t="shared" si="487"/>
        <v>4.0268378928756034E-3</v>
      </c>
      <c r="H471" s="28">
        <f t="shared" si="487"/>
        <v>5.6684745163395301E-6</v>
      </c>
      <c r="I471" s="28">
        <f t="shared" si="487"/>
        <v>5.9711139337405232E-2</v>
      </c>
      <c r="J471" s="28">
        <f t="shared" si="487"/>
        <v>2.8567999990097126E-5</v>
      </c>
      <c r="K471" s="28">
        <f t="shared" si="487"/>
        <v>3.3653175184379628E-5</v>
      </c>
      <c r="L471" s="28">
        <f t="shared" si="487"/>
        <v>7.447009185225029E-3</v>
      </c>
      <c r="M471" s="28">
        <f t="shared" si="487"/>
        <v>4.2113332166696072E-4</v>
      </c>
      <c r="N471" s="28">
        <f t="shared" si="487"/>
        <v>1.4177458628040037E-4</v>
      </c>
      <c r="O471" s="28">
        <f t="shared" si="487"/>
        <v>2.7895559538196994E-2</v>
      </c>
      <c r="P471" s="28">
        <f t="shared" si="487"/>
        <v>1.4226016486282014E-3</v>
      </c>
      <c r="Q471" s="28">
        <f t="shared" si="487"/>
        <v>8.7635764894156732E-7</v>
      </c>
      <c r="R471" s="28">
        <f t="shared" si="487"/>
        <v>1.2478836674145226E-4</v>
      </c>
      <c r="S471" s="28">
        <f t="shared" si="487"/>
        <v>8.2662607627118938E-5</v>
      </c>
      <c r="T471" s="28">
        <f t="shared" si="487"/>
        <v>5.7578552202678918E-5</v>
      </c>
      <c r="U471" s="28">
        <f t="shared" si="487"/>
        <v>6.2167213688608957E-4</v>
      </c>
      <c r="V471" s="28">
        <f t="shared" si="487"/>
        <v>3.923834392184896E-5</v>
      </c>
      <c r="W471" s="28">
        <f t="shared" si="487"/>
        <v>2.0096290257550403E-4</v>
      </c>
      <c r="X471" s="28">
        <f t="shared" si="487"/>
        <v>5.2678202719410412E-4</v>
      </c>
      <c r="Y471" s="28">
        <f t="shared" si="487"/>
        <v>2.7227091036688877E-4</v>
      </c>
      <c r="Z471" s="28">
        <f t="shared" si="487"/>
        <v>2.154928493491083E-5</v>
      </c>
      <c r="AA471" s="28">
        <f t="shared" si="487"/>
        <v>5.1593419469593092E-5</v>
      </c>
      <c r="AB471" s="28">
        <f t="shared" si="487"/>
        <v>2.1929866147413633E-3</v>
      </c>
      <c r="AC471" s="28">
        <f t="shared" si="487"/>
        <v>1.5563869918163168E-2</v>
      </c>
      <c r="AD471" s="28">
        <f t="shared" si="487"/>
        <v>2.0969603470654304E-2</v>
      </c>
      <c r="AE471" s="28">
        <f t="shared" si="487"/>
        <v>0.14808645322903993</v>
      </c>
      <c r="AF471" s="28">
        <f t="shared" si="487"/>
        <v>8.3120634642403705E-4</v>
      </c>
      <c r="AG471" s="28">
        <f t="shared" si="487"/>
        <v>1.7560573620108226E-4</v>
      </c>
      <c r="AH471" s="28">
        <f t="shared" si="487"/>
        <v>7.1076109239145556E-4</v>
      </c>
      <c r="AI471" s="28">
        <f t="shared" si="487"/>
        <v>3.5885917637721741E-4</v>
      </c>
      <c r="AJ471" s="28">
        <f t="shared" si="487"/>
        <v>1.1427058779744518E-2</v>
      </c>
      <c r="AK471" s="28">
        <f t="shared" si="487"/>
        <v>4.4504149504950938E-4</v>
      </c>
      <c r="AL471" s="28">
        <f t="shared" ref="AL471:BR471" si="488">AL468*AL$161</f>
        <v>1.6393592468423571E-3</v>
      </c>
      <c r="AM471" s="28">
        <f t="shared" si="488"/>
        <v>3.9965540190346641E-4</v>
      </c>
      <c r="AN471" s="28">
        <f t="shared" si="488"/>
        <v>0</v>
      </c>
      <c r="AO471" s="28">
        <f t="shared" si="488"/>
        <v>6.370250835967344E-3</v>
      </c>
      <c r="AP471" s="28">
        <f t="shared" si="488"/>
        <v>5.7811763186722802E-5</v>
      </c>
      <c r="AQ471" s="28">
        <f t="shared" si="488"/>
        <v>1.1096816236838105E-5</v>
      </c>
      <c r="AR471" s="28">
        <f t="shared" si="488"/>
        <v>2.541389865191603E-5</v>
      </c>
      <c r="AS471" s="28">
        <f t="shared" si="488"/>
        <v>1.6034532751391046E-6</v>
      </c>
      <c r="AT471" s="28">
        <f t="shared" si="488"/>
        <v>1.7792799708642199E-3</v>
      </c>
      <c r="AU471" s="28">
        <f t="shared" si="488"/>
        <v>1.119982811326034E-3</v>
      </c>
      <c r="AV471" s="28">
        <f t="shared" si="488"/>
        <v>4.3795453832994385E-3</v>
      </c>
      <c r="AW471" s="28">
        <f t="shared" si="488"/>
        <v>5.943021448106768E-4</v>
      </c>
      <c r="AX471" s="28">
        <f t="shared" si="488"/>
        <v>4.7353032711841791E-4</v>
      </c>
      <c r="AY471" s="28">
        <f t="shared" si="488"/>
        <v>6.3112709083885544E-3</v>
      </c>
      <c r="AZ471" s="28">
        <f t="shared" si="488"/>
        <v>6.7740593557287874E-3</v>
      </c>
      <c r="BA471" s="28">
        <f t="shared" si="488"/>
        <v>6.8744302832805099E-4</v>
      </c>
      <c r="BB471" s="28">
        <f t="shared" si="488"/>
        <v>1.2110678471734721E-5</v>
      </c>
      <c r="BC471" s="28">
        <f t="shared" si="488"/>
        <v>3.2433810495758914E-4</v>
      </c>
      <c r="BD471" s="28">
        <f t="shared" si="488"/>
        <v>1.1216163665231222E-4</v>
      </c>
      <c r="BE471" s="28">
        <f t="shared" si="488"/>
        <v>4.7139836801759058E-3</v>
      </c>
      <c r="BF471" s="28">
        <f t="shared" si="488"/>
        <v>0</v>
      </c>
      <c r="BG471" s="28">
        <f t="shared" si="488"/>
        <v>9.740028092341736E-6</v>
      </c>
      <c r="BH471" s="28">
        <f t="shared" si="488"/>
        <v>7.6871038002430882E-4</v>
      </c>
      <c r="BI471" s="28">
        <f t="shared" si="488"/>
        <v>0</v>
      </c>
      <c r="BJ471" s="28">
        <f t="shared" si="488"/>
        <v>1.2865877990032355E-5</v>
      </c>
      <c r="BK471" s="28">
        <f t="shared" si="488"/>
        <v>8.8228262029916278E-6</v>
      </c>
      <c r="BL471" s="28">
        <f t="shared" si="488"/>
        <v>3.9859363097849855E-9</v>
      </c>
      <c r="BM471" s="28">
        <f t="shared" si="488"/>
        <v>3.781008218122676E-6</v>
      </c>
      <c r="BN471" s="28">
        <f t="shared" si="488"/>
        <v>0</v>
      </c>
      <c r="BO471" s="28">
        <f t="shared" si="488"/>
        <v>0</v>
      </c>
      <c r="BP471" s="28">
        <f t="shared" si="488"/>
        <v>1.7283042015521179E-5</v>
      </c>
      <c r="BQ471" s="28">
        <f t="shared" si="488"/>
        <v>3.0349672481949447E-5</v>
      </c>
      <c r="BR471" s="28">
        <f t="shared" si="488"/>
        <v>0</v>
      </c>
    </row>
    <row r="472" spans="1:75" x14ac:dyDescent="0.3">
      <c r="B472" s="2" t="s">
        <v>21</v>
      </c>
      <c r="C472" s="28"/>
      <c r="D472" s="328"/>
      <c r="E472" s="30">
        <f t="shared" si="485"/>
        <v>0.13108614622319212</v>
      </c>
      <c r="F472" s="28">
        <f>F468*F$160</f>
        <v>6.9464895549310881E-5</v>
      </c>
      <c r="G472" s="28">
        <f t="shared" ref="G472:BR472" si="489">G468*G$160</f>
        <v>1.9334347451803267E-3</v>
      </c>
      <c r="H472" s="28">
        <f t="shared" si="489"/>
        <v>5.468065329815144E-6</v>
      </c>
      <c r="I472" s="28">
        <f t="shared" si="489"/>
        <v>2.0636046844728771E-2</v>
      </c>
      <c r="J472" s="28">
        <f t="shared" si="489"/>
        <v>2.7723548949113426E-5</v>
      </c>
      <c r="K472" s="28">
        <f t="shared" si="489"/>
        <v>3.8568603479690842E-5</v>
      </c>
      <c r="L472" s="28">
        <f t="shared" si="489"/>
        <v>3.9749633849693027E-3</v>
      </c>
      <c r="M472" s="28">
        <f t="shared" si="489"/>
        <v>1.5157873146697873E-4</v>
      </c>
      <c r="N472" s="28">
        <f t="shared" si="489"/>
        <v>8.4311237697761389E-5</v>
      </c>
      <c r="O472" s="28">
        <f t="shared" si="489"/>
        <v>4.1797273415571422E-3</v>
      </c>
      <c r="P472" s="28">
        <f t="shared" si="489"/>
        <v>2.1064551845973871E-4</v>
      </c>
      <c r="Q472" s="28">
        <f t="shared" si="489"/>
        <v>2.4931106618582876E-7</v>
      </c>
      <c r="R472" s="28">
        <f t="shared" si="489"/>
        <v>1.2732695758963075E-4</v>
      </c>
      <c r="S472" s="28">
        <f t="shared" si="489"/>
        <v>1.7576892259671791E-4</v>
      </c>
      <c r="T472" s="28">
        <f t="shared" si="489"/>
        <v>2.014980817800891E-5</v>
      </c>
      <c r="U472" s="28">
        <f t="shared" si="489"/>
        <v>2.7101484888685678E-4</v>
      </c>
      <c r="V472" s="28">
        <f t="shared" si="489"/>
        <v>5.5402727004483419E-6</v>
      </c>
      <c r="W472" s="28">
        <f t="shared" si="489"/>
        <v>2.7037726131506308E-5</v>
      </c>
      <c r="X472" s="28">
        <f t="shared" si="489"/>
        <v>2.7189166231122725E-4</v>
      </c>
      <c r="Y472" s="28">
        <f t="shared" si="489"/>
        <v>3.4308612949383047E-5</v>
      </c>
      <c r="Z472" s="28">
        <f t="shared" si="489"/>
        <v>5.2995162878683275E-6</v>
      </c>
      <c r="AA472" s="28">
        <f t="shared" si="489"/>
        <v>3.3650902845822638E-5</v>
      </c>
      <c r="AB472" s="28">
        <f t="shared" si="489"/>
        <v>1.2034110551813594E-3</v>
      </c>
      <c r="AC472" s="28">
        <f t="shared" si="489"/>
        <v>9.2752716346055485E-3</v>
      </c>
      <c r="AD472" s="28">
        <f t="shared" si="489"/>
        <v>3.4725090170161874E-3</v>
      </c>
      <c r="AE472" s="28">
        <f t="shared" si="489"/>
        <v>5.4711437626491818E-2</v>
      </c>
      <c r="AF472" s="28">
        <f t="shared" si="489"/>
        <v>1.0214056865759107E-3</v>
      </c>
      <c r="AG472" s="28">
        <f t="shared" si="489"/>
        <v>6.8661528350849534E-5</v>
      </c>
      <c r="AH472" s="28">
        <f t="shared" si="489"/>
        <v>5.5129987204684727E-4</v>
      </c>
      <c r="AI472" s="28">
        <f t="shared" si="489"/>
        <v>4.9125040319692901E-4</v>
      </c>
      <c r="AJ472" s="28">
        <f t="shared" si="489"/>
        <v>3.8072456818539291E-3</v>
      </c>
      <c r="AK472" s="28">
        <f t="shared" si="489"/>
        <v>3.1696887929279227E-4</v>
      </c>
      <c r="AL472" s="28">
        <f t="shared" si="489"/>
        <v>4.8501479114091191E-3</v>
      </c>
      <c r="AM472" s="28">
        <f t="shared" si="489"/>
        <v>2.057300033403836E-4</v>
      </c>
      <c r="AN472" s="28">
        <f t="shared" si="489"/>
        <v>1.9534752542468943E-5</v>
      </c>
      <c r="AO472" s="28">
        <f t="shared" si="489"/>
        <v>1.5707262790099275E-3</v>
      </c>
      <c r="AP472" s="28">
        <f t="shared" si="489"/>
        <v>1.6095240163880866E-5</v>
      </c>
      <c r="AQ472" s="28">
        <f t="shared" si="489"/>
        <v>8.5337448908261949E-5</v>
      </c>
      <c r="AR472" s="28">
        <f t="shared" si="489"/>
        <v>1.1061346780242675E-4</v>
      </c>
      <c r="AS472" s="28">
        <f t="shared" si="489"/>
        <v>2.3326591171279686E-4</v>
      </c>
      <c r="AT472" s="28">
        <f t="shared" si="489"/>
        <v>5.2085028886867659E-4</v>
      </c>
      <c r="AU472" s="28">
        <f t="shared" si="489"/>
        <v>2.3862591564346238E-4</v>
      </c>
      <c r="AV472" s="28">
        <f t="shared" si="489"/>
        <v>2.3344353982386237E-3</v>
      </c>
      <c r="AW472" s="28">
        <f t="shared" si="489"/>
        <v>1.2201795320370455E-4</v>
      </c>
      <c r="AX472" s="28">
        <f t="shared" si="489"/>
        <v>2.1527594745328202E-4</v>
      </c>
      <c r="AY472" s="28">
        <f t="shared" si="489"/>
        <v>4.4981228783335389E-3</v>
      </c>
      <c r="AZ472" s="28">
        <f t="shared" si="489"/>
        <v>9.8508560175869985E-4</v>
      </c>
      <c r="BA472" s="28">
        <f t="shared" si="489"/>
        <v>2.5231323282045285E-4</v>
      </c>
      <c r="BB472" s="28">
        <f t="shared" si="489"/>
        <v>2.4488452580106654E-4</v>
      </c>
      <c r="BC472" s="28">
        <f t="shared" si="489"/>
        <v>8.9245301174962645E-5</v>
      </c>
      <c r="BD472" s="28">
        <f t="shared" si="489"/>
        <v>3.1577024982050851E-5</v>
      </c>
      <c r="BE472" s="28">
        <f t="shared" si="489"/>
        <v>6.347184134177725E-3</v>
      </c>
      <c r="BF472" s="28">
        <f t="shared" si="489"/>
        <v>1.1239974794749703E-5</v>
      </c>
      <c r="BG472" s="28">
        <f t="shared" si="489"/>
        <v>5.2496727744315239E-6</v>
      </c>
      <c r="BH472" s="28">
        <f t="shared" si="489"/>
        <v>3.8685439031981093E-4</v>
      </c>
      <c r="BI472" s="28">
        <f t="shared" si="489"/>
        <v>2.4561814244951271E-4</v>
      </c>
      <c r="BJ472" s="28">
        <f t="shared" si="489"/>
        <v>9.4084915492653477E-5</v>
      </c>
      <c r="BK472" s="28">
        <f t="shared" si="489"/>
        <v>3.4121187428019063E-5</v>
      </c>
      <c r="BL472" s="28">
        <f t="shared" si="489"/>
        <v>1.584064480803234E-7</v>
      </c>
      <c r="BM472" s="28">
        <f t="shared" si="489"/>
        <v>8.6929170936218733E-6</v>
      </c>
      <c r="BN472" s="28">
        <f t="shared" si="489"/>
        <v>2.2072958296448154E-5</v>
      </c>
      <c r="BO472" s="28">
        <f t="shared" si="489"/>
        <v>1.4071917875167077E-5</v>
      </c>
      <c r="BP472" s="28">
        <f t="shared" si="489"/>
        <v>2.6920759358314069E-5</v>
      </c>
      <c r="BQ472" s="28">
        <f t="shared" si="489"/>
        <v>6.2358919992043987E-5</v>
      </c>
      <c r="BR472" s="28">
        <f t="shared" si="489"/>
        <v>0</v>
      </c>
    </row>
    <row r="473" spans="1:75" x14ac:dyDescent="0.3">
      <c r="B473" s="3" t="s">
        <v>44</v>
      </c>
      <c r="C473" s="28"/>
      <c r="D473" s="328"/>
      <c r="E473" s="30">
        <f t="shared" si="485"/>
        <v>0.80836708850510652</v>
      </c>
      <c r="F473" s="28">
        <f>F468*F$162</f>
        <v>1.8054164814971081E-4</v>
      </c>
      <c r="G473" s="28">
        <f t="shared" ref="G473:BR473" si="490">G468*G$162</f>
        <v>9.1202698638864974E-3</v>
      </c>
      <c r="H473" s="28">
        <f t="shared" si="490"/>
        <v>1.5150129847044249E-5</v>
      </c>
      <c r="I473" s="28">
        <f t="shared" si="490"/>
        <v>0.16957722398460492</v>
      </c>
      <c r="J473" s="28">
        <f t="shared" si="490"/>
        <v>1.5805423555109651E-4</v>
      </c>
      <c r="K473" s="28">
        <f t="shared" si="490"/>
        <v>3.4356773103139435E-4</v>
      </c>
      <c r="L473" s="28">
        <f t="shared" si="490"/>
        <v>2.527089141036603E-2</v>
      </c>
      <c r="M473" s="28">
        <f t="shared" si="490"/>
        <v>8.5063706037408259E-4</v>
      </c>
      <c r="N473" s="28">
        <f t="shared" si="490"/>
        <v>5.3260513244622512E-4</v>
      </c>
      <c r="O473" s="28">
        <f t="shared" si="490"/>
        <v>4.3750328332536281E-2</v>
      </c>
      <c r="P473" s="28">
        <f t="shared" si="490"/>
        <v>2.5075892310264581E-3</v>
      </c>
      <c r="Q473" s="28">
        <f t="shared" si="490"/>
        <v>4.1790542459412013E-6</v>
      </c>
      <c r="R473" s="28">
        <f t="shared" si="490"/>
        <v>8.7684793314280894E-4</v>
      </c>
      <c r="S473" s="28">
        <f t="shared" si="490"/>
        <v>6.89472821164057E-4</v>
      </c>
      <c r="T473" s="28">
        <f t="shared" si="490"/>
        <v>2.4085138430393363E-4</v>
      </c>
      <c r="U473" s="28">
        <f t="shared" si="490"/>
        <v>3.0384862038758996E-3</v>
      </c>
      <c r="V473" s="28">
        <f t="shared" si="490"/>
        <v>9.7785929068199828E-5</v>
      </c>
      <c r="W473" s="28">
        <f t="shared" si="490"/>
        <v>6.0023203579365268E-4</v>
      </c>
      <c r="X473" s="28">
        <f t="shared" si="490"/>
        <v>3.0835175329272215E-3</v>
      </c>
      <c r="Y473" s="28">
        <f t="shared" si="490"/>
        <v>6.1398358360749688E-4</v>
      </c>
      <c r="Z473" s="28">
        <f t="shared" si="490"/>
        <v>6.0036969442680963E-5</v>
      </c>
      <c r="AA473" s="28">
        <f t="shared" si="490"/>
        <v>2.9829372257380454E-4</v>
      </c>
      <c r="AB473" s="28">
        <f t="shared" si="490"/>
        <v>1.3316279120613551E-2</v>
      </c>
      <c r="AC473" s="28">
        <f t="shared" si="490"/>
        <v>3.1748325422798006E-2</v>
      </c>
      <c r="AD473" s="28">
        <f t="shared" si="490"/>
        <v>3.3195492445515264E-2</v>
      </c>
      <c r="AE473" s="28">
        <f t="shared" si="490"/>
        <v>0.31547740832408766</v>
      </c>
      <c r="AF473" s="28">
        <f t="shared" si="490"/>
        <v>2.9574957473100004E-3</v>
      </c>
      <c r="AG473" s="28">
        <f t="shared" si="490"/>
        <v>4.2437945208489752E-4</v>
      </c>
      <c r="AH473" s="28">
        <f t="shared" si="490"/>
        <v>4.5313357599469448E-3</v>
      </c>
      <c r="AI473" s="28">
        <f t="shared" si="490"/>
        <v>3.2986435801205592E-3</v>
      </c>
      <c r="AJ473" s="28">
        <f t="shared" si="490"/>
        <v>2.9976203621029936E-2</v>
      </c>
      <c r="AK473" s="28">
        <f t="shared" si="490"/>
        <v>2.7879315810903534E-3</v>
      </c>
      <c r="AL473" s="28">
        <f t="shared" si="490"/>
        <v>1.420346113048516E-2</v>
      </c>
      <c r="AM473" s="28">
        <f t="shared" si="490"/>
        <v>7.6220963146973937E-4</v>
      </c>
      <c r="AN473" s="28">
        <f t="shared" si="490"/>
        <v>1.1907130219738285E-4</v>
      </c>
      <c r="AO473" s="28">
        <f t="shared" si="490"/>
        <v>1.2159207324712011E-2</v>
      </c>
      <c r="AP473" s="28">
        <f t="shared" si="490"/>
        <v>5.0988132929936979E-4</v>
      </c>
      <c r="AQ473" s="28">
        <f t="shared" si="490"/>
        <v>5.7782160077180411E-4</v>
      </c>
      <c r="AR473" s="28">
        <f t="shared" si="490"/>
        <v>6.5432383841873521E-4</v>
      </c>
      <c r="AS473" s="28">
        <f t="shared" si="490"/>
        <v>4.8660980966383694E-4</v>
      </c>
      <c r="AT473" s="28">
        <f t="shared" si="490"/>
        <v>3.0529594005015209E-3</v>
      </c>
      <c r="AU473" s="28">
        <f t="shared" si="490"/>
        <v>4.532712721446305E-3</v>
      </c>
      <c r="AV473" s="28">
        <f t="shared" si="490"/>
        <v>1.1595369558912074E-2</v>
      </c>
      <c r="AW473" s="28">
        <f t="shared" si="490"/>
        <v>1.3650760915458427E-3</v>
      </c>
      <c r="AX473" s="28">
        <f t="shared" si="490"/>
        <v>1.4389751021507992E-3</v>
      </c>
      <c r="AY473" s="28">
        <f t="shared" si="490"/>
        <v>1.2151155960918798E-2</v>
      </c>
      <c r="AZ473" s="28">
        <f t="shared" si="490"/>
        <v>1.577122954900442E-2</v>
      </c>
      <c r="BA473" s="28">
        <f t="shared" si="490"/>
        <v>2.6323049424444461E-3</v>
      </c>
      <c r="BB473" s="28">
        <f t="shared" si="490"/>
        <v>1.8241858810741963E-3</v>
      </c>
      <c r="BC473" s="28">
        <f t="shared" si="490"/>
        <v>1.0834859121093782E-3</v>
      </c>
      <c r="BD473" s="28">
        <f t="shared" si="490"/>
        <v>4.2547533144140386E-4</v>
      </c>
      <c r="BE473" s="28">
        <f t="shared" si="490"/>
        <v>1.3277087384648896E-2</v>
      </c>
      <c r="BF473" s="28">
        <f t="shared" si="490"/>
        <v>8.5579724036731919E-4</v>
      </c>
      <c r="BG473" s="28">
        <f t="shared" si="490"/>
        <v>5.748486272737832E-5</v>
      </c>
      <c r="BH473" s="28">
        <f t="shared" si="490"/>
        <v>5.6520135208441733E-3</v>
      </c>
      <c r="BI473" s="28">
        <f t="shared" si="490"/>
        <v>1.4354729439947642E-3</v>
      </c>
      <c r="BJ473" s="28">
        <f t="shared" si="490"/>
        <v>1.0597610935678783E-3</v>
      </c>
      <c r="BK473" s="28">
        <f t="shared" si="490"/>
        <v>3.3330862170344842E-4</v>
      </c>
      <c r="BL473" s="28">
        <f t="shared" si="490"/>
        <v>1.9471590377494748E-6</v>
      </c>
      <c r="BM473" s="28">
        <f t="shared" si="490"/>
        <v>5.1367631982852685E-5</v>
      </c>
      <c r="BN473" s="28">
        <f t="shared" si="490"/>
        <v>6.9877279798368863E-5</v>
      </c>
      <c r="BO473" s="28">
        <f t="shared" si="490"/>
        <v>1.960385688711349E-4</v>
      </c>
      <c r="BP473" s="28">
        <f t="shared" si="490"/>
        <v>1.4010555300294185E-4</v>
      </c>
      <c r="BQ473" s="28">
        <f t="shared" si="490"/>
        <v>2.6726924142972652E-4</v>
      </c>
      <c r="BR473" s="28">
        <f t="shared" si="490"/>
        <v>0</v>
      </c>
    </row>
    <row r="474" spans="1:75" x14ac:dyDescent="0.3">
      <c r="B474" s="3" t="s">
        <v>25</v>
      </c>
      <c r="C474" s="28"/>
      <c r="D474" s="328"/>
      <c r="E474" s="30">
        <f t="shared" si="485"/>
        <v>0.14597443044054481</v>
      </c>
      <c r="F474" s="28">
        <f>F468*F$164</f>
        <v>1.3106303621870629E-4</v>
      </c>
      <c r="G474" s="28">
        <f t="shared" ref="G474:BR474" si="491">G468*G$164</f>
        <v>1.3872950820102579E-3</v>
      </c>
      <c r="H474" s="28">
        <f t="shared" si="491"/>
        <v>9.6655942515862576E-6</v>
      </c>
      <c r="I474" s="28">
        <f t="shared" si="491"/>
        <v>0</v>
      </c>
      <c r="J474" s="28">
        <f t="shared" si="491"/>
        <v>5.4190605175990602E-4</v>
      </c>
      <c r="K474" s="28">
        <f t="shared" si="491"/>
        <v>1.4405565696553344E-3</v>
      </c>
      <c r="L474" s="28">
        <f t="shared" si="491"/>
        <v>2.0921435277106225E-2</v>
      </c>
      <c r="M474" s="28">
        <f t="shared" si="491"/>
        <v>3.0317965943413368E-3</v>
      </c>
      <c r="N474" s="28">
        <f t="shared" si="491"/>
        <v>1.9985803372403191E-5</v>
      </c>
      <c r="O474" s="28">
        <f t="shared" si="491"/>
        <v>0</v>
      </c>
      <c r="P474" s="28">
        <f t="shared" si="491"/>
        <v>2.0264550327831997E-2</v>
      </c>
      <c r="Q474" s="28">
        <f t="shared" si="491"/>
        <v>1.3460659979153196E-4</v>
      </c>
      <c r="R474" s="28">
        <f t="shared" si="491"/>
        <v>4.7337527996211687E-3</v>
      </c>
      <c r="S474" s="28">
        <f t="shared" si="491"/>
        <v>1.3229303225420705E-3</v>
      </c>
      <c r="T474" s="28">
        <f t="shared" si="491"/>
        <v>8.386710691840547E-3</v>
      </c>
      <c r="U474" s="28">
        <f t="shared" si="491"/>
        <v>6.1182680213102362E-3</v>
      </c>
      <c r="V474" s="28">
        <f t="shared" si="491"/>
        <v>1.1751423744700597E-3</v>
      </c>
      <c r="W474" s="28">
        <f t="shared" si="491"/>
        <v>3.328471194103733E-3</v>
      </c>
      <c r="X474" s="28">
        <f t="shared" si="491"/>
        <v>2.0636186293779946E-2</v>
      </c>
      <c r="Y474" s="28">
        <f t="shared" si="491"/>
        <v>4.3943342942477414E-3</v>
      </c>
      <c r="Z474" s="28">
        <f t="shared" si="491"/>
        <v>3.8832150064603083E-4</v>
      </c>
      <c r="AA474" s="28">
        <f t="shared" si="491"/>
        <v>5.1700094770146601E-4</v>
      </c>
      <c r="AB474" s="28">
        <f t="shared" si="491"/>
        <v>1.0642986940773073E-3</v>
      </c>
      <c r="AC474" s="28">
        <f t="shared" si="491"/>
        <v>4.7683044664115068E-3</v>
      </c>
      <c r="AD474" s="28">
        <f t="shared" si="491"/>
        <v>0</v>
      </c>
      <c r="AE474" s="28">
        <f t="shared" si="491"/>
        <v>0</v>
      </c>
      <c r="AF474" s="28">
        <f t="shared" si="491"/>
        <v>0</v>
      </c>
      <c r="AG474" s="28">
        <f t="shared" si="491"/>
        <v>3.6753797260441435E-4</v>
      </c>
      <c r="AH474" s="28">
        <f t="shared" si="491"/>
        <v>4.1647565481790484E-4</v>
      </c>
      <c r="AI474" s="28">
        <f t="shared" si="491"/>
        <v>3.9560488211578587E-5</v>
      </c>
      <c r="AJ474" s="28">
        <f t="shared" si="491"/>
        <v>0</v>
      </c>
      <c r="AK474" s="28">
        <f t="shared" si="491"/>
        <v>0</v>
      </c>
      <c r="AL474" s="28">
        <f t="shared" si="491"/>
        <v>2.7432760184367298E-3</v>
      </c>
      <c r="AM474" s="28">
        <f t="shared" si="491"/>
        <v>1.1827413440726124E-3</v>
      </c>
      <c r="AN474" s="28">
        <f t="shared" si="491"/>
        <v>5.3520174648918179E-4</v>
      </c>
      <c r="AO474" s="28">
        <f t="shared" si="491"/>
        <v>5.1604270150241646E-3</v>
      </c>
      <c r="AP474" s="28">
        <f t="shared" si="491"/>
        <v>1.1112963021253057E-4</v>
      </c>
      <c r="AQ474" s="28">
        <f t="shared" si="491"/>
        <v>1.718166863045122E-4</v>
      </c>
      <c r="AR474" s="28">
        <f t="shared" si="491"/>
        <v>4.1705206635176252E-4</v>
      </c>
      <c r="AS474" s="28">
        <f t="shared" si="491"/>
        <v>2.0999133604990638E-4</v>
      </c>
      <c r="AT474" s="28">
        <f t="shared" si="491"/>
        <v>1.4852991767447074E-3</v>
      </c>
      <c r="AU474" s="28">
        <f t="shared" si="491"/>
        <v>1.2450696553319037E-3</v>
      </c>
      <c r="AV474" s="28">
        <f t="shared" si="491"/>
        <v>2.9515852703601918E-3</v>
      </c>
      <c r="AW474" s="28">
        <f t="shared" si="491"/>
        <v>4.8686181264925332E-5</v>
      </c>
      <c r="AX474" s="28">
        <f t="shared" si="491"/>
        <v>1.0709145437634363E-4</v>
      </c>
      <c r="AY474" s="28">
        <f t="shared" si="491"/>
        <v>5.5874285515205954E-5</v>
      </c>
      <c r="AZ474" s="28">
        <f t="shared" si="491"/>
        <v>1.2586196580699148E-2</v>
      </c>
      <c r="BA474" s="28">
        <f t="shared" si="491"/>
        <v>7.2016401504352656E-4</v>
      </c>
      <c r="BB474" s="28">
        <f t="shared" si="491"/>
        <v>1.9020255156004961E-4</v>
      </c>
      <c r="BC474" s="28">
        <f t="shared" si="491"/>
        <v>4.7989597614248855E-4</v>
      </c>
      <c r="BD474" s="28">
        <f t="shared" si="491"/>
        <v>5.3909717734144099E-5</v>
      </c>
      <c r="BE474" s="28">
        <f t="shared" si="491"/>
        <v>9.8618611568338545E-3</v>
      </c>
      <c r="BF474" s="28">
        <f t="shared" si="491"/>
        <v>4.8882454553572991E-6</v>
      </c>
      <c r="BG474" s="28">
        <f t="shared" si="491"/>
        <v>0</v>
      </c>
      <c r="BH474" s="28">
        <f t="shared" si="491"/>
        <v>7.4447359136639671E-5</v>
      </c>
      <c r="BI474" s="28">
        <f t="shared" si="491"/>
        <v>7.4760768403495994E-6</v>
      </c>
      <c r="BJ474" s="28">
        <f t="shared" si="491"/>
        <v>2.3656641746752326E-5</v>
      </c>
      <c r="BK474" s="28">
        <f t="shared" si="491"/>
        <v>3.1721429838961315E-6</v>
      </c>
      <c r="BL474" s="28">
        <f t="shared" si="491"/>
        <v>0</v>
      </c>
      <c r="BM474" s="28">
        <f t="shared" si="491"/>
        <v>2.935274383441455E-6</v>
      </c>
      <c r="BN474" s="28">
        <f t="shared" si="491"/>
        <v>1.8675437714157888E-7</v>
      </c>
      <c r="BO474" s="28">
        <f t="shared" si="491"/>
        <v>0</v>
      </c>
      <c r="BP474" s="28">
        <f t="shared" si="491"/>
        <v>0</v>
      </c>
      <c r="BQ474" s="28">
        <f t="shared" si="491"/>
        <v>3.9428348400855522E-8</v>
      </c>
      <c r="BR474" s="28">
        <f t="shared" si="491"/>
        <v>0</v>
      </c>
    </row>
    <row r="475" spans="1:75" x14ac:dyDescent="0.3">
      <c r="A475" s="73">
        <v>29</v>
      </c>
      <c r="B475" s="16" t="s">
        <v>38</v>
      </c>
      <c r="D475" s="244"/>
      <c r="E475" s="29"/>
    </row>
    <row r="476" spans="1:75" x14ac:dyDescent="0.3">
      <c r="A476" s="3">
        <f>A466+1</f>
        <v>7</v>
      </c>
      <c r="B476" s="7" t="s">
        <v>61</v>
      </c>
      <c r="D476" s="327" t="s">
        <v>235</v>
      </c>
      <c r="E476" s="88">
        <f>HLOOKUP(A475,$F$305:$BK$372,A475+2)</f>
        <v>1.0455474415173183</v>
      </c>
      <c r="BS476" s="20"/>
      <c r="BT476" s="20"/>
      <c r="BU476" s="20"/>
      <c r="BV476" s="20"/>
      <c r="BW476" s="20"/>
    </row>
    <row r="477" spans="1:75" x14ac:dyDescent="0.3">
      <c r="D477" s="327" t="s">
        <v>60</v>
      </c>
      <c r="E477" s="88">
        <f>HLOOKUP(A475,$F$305:$BK$372,68)-E476</f>
        <v>1.0251723568501561</v>
      </c>
      <c r="F477" s="32"/>
    </row>
    <row r="478" spans="1:75" x14ac:dyDescent="0.3">
      <c r="C478" s="29"/>
      <c r="D478" s="327" t="s">
        <v>201</v>
      </c>
      <c r="E478" s="30">
        <f>E477+E476</f>
        <v>2.0707197983674743</v>
      </c>
      <c r="F478" s="95">
        <f t="shared" ref="F478:BQ478" si="492">HLOOKUP($A475,$F$305:$BK$372,F$305+2)</f>
        <v>1.0444715169409175E-3</v>
      </c>
      <c r="G478" s="95">
        <f t="shared" si="492"/>
        <v>1.4537574043338145E-2</v>
      </c>
      <c r="H478" s="95">
        <f t="shared" si="492"/>
        <v>1.0257938317283872E-4</v>
      </c>
      <c r="I478" s="95">
        <f t="shared" si="492"/>
        <v>4.7469606616248557E-2</v>
      </c>
      <c r="J478" s="95">
        <f t="shared" si="492"/>
        <v>2.1405261266198919E-3</v>
      </c>
      <c r="K478" s="95">
        <f t="shared" si="492"/>
        <v>3.2022346771148694E-3</v>
      </c>
      <c r="L478" s="95">
        <f t="shared" si="492"/>
        <v>7.6715322189003357E-2</v>
      </c>
      <c r="M478" s="95">
        <f t="shared" si="492"/>
        <v>3.6658442911018849E-3</v>
      </c>
      <c r="N478" s="95">
        <f t="shared" si="492"/>
        <v>2.2763707069158442E-3</v>
      </c>
      <c r="O478" s="95">
        <f t="shared" si="492"/>
        <v>4.0535761266966404E-2</v>
      </c>
      <c r="P478" s="95">
        <f t="shared" si="492"/>
        <v>2.6330578653543057E-2</v>
      </c>
      <c r="Q478" s="95">
        <f t="shared" si="492"/>
        <v>2.1717453745034206E-4</v>
      </c>
      <c r="R478" s="95">
        <f t="shared" si="492"/>
        <v>4.048650993299862E-2</v>
      </c>
      <c r="S478" s="95">
        <f t="shared" si="492"/>
        <v>9.5289351070163342E-2</v>
      </c>
      <c r="T478" s="95">
        <f t="shared" si="492"/>
        <v>3.8447648704630709E-2</v>
      </c>
      <c r="U478" s="95">
        <f t="shared" si="492"/>
        <v>8.5510338102953706E-2</v>
      </c>
      <c r="V478" s="95">
        <f t="shared" si="492"/>
        <v>8.6953237902990151E-3</v>
      </c>
      <c r="W478" s="95">
        <f t="shared" si="492"/>
        <v>2.4032076811929461E-2</v>
      </c>
      <c r="X478" s="95">
        <f t="shared" si="492"/>
        <v>1.5321866344547526E-2</v>
      </c>
      <c r="Y478" s="95">
        <f t="shared" si="492"/>
        <v>7.4200539181650624E-3</v>
      </c>
      <c r="Z478" s="95">
        <f t="shared" si="492"/>
        <v>5.2572578478671912E-4</v>
      </c>
      <c r="AA478" s="95">
        <f t="shared" si="492"/>
        <v>1.6949140661188669E-3</v>
      </c>
      <c r="AB478" s="95">
        <f t="shared" si="492"/>
        <v>1.256317820936512E-2</v>
      </c>
      <c r="AC478" s="95">
        <f t="shared" si="492"/>
        <v>1.4717712154006536E-2</v>
      </c>
      <c r="AD478" s="95">
        <f t="shared" si="492"/>
        <v>6.9300423190199623E-3</v>
      </c>
      <c r="AE478" s="95">
        <f t="shared" si="492"/>
        <v>2.8357704872993971E-3</v>
      </c>
      <c r="AF478" s="95">
        <f t="shared" si="492"/>
        <v>9.8581892930158345E-4</v>
      </c>
      <c r="AG478" s="95">
        <f t="shared" si="492"/>
        <v>6.5262558311910534E-3</v>
      </c>
      <c r="AH478" s="95">
        <f t="shared" si="492"/>
        <v>1.0455474415173183</v>
      </c>
      <c r="AI478" s="95">
        <f t="shared" si="492"/>
        <v>1.2254583238863978E-2</v>
      </c>
      <c r="AJ478" s="95">
        <f t="shared" si="492"/>
        <v>6.5748079541459406E-2</v>
      </c>
      <c r="AK478" s="95">
        <f t="shared" si="492"/>
        <v>1.2477193444413824E-2</v>
      </c>
      <c r="AL478" s="95">
        <f t="shared" si="492"/>
        <v>7.0106812226397738E-2</v>
      </c>
      <c r="AM478" s="95">
        <f t="shared" si="492"/>
        <v>5.3966009203949335E-3</v>
      </c>
      <c r="AN478" s="95">
        <f t="shared" si="492"/>
        <v>2.4503037739787505E-3</v>
      </c>
      <c r="AO478" s="95">
        <f t="shared" si="492"/>
        <v>3.2316491338105893E-2</v>
      </c>
      <c r="AP478" s="95">
        <f t="shared" si="492"/>
        <v>1.2955199659532022E-3</v>
      </c>
      <c r="AQ478" s="95">
        <f t="shared" si="492"/>
        <v>5.1871135611904692E-3</v>
      </c>
      <c r="AR478" s="95">
        <f t="shared" si="492"/>
        <v>2.214635526717342E-3</v>
      </c>
      <c r="AS478" s="95">
        <f t="shared" si="492"/>
        <v>1.4811623006460899E-3</v>
      </c>
      <c r="AT478" s="95">
        <f t="shared" si="492"/>
        <v>1.5190161137935679E-2</v>
      </c>
      <c r="AU478" s="95">
        <f t="shared" si="492"/>
        <v>6.2814829028910524E-3</v>
      </c>
      <c r="AV478" s="95">
        <f t="shared" si="492"/>
        <v>1.614127673411898E-2</v>
      </c>
      <c r="AW478" s="95">
        <f t="shared" si="492"/>
        <v>4.6469723088033493E-3</v>
      </c>
      <c r="AX478" s="95">
        <f t="shared" si="492"/>
        <v>3.2474189289496721E-3</v>
      </c>
      <c r="AY478" s="95">
        <f t="shared" si="492"/>
        <v>2.3428277589820374E-2</v>
      </c>
      <c r="AZ478" s="95">
        <f t="shared" si="492"/>
        <v>2.4724545959054399E-2</v>
      </c>
      <c r="BA478" s="95">
        <f t="shared" si="492"/>
        <v>7.9942965560114376E-2</v>
      </c>
      <c r="BB478" s="95">
        <f t="shared" si="492"/>
        <v>1.1251853109807087E-3</v>
      </c>
      <c r="BC478" s="95">
        <f t="shared" si="492"/>
        <v>6.5962335393879639E-3</v>
      </c>
      <c r="BD478" s="95">
        <f t="shared" si="492"/>
        <v>3.1075257090700955E-3</v>
      </c>
      <c r="BE478" s="95">
        <f t="shared" si="492"/>
        <v>2.4963109987945389E-2</v>
      </c>
      <c r="BF478" s="95">
        <f t="shared" si="492"/>
        <v>1.9379881434034893E-3</v>
      </c>
      <c r="BG478" s="95">
        <f t="shared" si="492"/>
        <v>2.7958953826330991E-4</v>
      </c>
      <c r="BH478" s="95">
        <f t="shared" si="492"/>
        <v>1.6335561866068986E-2</v>
      </c>
      <c r="BI478" s="95">
        <f t="shared" si="492"/>
        <v>2.4430687242474824E-3</v>
      </c>
      <c r="BJ478" s="95">
        <f t="shared" si="492"/>
        <v>1.31950095733492E-3</v>
      </c>
      <c r="BK478" s="95">
        <f t="shared" si="492"/>
        <v>5.8788424442879014E-4</v>
      </c>
      <c r="BL478" s="95">
        <f t="shared" si="492"/>
        <v>3.2650315923868153E-6</v>
      </c>
      <c r="BM478" s="95">
        <f t="shared" si="492"/>
        <v>1.1417279642727484E-4</v>
      </c>
      <c r="BN478" s="95">
        <f t="shared" si="492"/>
        <v>1.5622682651295807E-4</v>
      </c>
      <c r="BO478" s="95">
        <f t="shared" si="492"/>
        <v>5.2480999154435909E-4</v>
      </c>
      <c r="BP478" s="95">
        <f t="shared" si="492"/>
        <v>6.1902894955726201E-4</v>
      </c>
      <c r="BQ478" s="95">
        <f t="shared" si="492"/>
        <v>3.0697780838772102E-4</v>
      </c>
      <c r="BR478" s="95">
        <f t="shared" ref="BR478" si="493">HLOOKUP($A475,$F$305:$BK$372,BR$305+2)</f>
        <v>0</v>
      </c>
    </row>
    <row r="479" spans="1:75" x14ac:dyDescent="0.3">
      <c r="B479" s="3" t="s">
        <v>110</v>
      </c>
      <c r="C479" s="29"/>
      <c r="D479" s="327"/>
      <c r="E479" s="30">
        <f>SUM(F479:BR479)</f>
        <v>2.3970391597357501E-2</v>
      </c>
      <c r="F479" s="28">
        <f>F478*F$155</f>
        <v>2.4039291502422106E-5</v>
      </c>
      <c r="G479" s="28">
        <f t="shared" ref="G479:BR479" si="494">G478*G$155</f>
        <v>1.754920065252696E-4</v>
      </c>
      <c r="H479" s="28">
        <f t="shared" si="494"/>
        <v>2.0568105370202389E-6</v>
      </c>
      <c r="I479" s="28">
        <f t="shared" si="494"/>
        <v>8.0387846985626496E-4</v>
      </c>
      <c r="J479" s="28">
        <f t="shared" si="494"/>
        <v>2.237460554453086E-6</v>
      </c>
      <c r="K479" s="28">
        <f t="shared" si="494"/>
        <v>1.3489792158348297E-5</v>
      </c>
      <c r="L479" s="28">
        <f t="shared" si="494"/>
        <v>2.4216477239667394E-4</v>
      </c>
      <c r="M479" s="28">
        <f t="shared" si="494"/>
        <v>1.9009935241437114E-5</v>
      </c>
      <c r="N479" s="28">
        <f t="shared" si="494"/>
        <v>4.7284799068819734E-6</v>
      </c>
      <c r="O479" s="28">
        <f t="shared" si="494"/>
        <v>4.7182498691255095E-4</v>
      </c>
      <c r="P479" s="28">
        <f t="shared" si="494"/>
        <v>2.9573133907098256E-5</v>
      </c>
      <c r="Q479" s="28">
        <f t="shared" si="494"/>
        <v>3.8848903066910221E-8</v>
      </c>
      <c r="R479" s="28">
        <f t="shared" si="494"/>
        <v>6.9978016130721365E-5</v>
      </c>
      <c r="S479" s="28">
        <f t="shared" si="494"/>
        <v>2.9065882959739936E-4</v>
      </c>
      <c r="T479" s="28">
        <f t="shared" si="494"/>
        <v>2.5473604292959457E-5</v>
      </c>
      <c r="U479" s="28">
        <f t="shared" si="494"/>
        <v>1.9858969512005079E-4</v>
      </c>
      <c r="V479" s="28">
        <f t="shared" si="494"/>
        <v>6.0555417264690486E-6</v>
      </c>
      <c r="W479" s="28">
        <f t="shared" si="494"/>
        <v>2.1231783524497555E-5</v>
      </c>
      <c r="X479" s="28">
        <f t="shared" si="494"/>
        <v>1.3345741621759543E-5</v>
      </c>
      <c r="Y479" s="28">
        <f t="shared" si="494"/>
        <v>5.5733284584547662E-6</v>
      </c>
      <c r="Z479" s="28">
        <f t="shared" si="494"/>
        <v>3.3510173276454704E-7</v>
      </c>
      <c r="AA479" s="28">
        <f t="shared" si="494"/>
        <v>7.360497743171448E-6</v>
      </c>
      <c r="AB479" s="28">
        <f t="shared" si="494"/>
        <v>5.7583077663383937E-5</v>
      </c>
      <c r="AC479" s="28">
        <f t="shared" si="494"/>
        <v>2.6660061558954557E-5</v>
      </c>
      <c r="AD479" s="28">
        <f t="shared" si="494"/>
        <v>6.7584855804112505E-7</v>
      </c>
      <c r="AE479" s="28">
        <f t="shared" si="494"/>
        <v>8.9654595533480785E-5</v>
      </c>
      <c r="AF479" s="28">
        <f t="shared" si="494"/>
        <v>6.9751411300650693E-6</v>
      </c>
      <c r="AG479" s="28">
        <f t="shared" si="494"/>
        <v>3.1043726673153583E-5</v>
      </c>
      <c r="AH479" s="28">
        <f t="shared" si="494"/>
        <v>1.210558182192749E-2</v>
      </c>
      <c r="AI479" s="28">
        <f t="shared" si="494"/>
        <v>7.7301740474673179E-5</v>
      </c>
      <c r="AJ479" s="28">
        <f t="shared" si="494"/>
        <v>3.6534144986659979E-4</v>
      </c>
      <c r="AK479" s="28">
        <f t="shared" si="494"/>
        <v>6.7390675089143987E-5</v>
      </c>
      <c r="AL479" s="28">
        <f t="shared" si="494"/>
        <v>5.9463239470274069E-3</v>
      </c>
      <c r="AM479" s="28">
        <f t="shared" si="494"/>
        <v>0</v>
      </c>
      <c r="AN479" s="28">
        <f t="shared" si="494"/>
        <v>2.1740187732479343E-6</v>
      </c>
      <c r="AO479" s="28">
        <f t="shared" si="494"/>
        <v>8.1321772868016374E-5</v>
      </c>
      <c r="AP479" s="28">
        <f t="shared" si="494"/>
        <v>2.6014958662520829E-5</v>
      </c>
      <c r="AQ479" s="28">
        <f t="shared" si="494"/>
        <v>2.083872390691424E-5</v>
      </c>
      <c r="AR479" s="28">
        <f t="shared" si="494"/>
        <v>4.2808659108873121E-6</v>
      </c>
      <c r="AS479" s="28">
        <f t="shared" si="494"/>
        <v>1.2348955464092821E-5</v>
      </c>
      <c r="AT479" s="28">
        <f t="shared" si="494"/>
        <v>1.7150953109544512E-5</v>
      </c>
      <c r="AU479" s="28">
        <f t="shared" si="494"/>
        <v>2.1219832970778766E-5</v>
      </c>
      <c r="AV479" s="28">
        <f t="shared" si="494"/>
        <v>4.8035845782129667E-4</v>
      </c>
      <c r="AW479" s="28">
        <f t="shared" si="494"/>
        <v>1.7921227821095234E-4</v>
      </c>
      <c r="AX479" s="28">
        <f t="shared" si="494"/>
        <v>9.1662142064560749E-5</v>
      </c>
      <c r="AY479" s="28">
        <f t="shared" si="494"/>
        <v>4.0367376559573645E-4</v>
      </c>
      <c r="AZ479" s="28">
        <f t="shared" si="494"/>
        <v>9.41632886691563E-5</v>
      </c>
      <c r="BA479" s="28">
        <f t="shared" si="494"/>
        <v>7.6968715994846747E-4</v>
      </c>
      <c r="BB479" s="28">
        <f t="shared" si="494"/>
        <v>3.0714711411241465E-5</v>
      </c>
      <c r="BC479" s="28">
        <f t="shared" si="494"/>
        <v>2.5614906439922097E-5</v>
      </c>
      <c r="BD479" s="28">
        <f t="shared" si="494"/>
        <v>2.5806958396024302E-5</v>
      </c>
      <c r="BE479" s="28">
        <f t="shared" si="494"/>
        <v>4.5027226573494939E-5</v>
      </c>
      <c r="BF479" s="28">
        <f t="shared" si="494"/>
        <v>3.8391011759077347E-6</v>
      </c>
      <c r="BG479" s="28">
        <f t="shared" si="494"/>
        <v>4.5604585239180658E-7</v>
      </c>
      <c r="BH479" s="28">
        <f t="shared" si="494"/>
        <v>1.5923743166903662E-4</v>
      </c>
      <c r="BI479" s="28">
        <f t="shared" si="494"/>
        <v>1.2166888928824802E-4</v>
      </c>
      <c r="BJ479" s="28">
        <f t="shared" si="494"/>
        <v>5.4223049172562607E-5</v>
      </c>
      <c r="BK479" s="28">
        <f t="shared" si="494"/>
        <v>2.755283516569932E-5</v>
      </c>
      <c r="BL479" s="28">
        <f t="shared" si="494"/>
        <v>1.8609813092989304E-7</v>
      </c>
      <c r="BM479" s="28">
        <f t="shared" si="494"/>
        <v>5.1736444584661671E-6</v>
      </c>
      <c r="BN479" s="28">
        <f t="shared" si="494"/>
        <v>8.1124456579900675E-6</v>
      </c>
      <c r="BO479" s="28">
        <f t="shared" si="494"/>
        <v>3.1876549287100597E-5</v>
      </c>
      <c r="BP479" s="28">
        <f t="shared" si="494"/>
        <v>1.6786050709302918E-5</v>
      </c>
      <c r="BQ479" s="28">
        <f t="shared" si="494"/>
        <v>8.3402661408784189E-6</v>
      </c>
      <c r="BR479" s="28">
        <f t="shared" si="494"/>
        <v>0</v>
      </c>
    </row>
    <row r="480" spans="1:75" x14ac:dyDescent="0.3">
      <c r="B480" s="3" t="s">
        <v>56</v>
      </c>
      <c r="C480" s="28"/>
      <c r="D480" s="328"/>
      <c r="E480" s="30">
        <f t="shared" ref="E480" si="495">SUM(F480:BR480)</f>
        <v>0.43505147549410444</v>
      </c>
      <c r="F480" s="28">
        <f>F478*F$157</f>
        <v>1.297968157031301E-4</v>
      </c>
      <c r="G480" s="28">
        <f t="shared" ref="G480:BR480" si="496">G478*G$157</f>
        <v>1.7289080415577771E-3</v>
      </c>
      <c r="H480" s="28">
        <f t="shared" si="496"/>
        <v>7.128721590636656E-6</v>
      </c>
      <c r="I480" s="28">
        <f t="shared" si="496"/>
        <v>1.229525201719822E-2</v>
      </c>
      <c r="J480" s="28">
        <f t="shared" si="496"/>
        <v>1.6374215943837462E-4</v>
      </c>
      <c r="K480" s="28">
        <f t="shared" si="496"/>
        <v>3.4094467248499741E-4</v>
      </c>
      <c r="L480" s="28">
        <f t="shared" si="496"/>
        <v>8.5926030002466108E-3</v>
      </c>
      <c r="M480" s="28">
        <f t="shared" si="496"/>
        <v>1.7176112649888638E-4</v>
      </c>
      <c r="N480" s="28">
        <f t="shared" si="496"/>
        <v>4.2566467633911603E-4</v>
      </c>
      <c r="O480" s="28">
        <f t="shared" si="496"/>
        <v>4.0107741743976568E-3</v>
      </c>
      <c r="P480" s="28">
        <f t="shared" si="496"/>
        <v>7.6976198898000986E-4</v>
      </c>
      <c r="Q480" s="28">
        <f t="shared" si="496"/>
        <v>4.3662788881723014E-6</v>
      </c>
      <c r="R480" s="28">
        <f t="shared" si="496"/>
        <v>3.1107246573613104E-3</v>
      </c>
      <c r="S480" s="28">
        <f t="shared" si="496"/>
        <v>1.1414797850276132E-2</v>
      </c>
      <c r="T480" s="28">
        <f t="shared" si="496"/>
        <v>6.6651768879601257E-4</v>
      </c>
      <c r="U480" s="28">
        <f t="shared" si="496"/>
        <v>9.9086229989335441E-3</v>
      </c>
      <c r="V480" s="28">
        <f t="shared" si="496"/>
        <v>2.2396260394411216E-4</v>
      </c>
      <c r="W480" s="28">
        <f t="shared" si="496"/>
        <v>1.4907020632628997E-3</v>
      </c>
      <c r="X480" s="28">
        <f t="shared" si="496"/>
        <v>1.1784185773853538E-3</v>
      </c>
      <c r="Y480" s="28">
        <f t="shared" si="496"/>
        <v>3.5474819442660833E-4</v>
      </c>
      <c r="Z480" s="28">
        <f t="shared" si="496"/>
        <v>3.1789759857822642E-5</v>
      </c>
      <c r="AA480" s="28">
        <f t="shared" si="496"/>
        <v>2.450501411243768E-4</v>
      </c>
      <c r="AB480" s="28">
        <f t="shared" si="496"/>
        <v>3.6144995447742814E-3</v>
      </c>
      <c r="AC480" s="28">
        <f t="shared" si="496"/>
        <v>1.2834513211418897E-3</v>
      </c>
      <c r="AD480" s="28">
        <f t="shared" si="496"/>
        <v>1.8733532982229681E-4</v>
      </c>
      <c r="AE480" s="28">
        <f t="shared" si="496"/>
        <v>2.9583253507551872E-4</v>
      </c>
      <c r="AF480" s="28">
        <f t="shared" si="496"/>
        <v>2.0922880687829334E-4</v>
      </c>
      <c r="AG480" s="28">
        <f t="shared" si="496"/>
        <v>5.456351431193453E-4</v>
      </c>
      <c r="AH480" s="28">
        <f t="shared" si="496"/>
        <v>0.27068538852023227</v>
      </c>
      <c r="AI480" s="28">
        <f t="shared" si="496"/>
        <v>3.8898743011471048E-3</v>
      </c>
      <c r="AJ480" s="28">
        <f t="shared" si="496"/>
        <v>1.7009803036295873E-2</v>
      </c>
      <c r="AK480" s="28">
        <f t="shared" si="496"/>
        <v>4.8879188833855312E-3</v>
      </c>
      <c r="AL480" s="28">
        <f t="shared" si="496"/>
        <v>1.2646507281789491E-2</v>
      </c>
      <c r="AM480" s="28">
        <f t="shared" si="496"/>
        <v>1.06306158129149E-4</v>
      </c>
      <c r="AN480" s="28">
        <f t="shared" si="496"/>
        <v>1.7464882732057727E-4</v>
      </c>
      <c r="AO480" s="28">
        <f t="shared" si="496"/>
        <v>3.4352178972988294E-3</v>
      </c>
      <c r="AP480" s="28">
        <f t="shared" si="496"/>
        <v>5.2015742075121755E-4</v>
      </c>
      <c r="AQ480" s="28">
        <f t="shared" si="496"/>
        <v>1.3865959051640954E-3</v>
      </c>
      <c r="AR480" s="28">
        <f t="shared" si="496"/>
        <v>5.8157584956729485E-4</v>
      </c>
      <c r="AS480" s="28">
        <f t="shared" si="496"/>
        <v>3.4068627757259651E-4</v>
      </c>
      <c r="AT480" s="28">
        <f t="shared" si="496"/>
        <v>1.3386883375179769E-3</v>
      </c>
      <c r="AU480" s="28">
        <f t="shared" si="496"/>
        <v>2.4995459242945551E-3</v>
      </c>
      <c r="AV480" s="28">
        <f t="shared" si="496"/>
        <v>3.4365894284045474E-3</v>
      </c>
      <c r="AW480" s="28">
        <f t="shared" si="496"/>
        <v>1.0706285429339278E-3</v>
      </c>
      <c r="AX480" s="28">
        <f t="shared" si="496"/>
        <v>7.5884543203958994E-4</v>
      </c>
      <c r="AY480" s="28">
        <f t="shared" si="496"/>
        <v>1.5478843657448667E-3</v>
      </c>
      <c r="AZ480" s="28">
        <f t="shared" si="496"/>
        <v>5.2331863274827448E-3</v>
      </c>
      <c r="BA480" s="28">
        <f t="shared" si="496"/>
        <v>2.4032573403620701E-2</v>
      </c>
      <c r="BB480" s="28">
        <f t="shared" si="496"/>
        <v>6.6811231887151654E-4</v>
      </c>
      <c r="BC480" s="28">
        <f t="shared" si="496"/>
        <v>1.2861588547814866E-3</v>
      </c>
      <c r="BD480" s="28">
        <f t="shared" si="496"/>
        <v>1.0067040703328331E-3</v>
      </c>
      <c r="BE480" s="28">
        <f t="shared" si="496"/>
        <v>1.6310126753349983E-3</v>
      </c>
      <c r="BF480" s="28">
        <f t="shared" si="496"/>
        <v>1.4294261814027463E-3</v>
      </c>
      <c r="BG480" s="28">
        <f t="shared" si="496"/>
        <v>6.089789051465168E-5</v>
      </c>
      <c r="BH480" s="28">
        <f t="shared" si="496"/>
        <v>6.9854763120763838E-3</v>
      </c>
      <c r="BI480" s="28">
        <f t="shared" si="496"/>
        <v>1.28380045930541E-3</v>
      </c>
      <c r="BJ480" s="28">
        <f t="shared" si="496"/>
        <v>8.4549673042089624E-4</v>
      </c>
      <c r="BK480" s="28">
        <f t="shared" si="496"/>
        <v>3.0543076036361347E-4</v>
      </c>
      <c r="BL480" s="28">
        <f t="shared" si="496"/>
        <v>1.9015025186890181E-6</v>
      </c>
      <c r="BM480" s="28">
        <f t="shared" si="496"/>
        <v>4.330922347576986E-5</v>
      </c>
      <c r="BN480" s="28">
        <f t="shared" si="496"/>
        <v>4.396328595598737E-5</v>
      </c>
      <c r="BO480" s="28">
        <f t="shared" si="496"/>
        <v>2.089662411504581E-4</v>
      </c>
      <c r="BP480" s="28">
        <f t="shared" si="496"/>
        <v>1.7580060592255233E-4</v>
      </c>
      <c r="BQ480" s="28">
        <f t="shared" si="496"/>
        <v>9.0375371480032134E-5</v>
      </c>
      <c r="BR480" s="28">
        <f t="shared" si="496"/>
        <v>0</v>
      </c>
    </row>
    <row r="481" spans="1:75" x14ac:dyDescent="0.3">
      <c r="B481" s="2" t="s">
        <v>22</v>
      </c>
      <c r="C481" s="28"/>
      <c r="D481" s="328"/>
      <c r="E481" s="30">
        <f>SUM(F481:BR481)</f>
        <v>0.16187162328903887</v>
      </c>
      <c r="F481" s="28">
        <f t="shared" ref="F481:AK481" si="497">F478*F$161</f>
        <v>2.7020918590281928E-4</v>
      </c>
      <c r="G481" s="28">
        <f t="shared" si="497"/>
        <v>2.3899555155424911E-3</v>
      </c>
      <c r="H481" s="28">
        <f t="shared" si="497"/>
        <v>1.2902787180579654E-5</v>
      </c>
      <c r="I481" s="28">
        <f t="shared" si="497"/>
        <v>9.2682632625835804E-3</v>
      </c>
      <c r="J481" s="28">
        <f t="shared" si="497"/>
        <v>4.5841917032282329E-5</v>
      </c>
      <c r="K481" s="28">
        <f t="shared" si="497"/>
        <v>4.2282703663493541E-5</v>
      </c>
      <c r="L481" s="28">
        <f t="shared" si="497"/>
        <v>4.6047423063318906E-3</v>
      </c>
      <c r="M481" s="28">
        <f t="shared" si="497"/>
        <v>2.6979607354049248E-4</v>
      </c>
      <c r="N481" s="28">
        <f t="shared" si="497"/>
        <v>1.9587376947931574E-4</v>
      </c>
      <c r="O481" s="28">
        <f t="shared" si="497"/>
        <v>1.0515580150339167E-2</v>
      </c>
      <c r="P481" s="28">
        <f t="shared" si="497"/>
        <v>1.2476812609166E-3</v>
      </c>
      <c r="Q481" s="28">
        <f t="shared" si="497"/>
        <v>1.2530580970587875E-6</v>
      </c>
      <c r="R481" s="28">
        <f t="shared" si="497"/>
        <v>6.1801306200360412E-4</v>
      </c>
      <c r="S481" s="28">
        <f t="shared" si="497"/>
        <v>2.2034158538189299E-3</v>
      </c>
      <c r="T481" s="28">
        <f t="shared" si="497"/>
        <v>2.3589247336741235E-4</v>
      </c>
      <c r="U481" s="28">
        <f t="shared" si="497"/>
        <v>2.8703468628867683E-3</v>
      </c>
      <c r="V481" s="28">
        <f t="shared" si="497"/>
        <v>1.6384518741970736E-4</v>
      </c>
      <c r="W481" s="28">
        <f t="shared" si="497"/>
        <v>8.0490834872869513E-4</v>
      </c>
      <c r="X481" s="28">
        <f t="shared" si="497"/>
        <v>2.6822767799902244E-4</v>
      </c>
      <c r="Y481" s="28">
        <f t="shared" si="497"/>
        <v>3.1433198157699508E-4</v>
      </c>
      <c r="Z481" s="28">
        <f t="shared" si="497"/>
        <v>2.0147079554636325E-5</v>
      </c>
      <c r="AA481" s="28">
        <f t="shared" si="497"/>
        <v>5.9139067774393645E-5</v>
      </c>
      <c r="AB481" s="28">
        <f t="shared" si="497"/>
        <v>7.9843329109934133E-4</v>
      </c>
      <c r="AC481" s="28">
        <f t="shared" si="497"/>
        <v>3.6662855014113478E-3</v>
      </c>
      <c r="AD481" s="28">
        <f t="shared" si="497"/>
        <v>4.5061295981277562E-4</v>
      </c>
      <c r="AE481" s="28">
        <f t="shared" si="497"/>
        <v>4.1846022227463495E-4</v>
      </c>
      <c r="AF481" s="28">
        <f t="shared" si="497"/>
        <v>1.9917292756173555E-4</v>
      </c>
      <c r="AG481" s="28">
        <f t="shared" si="497"/>
        <v>5.4885531900550582E-4</v>
      </c>
      <c r="AH481" s="28">
        <f t="shared" si="497"/>
        <v>5.9090369044366396E-2</v>
      </c>
      <c r="AI481" s="28">
        <f t="shared" si="497"/>
        <v>5.7079930779338256E-4</v>
      </c>
      <c r="AJ481" s="28">
        <f t="shared" si="497"/>
        <v>1.3168679148638181E-2</v>
      </c>
      <c r="AK481" s="28">
        <f t="shared" si="497"/>
        <v>1.0759730733535962E-3</v>
      </c>
      <c r="AL481" s="28">
        <f t="shared" ref="AL481:BR481" si="498">AL478*AL$161</f>
        <v>2.6868905045188685E-3</v>
      </c>
      <c r="AM481" s="28">
        <f t="shared" si="498"/>
        <v>2.7362903172825225E-4</v>
      </c>
      <c r="AN481" s="28">
        <f t="shared" si="498"/>
        <v>0</v>
      </c>
      <c r="AO481" s="28">
        <f t="shared" si="498"/>
        <v>5.2340462858256201E-3</v>
      </c>
      <c r="AP481" s="28">
        <f t="shared" si="498"/>
        <v>6.9057092526445083E-5</v>
      </c>
      <c r="AQ481" s="28">
        <f t="shared" si="498"/>
        <v>3.1819184299482246E-5</v>
      </c>
      <c r="AR481" s="28">
        <f t="shared" si="498"/>
        <v>2.8226581817190455E-5</v>
      </c>
      <c r="AS481" s="28">
        <f t="shared" si="498"/>
        <v>2.0533881901331238E-6</v>
      </c>
      <c r="AT481" s="28">
        <f t="shared" si="498"/>
        <v>3.1596174024104296E-3</v>
      </c>
      <c r="AU481" s="28">
        <f t="shared" si="498"/>
        <v>8.6200549310923194E-4</v>
      </c>
      <c r="AV481" s="28">
        <f t="shared" si="498"/>
        <v>3.0923700536516661E-3</v>
      </c>
      <c r="AW481" s="28">
        <f t="shared" si="498"/>
        <v>9.8313368046830927E-4</v>
      </c>
      <c r="AX481" s="28">
        <f t="shared" si="498"/>
        <v>4.7725861867684694E-4</v>
      </c>
      <c r="AY481" s="28">
        <f t="shared" si="498"/>
        <v>8.691584180712357E-3</v>
      </c>
      <c r="AZ481" s="28">
        <f t="shared" si="498"/>
        <v>4.4034834498122965E-3</v>
      </c>
      <c r="BA481" s="28">
        <f t="shared" si="498"/>
        <v>9.7041179881256663E-3</v>
      </c>
      <c r="BB481" s="28">
        <f t="shared" si="498"/>
        <v>4.3787396790972239E-6</v>
      </c>
      <c r="BC481" s="28">
        <f t="shared" si="498"/>
        <v>6.1160616991209513E-4</v>
      </c>
      <c r="BD481" s="28">
        <f t="shared" si="498"/>
        <v>3.5882121398269381E-4</v>
      </c>
      <c r="BE481" s="28">
        <f t="shared" si="498"/>
        <v>3.5081610569033172E-3</v>
      </c>
      <c r="BF481" s="28">
        <f t="shared" si="498"/>
        <v>0</v>
      </c>
      <c r="BG481" s="28">
        <f t="shared" si="498"/>
        <v>1.3965221537973163E-5</v>
      </c>
      <c r="BH481" s="28">
        <f t="shared" si="498"/>
        <v>1.1927292022142486E-3</v>
      </c>
      <c r="BI481" s="28">
        <f t="shared" si="498"/>
        <v>0</v>
      </c>
      <c r="BJ481" s="28">
        <f t="shared" si="498"/>
        <v>1.1412525887364402E-5</v>
      </c>
      <c r="BK481" s="28">
        <f t="shared" si="498"/>
        <v>9.2824793421062894E-6</v>
      </c>
      <c r="BL481" s="28">
        <f t="shared" si="498"/>
        <v>4.237064396500351E-9</v>
      </c>
      <c r="BM481" s="28">
        <f t="shared" si="498"/>
        <v>4.2100381397871967E-6</v>
      </c>
      <c r="BN481" s="28">
        <f t="shared" si="498"/>
        <v>0</v>
      </c>
      <c r="BO481" s="28">
        <f t="shared" si="498"/>
        <v>0</v>
      </c>
      <c r="BP481" s="28">
        <f t="shared" si="498"/>
        <v>3.1746989458997663E-5</v>
      </c>
      <c r="BQ481" s="28">
        <f t="shared" si="498"/>
        <v>1.5722097987200239E-5</v>
      </c>
      <c r="BR481" s="28">
        <f t="shared" si="498"/>
        <v>0</v>
      </c>
    </row>
    <row r="482" spans="1:75" x14ac:dyDescent="0.3">
      <c r="B482" s="2" t="s">
        <v>21</v>
      </c>
      <c r="C482" s="28"/>
      <c r="D482" s="328"/>
      <c r="E482" s="30">
        <f t="shared" ref="E482:E484" si="499">SUM(F482:BR482)</f>
        <v>0.10097908012720129</v>
      </c>
      <c r="F482" s="28">
        <f>F478*F$160</f>
        <v>1.1354272383557166E-4</v>
      </c>
      <c r="G482" s="28">
        <f t="shared" ref="G482:BR482" si="500">G478*G$160</f>
        <v>1.1475065935384449E-3</v>
      </c>
      <c r="H482" s="28">
        <f t="shared" si="500"/>
        <v>1.2446608525228289E-5</v>
      </c>
      <c r="I482" s="28">
        <f t="shared" si="500"/>
        <v>3.2030927056208598E-3</v>
      </c>
      <c r="J482" s="28">
        <f t="shared" si="500"/>
        <v>4.4486860515479674E-5</v>
      </c>
      <c r="K482" s="28">
        <f t="shared" si="500"/>
        <v>4.8458572562968584E-5</v>
      </c>
      <c r="L482" s="28">
        <f t="shared" si="500"/>
        <v>2.4578567864805552E-3</v>
      </c>
      <c r="M482" s="28">
        <f t="shared" si="500"/>
        <v>9.7107838487262428E-5</v>
      </c>
      <c r="N482" s="28">
        <f t="shared" si="500"/>
        <v>1.1648321727185416E-4</v>
      </c>
      <c r="O482" s="28">
        <f t="shared" si="500"/>
        <v>1.5756005111324249E-3</v>
      </c>
      <c r="P482" s="28">
        <f t="shared" si="500"/>
        <v>1.8474494692995091E-4</v>
      </c>
      <c r="Q482" s="28">
        <f t="shared" si="500"/>
        <v>3.5647689108187598E-7</v>
      </c>
      <c r="R482" s="28">
        <f t="shared" si="500"/>
        <v>6.3058540623908623E-4</v>
      </c>
      <c r="S482" s="28">
        <f t="shared" si="500"/>
        <v>4.685214291875575E-3</v>
      </c>
      <c r="T482" s="28">
        <f t="shared" si="500"/>
        <v>8.255136517253879E-5</v>
      </c>
      <c r="U482" s="28">
        <f t="shared" si="500"/>
        <v>1.2513133131470207E-3</v>
      </c>
      <c r="V482" s="28">
        <f t="shared" si="500"/>
        <v>2.3134182746580925E-5</v>
      </c>
      <c r="W482" s="28">
        <f t="shared" si="500"/>
        <v>1.0829307904583468E-4</v>
      </c>
      <c r="X482" s="28">
        <f t="shared" si="500"/>
        <v>1.3844221230836071E-4</v>
      </c>
      <c r="Y482" s="28">
        <f t="shared" si="500"/>
        <v>3.9608690766875318E-5</v>
      </c>
      <c r="Z482" s="28">
        <f t="shared" si="500"/>
        <v>4.9546783837732939E-6</v>
      </c>
      <c r="AA482" s="28">
        <f t="shared" si="500"/>
        <v>3.8572419593966034E-5</v>
      </c>
      <c r="AB482" s="28">
        <f t="shared" si="500"/>
        <v>4.3814378203448534E-4</v>
      </c>
      <c r="AC482" s="28">
        <f t="shared" si="500"/>
        <v>2.1849189240473674E-3</v>
      </c>
      <c r="AD482" s="28">
        <f t="shared" si="500"/>
        <v>7.4620274452208885E-5</v>
      </c>
      <c r="AE482" s="28">
        <f t="shared" si="500"/>
        <v>1.5460266520622522E-4</v>
      </c>
      <c r="AF482" s="28">
        <f t="shared" si="500"/>
        <v>2.4474832476765795E-4</v>
      </c>
      <c r="AG482" s="28">
        <f t="shared" si="500"/>
        <v>2.1460144675034169E-4</v>
      </c>
      <c r="AH482" s="28">
        <f t="shared" si="500"/>
        <v>4.5833281030834033E-2</v>
      </c>
      <c r="AI482" s="28">
        <f t="shared" si="500"/>
        <v>7.8138001911724016E-4</v>
      </c>
      <c r="AJ482" s="28">
        <f t="shared" si="500"/>
        <v>4.3875154395148323E-3</v>
      </c>
      <c r="AK482" s="28">
        <f t="shared" si="500"/>
        <v>7.6633298917929001E-4</v>
      </c>
      <c r="AL482" s="28">
        <f t="shared" si="500"/>
        <v>7.9493353234065967E-3</v>
      </c>
      <c r="AM482" s="28">
        <f t="shared" si="500"/>
        <v>1.4085560045820817E-4</v>
      </c>
      <c r="AN482" s="28">
        <f t="shared" si="500"/>
        <v>3.4247957526736671E-5</v>
      </c>
      <c r="AO482" s="28">
        <f t="shared" si="500"/>
        <v>1.2905699097878901E-3</v>
      </c>
      <c r="AP482" s="28">
        <f t="shared" si="500"/>
        <v>1.9226026468740254E-5</v>
      </c>
      <c r="AQ482" s="28">
        <f t="shared" si="500"/>
        <v>2.4469793466034233E-4</v>
      </c>
      <c r="AR482" s="28">
        <f t="shared" si="500"/>
        <v>1.2285561305537692E-4</v>
      </c>
      <c r="AS482" s="28">
        <f t="shared" si="500"/>
        <v>2.98721188635908E-4</v>
      </c>
      <c r="AT482" s="28">
        <f t="shared" si="500"/>
        <v>9.249177553325897E-4</v>
      </c>
      <c r="AU482" s="28">
        <f t="shared" si="500"/>
        <v>1.8366072050636598E-4</v>
      </c>
      <c r="AV482" s="28">
        <f t="shared" si="500"/>
        <v>1.6483304740317489E-3</v>
      </c>
      <c r="AW482" s="28">
        <f t="shared" si="500"/>
        <v>2.018501202861768E-4</v>
      </c>
      <c r="AX482" s="28">
        <f t="shared" si="500"/>
        <v>2.1697090013457495E-4</v>
      </c>
      <c r="AY482" s="28">
        <f t="shared" si="500"/>
        <v>6.1946023581811961E-3</v>
      </c>
      <c r="AZ482" s="28">
        <f t="shared" si="500"/>
        <v>6.4035579202953983E-4</v>
      </c>
      <c r="BA482" s="28">
        <f t="shared" si="500"/>
        <v>3.5617167974051679E-3</v>
      </c>
      <c r="BB482" s="28">
        <f t="shared" si="500"/>
        <v>8.854050517687016E-5</v>
      </c>
      <c r="BC482" s="28">
        <f t="shared" si="500"/>
        <v>1.6829036120010523E-4</v>
      </c>
      <c r="BD482" s="28">
        <f t="shared" si="500"/>
        <v>1.0101944636511112E-4</v>
      </c>
      <c r="BE482" s="28">
        <f t="shared" si="500"/>
        <v>4.7235938245093773E-3</v>
      </c>
      <c r="BF482" s="28">
        <f t="shared" si="500"/>
        <v>1.9028478405834053E-5</v>
      </c>
      <c r="BG482" s="28">
        <f t="shared" si="500"/>
        <v>7.5269642553131783E-6</v>
      </c>
      <c r="BH482" s="28">
        <f t="shared" si="500"/>
        <v>6.0024235437621703E-4</v>
      </c>
      <c r="BI482" s="28">
        <f t="shared" si="500"/>
        <v>2.6644046596367639E-4</v>
      </c>
      <c r="BJ482" s="28">
        <f t="shared" si="500"/>
        <v>8.3456918719598385E-5</v>
      </c>
      <c r="BK482" s="28">
        <f t="shared" si="500"/>
        <v>3.589883900482227E-5</v>
      </c>
      <c r="BL482" s="28">
        <f t="shared" si="500"/>
        <v>1.683866146304343E-7</v>
      </c>
      <c r="BM482" s="28">
        <f t="shared" si="500"/>
        <v>9.6792999112621186E-6</v>
      </c>
      <c r="BN482" s="28">
        <f t="shared" si="500"/>
        <v>1.9905786920208229E-5</v>
      </c>
      <c r="BO482" s="28">
        <f t="shared" si="500"/>
        <v>1.6121354189876623E-5</v>
      </c>
      <c r="BP482" s="28">
        <f t="shared" si="500"/>
        <v>4.9450383954924206E-5</v>
      </c>
      <c r="BQ482" s="28">
        <f t="shared" si="500"/>
        <v>3.230390875137117E-5</v>
      </c>
      <c r="BR482" s="28">
        <f t="shared" si="500"/>
        <v>0</v>
      </c>
    </row>
    <row r="483" spans="1:75" x14ac:dyDescent="0.3">
      <c r="B483" s="3" t="s">
        <v>44</v>
      </c>
      <c r="C483" s="28"/>
      <c r="D483" s="328"/>
      <c r="E483" s="30">
        <f t="shared" si="499"/>
        <v>0.70120170993660735</v>
      </c>
      <c r="F483" s="28">
        <f>F478*F$162</f>
        <v>2.9510143698596443E-4</v>
      </c>
      <c r="G483" s="28">
        <f t="shared" ref="G483:BR483" si="501">G478*G$162</f>
        <v>5.4129418278782574E-3</v>
      </c>
      <c r="H483" s="28">
        <f t="shared" si="501"/>
        <v>3.4485274761505329E-5</v>
      </c>
      <c r="I483" s="28">
        <f t="shared" si="501"/>
        <v>2.6321493320474284E-2</v>
      </c>
      <c r="J483" s="28">
        <f t="shared" si="501"/>
        <v>2.5362325522422898E-4</v>
      </c>
      <c r="K483" s="28">
        <f t="shared" si="501"/>
        <v>4.3166721951045213E-4</v>
      </c>
      <c r="L483" s="28">
        <f t="shared" si="501"/>
        <v>1.5625862665364147E-2</v>
      </c>
      <c r="M483" s="28">
        <f t="shared" si="501"/>
        <v>5.4495459534889437E-4</v>
      </c>
      <c r="N483" s="28">
        <f t="shared" si="501"/>
        <v>7.3583974161590981E-4</v>
      </c>
      <c r="O483" s="28">
        <f t="shared" si="501"/>
        <v>1.6492233595618903E-2</v>
      </c>
      <c r="P483" s="28">
        <f t="shared" si="501"/>
        <v>2.1992608378072114E-3</v>
      </c>
      <c r="Q483" s="28">
        <f t="shared" si="501"/>
        <v>5.9754117137553357E-6</v>
      </c>
      <c r="R483" s="28">
        <f t="shared" si="501"/>
        <v>4.3425800835736814E-3</v>
      </c>
      <c r="S483" s="28">
        <f t="shared" si="501"/>
        <v>1.8378265439956288E-2</v>
      </c>
      <c r="T483" s="28">
        <f t="shared" si="501"/>
        <v>9.8673944696332024E-4</v>
      </c>
      <c r="U483" s="28">
        <f t="shared" si="501"/>
        <v>1.4029114103304225E-2</v>
      </c>
      <c r="V483" s="28">
        <f t="shared" si="501"/>
        <v>4.0831880945587176E-4</v>
      </c>
      <c r="W483" s="28">
        <f t="shared" si="501"/>
        <v>2.4040843886757356E-3</v>
      </c>
      <c r="X483" s="28">
        <f t="shared" si="501"/>
        <v>1.5700701717782518E-3</v>
      </c>
      <c r="Y483" s="28">
        <f t="shared" si="501"/>
        <v>7.0883325813626634E-4</v>
      </c>
      <c r="Z483" s="28">
        <f t="shared" si="501"/>
        <v>5.6130382202214294E-5</v>
      </c>
      <c r="AA483" s="28">
        <f t="shared" si="501"/>
        <v>3.4191981956856199E-4</v>
      </c>
      <c r="AB483" s="28">
        <f t="shared" si="501"/>
        <v>4.8482560230869703E-3</v>
      </c>
      <c r="AC483" s="28">
        <f t="shared" si="501"/>
        <v>7.4787585480816498E-3</v>
      </c>
      <c r="AD483" s="28">
        <f t="shared" si="501"/>
        <v>7.1333342684564978E-4</v>
      </c>
      <c r="AE483" s="28">
        <f t="shared" si="501"/>
        <v>8.914707829874288E-4</v>
      </c>
      <c r="AF483" s="28">
        <f t="shared" si="501"/>
        <v>7.0867250806890762E-4</v>
      </c>
      <c r="AG483" s="28">
        <f t="shared" si="501"/>
        <v>1.326396987890665E-3</v>
      </c>
      <c r="AH483" s="28">
        <f t="shared" si="501"/>
        <v>0.3767205396939905</v>
      </c>
      <c r="AI483" s="28">
        <f t="shared" si="501"/>
        <v>5.2468031922659128E-3</v>
      </c>
      <c r="AJ483" s="28">
        <f t="shared" si="501"/>
        <v>3.4544935419367373E-2</v>
      </c>
      <c r="AK483" s="28">
        <f t="shared" si="501"/>
        <v>6.740358696825848E-3</v>
      </c>
      <c r="AL483" s="28">
        <f t="shared" si="501"/>
        <v>2.3279305567898641E-2</v>
      </c>
      <c r="AM483" s="28">
        <f t="shared" si="501"/>
        <v>5.2185628528896857E-4</v>
      </c>
      <c r="AN483" s="28">
        <f t="shared" si="501"/>
        <v>2.0875354788567978E-4</v>
      </c>
      <c r="AO483" s="28">
        <f t="shared" si="501"/>
        <v>9.990478487465768E-3</v>
      </c>
      <c r="AP483" s="28">
        <f t="shared" si="501"/>
        <v>6.0906155069527469E-4</v>
      </c>
      <c r="AQ483" s="28">
        <f t="shared" si="501"/>
        <v>1.6568546882973964E-3</v>
      </c>
      <c r="AR483" s="28">
        <f t="shared" si="501"/>
        <v>7.2674112748427437E-4</v>
      </c>
      <c r="AS483" s="28">
        <f t="shared" si="501"/>
        <v>6.2315432065207282E-4</v>
      </c>
      <c r="AT483" s="28">
        <f t="shared" si="501"/>
        <v>5.4213973116281631E-3</v>
      </c>
      <c r="AU483" s="28">
        <f t="shared" si="501"/>
        <v>3.4886457408634225E-3</v>
      </c>
      <c r="AV483" s="28">
        <f t="shared" si="501"/>
        <v>8.1874191147186942E-3</v>
      </c>
      <c r="AW483" s="28">
        <f t="shared" si="501"/>
        <v>2.2581986178567275E-3</v>
      </c>
      <c r="AX483" s="28">
        <f t="shared" si="501"/>
        <v>1.4503047222804869E-3</v>
      </c>
      <c r="AY483" s="28">
        <f t="shared" si="501"/>
        <v>1.6733998026755029E-2</v>
      </c>
      <c r="AZ483" s="28">
        <f t="shared" si="501"/>
        <v>1.0252102123005388E-2</v>
      </c>
      <c r="BA483" s="28">
        <f t="shared" si="501"/>
        <v>3.7158275943730182E-2</v>
      </c>
      <c r="BB483" s="28">
        <f t="shared" si="501"/>
        <v>6.59553064524912E-4</v>
      </c>
      <c r="BC483" s="28">
        <f t="shared" si="501"/>
        <v>2.04313541557376E-3</v>
      </c>
      <c r="BD483" s="28">
        <f t="shared" si="501"/>
        <v>1.3611568046278705E-3</v>
      </c>
      <c r="BE483" s="28">
        <f t="shared" si="501"/>
        <v>9.8808489956820275E-3</v>
      </c>
      <c r="BF483" s="28">
        <f t="shared" si="501"/>
        <v>1.448803899071781E-3</v>
      </c>
      <c r="BG483" s="28">
        <f t="shared" si="501"/>
        <v>8.2421614748629012E-5</v>
      </c>
      <c r="BH483" s="28">
        <f t="shared" si="501"/>
        <v>8.7696507719948278E-3</v>
      </c>
      <c r="BI483" s="28">
        <f t="shared" si="501"/>
        <v>1.557165428668741E-3</v>
      </c>
      <c r="BJ483" s="28">
        <f t="shared" si="501"/>
        <v>9.4004862506352782E-4</v>
      </c>
      <c r="BK483" s="28">
        <f t="shared" si="501"/>
        <v>3.5067339243961257E-4</v>
      </c>
      <c r="BL483" s="28">
        <f t="shared" si="501"/>
        <v>2.0698369446894724E-6</v>
      </c>
      <c r="BM483" s="28">
        <f t="shared" si="501"/>
        <v>5.7196302499902635E-5</v>
      </c>
      <c r="BN483" s="28">
        <f t="shared" si="501"/>
        <v>6.3016575465279915E-5</v>
      </c>
      <c r="BO483" s="28">
        <f t="shared" si="501"/>
        <v>2.2458965662564771E-4</v>
      </c>
      <c r="BP483" s="28">
        <f t="shared" si="501"/>
        <v>2.5735802240930348E-4</v>
      </c>
      <c r="BQ483" s="28">
        <f t="shared" si="501"/>
        <v>1.3845398843173709E-4</v>
      </c>
      <c r="BR483" s="28">
        <f t="shared" si="501"/>
        <v>0</v>
      </c>
    </row>
    <row r="484" spans="1:75" x14ac:dyDescent="0.3">
      <c r="B484" s="3" t="s">
        <v>25</v>
      </c>
      <c r="C484" s="28"/>
      <c r="D484" s="328"/>
      <c r="E484" s="30">
        <f t="shared" si="499"/>
        <v>0.27482789846603534</v>
      </c>
      <c r="F484" s="28">
        <f>F478*F$164</f>
        <v>2.1422697045399533E-4</v>
      </c>
      <c r="G484" s="28">
        <f t="shared" ref="G484:BR484" si="502">G478*G$164</f>
        <v>8.2336901090590119E-4</v>
      </c>
      <c r="H484" s="28">
        <f t="shared" si="502"/>
        <v>2.200117602056121E-5</v>
      </c>
      <c r="I484" s="28">
        <f t="shared" si="502"/>
        <v>0</v>
      </c>
      <c r="J484" s="28">
        <f t="shared" si="502"/>
        <v>8.6957477851724288E-4</v>
      </c>
      <c r="K484" s="28">
        <f t="shared" si="502"/>
        <v>1.8099518458961762E-3</v>
      </c>
      <c r="L484" s="28">
        <f t="shared" si="502"/>
        <v>1.2936444112464786E-2</v>
      </c>
      <c r="M484" s="28">
        <f t="shared" si="502"/>
        <v>1.9422989700482354E-3</v>
      </c>
      <c r="N484" s="28">
        <f t="shared" si="502"/>
        <v>2.7612104153015049E-5</v>
      </c>
      <c r="O484" s="28">
        <f t="shared" si="502"/>
        <v>0</v>
      </c>
      <c r="P484" s="28">
        <f t="shared" si="502"/>
        <v>1.7772859836988175E-2</v>
      </c>
      <c r="Q484" s="28">
        <f t="shared" si="502"/>
        <v>1.9246695682983327E-4</v>
      </c>
      <c r="R484" s="28">
        <f t="shared" si="502"/>
        <v>2.3443860504428024E-2</v>
      </c>
      <c r="S484" s="28">
        <f t="shared" si="502"/>
        <v>3.5263412682745833E-2</v>
      </c>
      <c r="T484" s="28">
        <f t="shared" si="502"/>
        <v>3.435935522573183E-2</v>
      </c>
      <c r="U484" s="28">
        <f t="shared" si="502"/>
        <v>2.8248895807415145E-2</v>
      </c>
      <c r="V484" s="28">
        <f t="shared" si="502"/>
        <v>4.906971175271101E-3</v>
      </c>
      <c r="W484" s="28">
        <f t="shared" si="502"/>
        <v>1.3331387128181483E-2</v>
      </c>
      <c r="X484" s="28">
        <f t="shared" si="502"/>
        <v>1.0507564887547475E-2</v>
      </c>
      <c r="Y484" s="28">
        <f t="shared" si="502"/>
        <v>5.0731817238989846E-3</v>
      </c>
      <c r="Z484" s="28">
        <f t="shared" si="502"/>
        <v>3.6305353935976058E-4</v>
      </c>
      <c r="AA484" s="28">
        <f t="shared" si="502"/>
        <v>5.9261344566553277E-4</v>
      </c>
      <c r="AB484" s="28">
        <f t="shared" si="502"/>
        <v>3.874950732998869E-4</v>
      </c>
      <c r="AC484" s="28">
        <f t="shared" si="502"/>
        <v>1.1232402752941208E-3</v>
      </c>
      <c r="AD484" s="28">
        <f t="shared" si="502"/>
        <v>0</v>
      </c>
      <c r="AE484" s="28">
        <f t="shared" si="502"/>
        <v>0</v>
      </c>
      <c r="AF484" s="28">
        <f t="shared" si="502"/>
        <v>0</v>
      </c>
      <c r="AG484" s="28">
        <f t="shared" si="502"/>
        <v>1.1487390763217531E-3</v>
      </c>
      <c r="AH484" s="28">
        <f t="shared" si="502"/>
        <v>3.4624433448349506E-2</v>
      </c>
      <c r="AI484" s="28">
        <f t="shared" si="502"/>
        <v>6.2924681249897988E-5</v>
      </c>
      <c r="AJ484" s="28">
        <f t="shared" si="502"/>
        <v>0</v>
      </c>
      <c r="AK484" s="28">
        <f t="shared" si="502"/>
        <v>0</v>
      </c>
      <c r="AL484" s="28">
        <f t="shared" si="502"/>
        <v>4.4961970961577592E-3</v>
      </c>
      <c r="AM484" s="28">
        <f t="shared" si="502"/>
        <v>8.0977854226960101E-4</v>
      </c>
      <c r="AN484" s="28">
        <f t="shared" si="502"/>
        <v>9.3830554762073083E-4</v>
      </c>
      <c r="AO484" s="28">
        <f t="shared" si="502"/>
        <v>4.2400078971395593E-3</v>
      </c>
      <c r="AP484" s="28">
        <f t="shared" si="502"/>
        <v>1.3274615291060431E-4</v>
      </c>
      <c r="AQ484" s="28">
        <f t="shared" si="502"/>
        <v>4.9266985147510846E-4</v>
      </c>
      <c r="AR484" s="28">
        <f t="shared" si="502"/>
        <v>4.6320930267890426E-4</v>
      </c>
      <c r="AS484" s="28">
        <f t="shared" si="502"/>
        <v>2.6891568102459766E-4</v>
      </c>
      <c r="AT484" s="28">
        <f t="shared" si="502"/>
        <v>2.6375709295198891E-3</v>
      </c>
      <c r="AU484" s="28">
        <f t="shared" si="502"/>
        <v>9.5827978014145364E-4</v>
      </c>
      <c r="AV484" s="28">
        <f t="shared" si="502"/>
        <v>2.0840962022375181E-3</v>
      </c>
      <c r="AW484" s="28">
        <f t="shared" si="502"/>
        <v>8.0539881931910838E-5</v>
      </c>
      <c r="AX484" s="28">
        <f t="shared" si="502"/>
        <v>1.0793462775398321E-4</v>
      </c>
      <c r="AY484" s="28">
        <f t="shared" si="502"/>
        <v>7.694742677692571E-5</v>
      </c>
      <c r="AZ484" s="28">
        <f t="shared" si="502"/>
        <v>8.1816685430017352E-3</v>
      </c>
      <c r="BA484" s="28">
        <f t="shared" si="502"/>
        <v>1.0166015633007071E-2</v>
      </c>
      <c r="BB484" s="28">
        <f t="shared" si="502"/>
        <v>6.8769678059352242E-5</v>
      </c>
      <c r="BC484" s="28">
        <f t="shared" si="502"/>
        <v>9.0494251350180699E-4</v>
      </c>
      <c r="BD484" s="28">
        <f t="shared" si="502"/>
        <v>1.7246494380956562E-4</v>
      </c>
      <c r="BE484" s="28">
        <f t="shared" si="502"/>
        <v>7.3392272027766143E-3</v>
      </c>
      <c r="BF484" s="28">
        <f t="shared" si="502"/>
        <v>8.2754521062744195E-6</v>
      </c>
      <c r="BG484" s="28">
        <f t="shared" si="502"/>
        <v>0</v>
      </c>
      <c r="BH484" s="28">
        <f t="shared" si="502"/>
        <v>1.1551234584238856E-4</v>
      </c>
      <c r="BI484" s="28">
        <f t="shared" si="502"/>
        <v>8.1098626390452482E-6</v>
      </c>
      <c r="BJ484" s="28">
        <f t="shared" si="502"/>
        <v>2.0984346078214085E-5</v>
      </c>
      <c r="BK484" s="28">
        <f t="shared" si="502"/>
        <v>3.3374058426129908E-6</v>
      </c>
      <c r="BL484" s="28">
        <f t="shared" si="502"/>
        <v>0</v>
      </c>
      <c r="BM484" s="28">
        <f t="shared" si="502"/>
        <v>3.2683391286477038E-6</v>
      </c>
      <c r="BN484" s="28">
        <f t="shared" si="502"/>
        <v>1.684184234785906E-7</v>
      </c>
      <c r="BO484" s="28">
        <f t="shared" si="502"/>
        <v>0</v>
      </c>
      <c r="BP484" s="28">
        <f t="shared" si="502"/>
        <v>0</v>
      </c>
      <c r="BQ484" s="28">
        <f t="shared" si="502"/>
        <v>2.042514156949817E-8</v>
      </c>
      <c r="BR484" s="28">
        <f t="shared" si="502"/>
        <v>0</v>
      </c>
    </row>
    <row r="485" spans="1:75" x14ac:dyDescent="0.3">
      <c r="A485" s="73">
        <v>30</v>
      </c>
      <c r="B485" s="16" t="s">
        <v>136</v>
      </c>
      <c r="D485" s="244"/>
      <c r="E485" s="29"/>
    </row>
    <row r="486" spans="1:75" x14ac:dyDescent="0.3">
      <c r="A486" s="3">
        <f>A476+1</f>
        <v>8</v>
      </c>
      <c r="B486" s="7" t="s">
        <v>61</v>
      </c>
      <c r="D486" s="327" t="s">
        <v>235</v>
      </c>
      <c r="E486" s="88">
        <f>HLOOKUP(A485,$F$305:$BK$372,A485+2)</f>
        <v>1.024560262729143</v>
      </c>
      <c r="BS486" s="20"/>
      <c r="BT486" s="20"/>
      <c r="BU486" s="20"/>
      <c r="BV486" s="20"/>
      <c r="BW486" s="20"/>
    </row>
    <row r="487" spans="1:75" x14ac:dyDescent="0.3">
      <c r="D487" s="327" t="s">
        <v>60</v>
      </c>
      <c r="E487" s="88">
        <f>HLOOKUP(A485,$F$305:$BK$372,68)-E486</f>
        <v>0.8599082831885585</v>
      </c>
      <c r="F487" s="32"/>
    </row>
    <row r="488" spans="1:75" x14ac:dyDescent="0.3">
      <c r="C488" s="29"/>
      <c r="D488" s="327" t="s">
        <v>201</v>
      </c>
      <c r="E488" s="30">
        <f>E487+E486</f>
        <v>1.8844685459177015</v>
      </c>
      <c r="F488" s="95">
        <f t="shared" ref="F488:BQ488" si="503">HLOOKUP($A485,$F$305:$BK$372,F$305+2)</f>
        <v>1.0860002745310818E-3</v>
      </c>
      <c r="G488" s="95">
        <f t="shared" si="503"/>
        <v>1.3413673749930726E-3</v>
      </c>
      <c r="H488" s="95">
        <f t="shared" si="503"/>
        <v>6.9298210784935025E-5</v>
      </c>
      <c r="I488" s="95">
        <f t="shared" si="503"/>
        <v>1.4971147805559167E-2</v>
      </c>
      <c r="J488" s="95">
        <f t="shared" si="503"/>
        <v>1.9281109861545756E-3</v>
      </c>
      <c r="K488" s="95">
        <f t="shared" si="503"/>
        <v>4.7764251795874273E-3</v>
      </c>
      <c r="L488" s="95">
        <f t="shared" si="503"/>
        <v>4.6557265532929425E-3</v>
      </c>
      <c r="M488" s="95">
        <f t="shared" si="503"/>
        <v>5.0383332119185121E-3</v>
      </c>
      <c r="N488" s="95">
        <f t="shared" si="503"/>
        <v>9.104210659452364E-3</v>
      </c>
      <c r="O488" s="95">
        <f t="shared" si="503"/>
        <v>1.6198486723802429E-2</v>
      </c>
      <c r="P488" s="95">
        <f t="shared" si="503"/>
        <v>2.4427592298869431E-2</v>
      </c>
      <c r="Q488" s="95">
        <f t="shared" si="503"/>
        <v>8.2499087624846739E-4</v>
      </c>
      <c r="R488" s="95">
        <f t="shared" si="503"/>
        <v>5.5464022687921222E-2</v>
      </c>
      <c r="S488" s="95">
        <f t="shared" si="503"/>
        <v>1.5949174873853226E-2</v>
      </c>
      <c r="T488" s="95">
        <f t="shared" si="503"/>
        <v>1.3718287404861338E-2</v>
      </c>
      <c r="U488" s="95">
        <f t="shared" si="503"/>
        <v>2.6357667252684035E-2</v>
      </c>
      <c r="V488" s="95">
        <f t="shared" si="503"/>
        <v>1.8021675048840516E-2</v>
      </c>
      <c r="W488" s="95">
        <f t="shared" si="503"/>
        <v>3.4595449372699129E-2</v>
      </c>
      <c r="X488" s="95">
        <f t="shared" si="503"/>
        <v>3.4739224409884993E-2</v>
      </c>
      <c r="Y488" s="95">
        <f t="shared" si="503"/>
        <v>0.12010383866750975</v>
      </c>
      <c r="Z488" s="95">
        <f t="shared" si="503"/>
        <v>5.553671708425887E-3</v>
      </c>
      <c r="AA488" s="95">
        <f t="shared" si="503"/>
        <v>1.8147758964436218E-3</v>
      </c>
      <c r="AB488" s="95">
        <f t="shared" si="503"/>
        <v>6.3598399095035479E-3</v>
      </c>
      <c r="AC488" s="95">
        <f t="shared" si="503"/>
        <v>1.9464002349481424E-2</v>
      </c>
      <c r="AD488" s="95">
        <f t="shared" si="503"/>
        <v>5.4068093956833371E-3</v>
      </c>
      <c r="AE488" s="95">
        <f t="shared" si="503"/>
        <v>6.7173245770825894E-3</v>
      </c>
      <c r="AF488" s="95">
        <f t="shared" si="503"/>
        <v>1.9663298040887124E-3</v>
      </c>
      <c r="AG488" s="95">
        <f t="shared" si="503"/>
        <v>2.4076971584354213E-3</v>
      </c>
      <c r="AH488" s="95">
        <f t="shared" si="503"/>
        <v>8.48687193004251E-3</v>
      </c>
      <c r="AI488" s="95">
        <f t="shared" si="503"/>
        <v>1.024560262729143</v>
      </c>
      <c r="AJ488" s="95">
        <f t="shared" si="503"/>
        <v>1.2876256200440611E-2</v>
      </c>
      <c r="AK488" s="95">
        <f t="shared" si="503"/>
        <v>4.814614996968369E-3</v>
      </c>
      <c r="AL488" s="95">
        <f t="shared" si="503"/>
        <v>2.3940868357761994E-2</v>
      </c>
      <c r="AM488" s="95">
        <f t="shared" si="503"/>
        <v>2.7054206118857587E-3</v>
      </c>
      <c r="AN488" s="95">
        <f t="shared" si="503"/>
        <v>2.8397494803326967E-3</v>
      </c>
      <c r="AO488" s="95">
        <f t="shared" si="503"/>
        <v>2.1712969396567992E-2</v>
      </c>
      <c r="AP488" s="95">
        <f t="shared" si="503"/>
        <v>2.4539072136887737E-3</v>
      </c>
      <c r="AQ488" s="95">
        <f t="shared" si="503"/>
        <v>2.6230020692808234E-3</v>
      </c>
      <c r="AR488" s="95">
        <f t="shared" si="503"/>
        <v>1.4553587438758392E-2</v>
      </c>
      <c r="AS488" s="95">
        <f t="shared" si="503"/>
        <v>2.4422452376799773E-3</v>
      </c>
      <c r="AT488" s="95">
        <f t="shared" si="503"/>
        <v>1.4235223660515427E-2</v>
      </c>
      <c r="AU488" s="95">
        <f t="shared" si="503"/>
        <v>1.5873141053360722E-2</v>
      </c>
      <c r="AV488" s="95">
        <f t="shared" si="503"/>
        <v>2.28423321794607E-2</v>
      </c>
      <c r="AW488" s="95">
        <f t="shared" si="503"/>
        <v>4.7496034815983686E-3</v>
      </c>
      <c r="AX488" s="95">
        <f t="shared" si="503"/>
        <v>3.8294748897330705E-3</v>
      </c>
      <c r="AY488" s="95">
        <f t="shared" si="503"/>
        <v>9.1377024398692705E-2</v>
      </c>
      <c r="AZ488" s="95">
        <f t="shared" si="503"/>
        <v>5.6437898614419307E-2</v>
      </c>
      <c r="BA488" s="95">
        <f t="shared" si="503"/>
        <v>6.1065784676248274E-3</v>
      </c>
      <c r="BB488" s="95">
        <f t="shared" si="503"/>
        <v>1.4509278483073452E-3</v>
      </c>
      <c r="BC488" s="95">
        <f t="shared" si="503"/>
        <v>4.117869333461302E-2</v>
      </c>
      <c r="BD488" s="95">
        <f t="shared" si="503"/>
        <v>2.2598430179771051E-3</v>
      </c>
      <c r="BE488" s="95">
        <f t="shared" si="503"/>
        <v>9.0075508717606598E-3</v>
      </c>
      <c r="BF488" s="95">
        <f t="shared" si="503"/>
        <v>1.0645776542545157E-3</v>
      </c>
      <c r="BG488" s="95">
        <f t="shared" si="503"/>
        <v>7.7952177840863121E-4</v>
      </c>
      <c r="BH488" s="95">
        <f t="shared" si="503"/>
        <v>2.221790068914568E-2</v>
      </c>
      <c r="BI488" s="95">
        <f t="shared" si="503"/>
        <v>6.7241655733665581E-3</v>
      </c>
      <c r="BJ488" s="95">
        <f t="shared" si="503"/>
        <v>2.0243357661881112E-3</v>
      </c>
      <c r="BK488" s="95">
        <f t="shared" si="503"/>
        <v>6.1342526069565529E-4</v>
      </c>
      <c r="BL488" s="95">
        <f t="shared" si="503"/>
        <v>8.8817745083090075E-6</v>
      </c>
      <c r="BM488" s="95">
        <f t="shared" si="503"/>
        <v>4.0975029422764725E-4</v>
      </c>
      <c r="BN488" s="95">
        <f t="shared" si="503"/>
        <v>1.5605790884072981E-3</v>
      </c>
      <c r="BO488" s="95">
        <f t="shared" si="503"/>
        <v>1.4531434586652009E-3</v>
      </c>
      <c r="BP488" s="95">
        <f t="shared" si="503"/>
        <v>9.7714965263320558E-4</v>
      </c>
      <c r="BQ488" s="95">
        <f t="shared" si="503"/>
        <v>2.1558677399320105E-4</v>
      </c>
      <c r="BR488" s="95">
        <f t="shared" ref="BR488" si="504">HLOOKUP($A485,$F$305:$BK$372,BR$305+2)</f>
        <v>0</v>
      </c>
    </row>
    <row r="489" spans="1:75" x14ac:dyDescent="0.3">
      <c r="B489" s="3" t="s">
        <v>110</v>
      </c>
      <c r="C489" s="29"/>
      <c r="D489" s="327"/>
      <c r="E489" s="30">
        <f>SUM(F489:BR489)</f>
        <v>1.4152361105548508E-2</v>
      </c>
      <c r="F489" s="28">
        <f>F488*F$155</f>
        <v>2.4995106853296685E-5</v>
      </c>
      <c r="G489" s="28">
        <f t="shared" ref="G489:BR489" si="505">G488*G$155</f>
        <v>1.6192471413959193E-5</v>
      </c>
      <c r="H489" s="28">
        <f t="shared" si="505"/>
        <v>1.3894925640071923E-6</v>
      </c>
      <c r="I489" s="28">
        <f t="shared" si="505"/>
        <v>2.5353029544182868E-4</v>
      </c>
      <c r="J489" s="28">
        <f t="shared" si="505"/>
        <v>2.0154261246700417E-6</v>
      </c>
      <c r="K489" s="28">
        <f t="shared" si="505"/>
        <v>2.0121255757116551E-5</v>
      </c>
      <c r="L489" s="28">
        <f t="shared" si="505"/>
        <v>1.4696581190673143E-5</v>
      </c>
      <c r="M489" s="28">
        <f t="shared" si="505"/>
        <v>2.6127238496145609E-5</v>
      </c>
      <c r="N489" s="28">
        <f t="shared" si="505"/>
        <v>1.8911277078225322E-5</v>
      </c>
      <c r="O489" s="28">
        <f t="shared" si="505"/>
        <v>1.885458801704943E-4</v>
      </c>
      <c r="P489" s="28">
        <f t="shared" si="505"/>
        <v>2.7435798794541919E-5</v>
      </c>
      <c r="Q489" s="28">
        <f t="shared" si="505"/>
        <v>1.4757710990769538E-7</v>
      </c>
      <c r="R489" s="28">
        <f t="shared" si="505"/>
        <v>9.5865568080656305E-5</v>
      </c>
      <c r="S489" s="28">
        <f t="shared" si="505"/>
        <v>4.8649386839301953E-5</v>
      </c>
      <c r="T489" s="28">
        <f t="shared" si="505"/>
        <v>9.0890922254613314E-6</v>
      </c>
      <c r="U489" s="28">
        <f t="shared" si="505"/>
        <v>6.1213196204231395E-5</v>
      </c>
      <c r="V489" s="28">
        <f t="shared" si="505"/>
        <v>1.2550539562525833E-5</v>
      </c>
      <c r="W489" s="28">
        <f t="shared" si="505"/>
        <v>3.0564278641504978E-5</v>
      </c>
      <c r="X489" s="28">
        <f t="shared" si="505"/>
        <v>3.0258762391543269E-5</v>
      </c>
      <c r="Y489" s="28">
        <f t="shared" si="505"/>
        <v>9.0212032068471206E-5</v>
      </c>
      <c r="Z489" s="28">
        <f t="shared" si="505"/>
        <v>3.5399538439111588E-6</v>
      </c>
      <c r="AA489" s="28">
        <f t="shared" si="505"/>
        <v>7.8810213196958778E-6</v>
      </c>
      <c r="AB489" s="28">
        <f t="shared" si="505"/>
        <v>2.915019984056553E-5</v>
      </c>
      <c r="AC489" s="28">
        <f t="shared" si="505"/>
        <v>3.5257619893017815E-5</v>
      </c>
      <c r="AD489" s="28">
        <f t="shared" si="505"/>
        <v>5.2729610664088416E-7</v>
      </c>
      <c r="AE489" s="28">
        <f t="shared" si="505"/>
        <v>2.1237227085996744E-4</v>
      </c>
      <c r="AF489" s="28">
        <f t="shared" si="505"/>
        <v>1.3912725231893087E-5</v>
      </c>
      <c r="AG489" s="28">
        <f t="shared" si="505"/>
        <v>1.1452798424017173E-5</v>
      </c>
      <c r="AH489" s="28">
        <f t="shared" si="505"/>
        <v>9.826289891949158E-5</v>
      </c>
      <c r="AI489" s="28">
        <f t="shared" si="505"/>
        <v>6.4629118743897152E-3</v>
      </c>
      <c r="AJ489" s="28">
        <f t="shared" si="505"/>
        <v>7.1549315842090507E-5</v>
      </c>
      <c r="AK489" s="28">
        <f t="shared" si="505"/>
        <v>2.6004257799279344E-5</v>
      </c>
      <c r="AL489" s="28">
        <f t="shared" si="505"/>
        <v>2.0306180570393577E-3</v>
      </c>
      <c r="AM489" s="28">
        <f t="shared" si="505"/>
        <v>0</v>
      </c>
      <c r="AN489" s="28">
        <f t="shared" si="505"/>
        <v>2.5195523702514966E-6</v>
      </c>
      <c r="AO489" s="28">
        <f t="shared" si="505"/>
        <v>5.4638888457418307E-5</v>
      </c>
      <c r="AP489" s="28">
        <f t="shared" si="505"/>
        <v>4.927619519843134E-5</v>
      </c>
      <c r="AQ489" s="28">
        <f t="shared" si="505"/>
        <v>1.0537655535049258E-5</v>
      </c>
      <c r="AR489" s="28">
        <f t="shared" si="505"/>
        <v>2.8131923107025229E-5</v>
      </c>
      <c r="AS489" s="28">
        <f t="shared" si="505"/>
        <v>2.0361831825821691E-5</v>
      </c>
      <c r="AT489" s="28">
        <f t="shared" si="505"/>
        <v>1.6072749412489643E-5</v>
      </c>
      <c r="AU489" s="28">
        <f t="shared" si="505"/>
        <v>5.3621956324819723E-5</v>
      </c>
      <c r="AV489" s="28">
        <f t="shared" si="505"/>
        <v>6.7977940280115141E-4</v>
      </c>
      <c r="AW489" s="28">
        <f t="shared" si="505"/>
        <v>1.831702889477957E-4</v>
      </c>
      <c r="AX489" s="28">
        <f t="shared" si="505"/>
        <v>1.0809134240309185E-4</v>
      </c>
      <c r="AY489" s="28">
        <f t="shared" si="505"/>
        <v>1.5744438483169167E-3</v>
      </c>
      <c r="AZ489" s="28">
        <f t="shared" si="505"/>
        <v>2.1494340676310615E-4</v>
      </c>
      <c r="BA489" s="28">
        <f t="shared" si="505"/>
        <v>5.8793853903433969E-5</v>
      </c>
      <c r="BB489" s="28">
        <f t="shared" si="505"/>
        <v>3.9606658302756416E-5</v>
      </c>
      <c r="BC489" s="28">
        <f t="shared" si="505"/>
        <v>1.5990767621945439E-4</v>
      </c>
      <c r="BD489" s="28">
        <f t="shared" si="505"/>
        <v>1.876723805574979E-5</v>
      </c>
      <c r="BE489" s="28">
        <f t="shared" si="505"/>
        <v>1.6247375994854201E-5</v>
      </c>
      <c r="BF489" s="28">
        <f t="shared" si="505"/>
        <v>2.1088990343955326E-6</v>
      </c>
      <c r="BG489" s="28">
        <f t="shared" si="505"/>
        <v>1.2714984834573568E-6</v>
      </c>
      <c r="BH489" s="28">
        <f t="shared" si="505"/>
        <v>2.1657788521899478E-4</v>
      </c>
      <c r="BI489" s="28">
        <f t="shared" si="505"/>
        <v>3.3487463884331932E-4</v>
      </c>
      <c r="BJ489" s="28">
        <f t="shared" si="505"/>
        <v>8.3187251348036786E-5</v>
      </c>
      <c r="BK489" s="28">
        <f t="shared" si="505"/>
        <v>2.8749886146116642E-5</v>
      </c>
      <c r="BL489" s="28">
        <f t="shared" si="505"/>
        <v>5.0623756265977822E-7</v>
      </c>
      <c r="BM489" s="28">
        <f t="shared" si="505"/>
        <v>1.8567490728284584E-5</v>
      </c>
      <c r="BN489" s="28">
        <f t="shared" si="505"/>
        <v>8.1036742102994739E-5</v>
      </c>
      <c r="BO489" s="28">
        <f t="shared" si="505"/>
        <v>8.826279954209646E-5</v>
      </c>
      <c r="BP489" s="28">
        <f t="shared" si="505"/>
        <v>2.6497118804233633E-5</v>
      </c>
      <c r="BQ489" s="28">
        <f t="shared" si="505"/>
        <v>5.8572672760948161E-6</v>
      </c>
      <c r="BR489" s="28">
        <f t="shared" si="505"/>
        <v>0</v>
      </c>
    </row>
    <row r="490" spans="1:75" x14ac:dyDescent="0.3">
      <c r="B490" s="3" t="s">
        <v>56</v>
      </c>
      <c r="C490" s="28"/>
      <c r="D490" s="328"/>
      <c r="E490" s="30">
        <f t="shared" ref="E490" si="506">SUM(F490:BR490)</f>
        <v>0.4428681857058207</v>
      </c>
      <c r="F490" s="28">
        <f>F488*F$157</f>
        <v>1.3495760793909054E-4</v>
      </c>
      <c r="G490" s="28">
        <f t="shared" ref="G490:BR490" si="507">G488*G$157</f>
        <v>1.5952461080475112E-4</v>
      </c>
      <c r="H490" s="28">
        <f t="shared" si="507"/>
        <v>4.8158571063221317E-6</v>
      </c>
      <c r="I490" s="28">
        <f t="shared" si="507"/>
        <v>3.8777240507627594E-3</v>
      </c>
      <c r="J490" s="28">
        <f t="shared" si="507"/>
        <v>1.4749320392942235E-4</v>
      </c>
      <c r="K490" s="28">
        <f t="shared" si="507"/>
        <v>5.0855008539560376E-4</v>
      </c>
      <c r="L490" s="28">
        <f t="shared" si="507"/>
        <v>5.2147092404295707E-4</v>
      </c>
      <c r="M490" s="28">
        <f t="shared" si="507"/>
        <v>2.3606834317988886E-4</v>
      </c>
      <c r="N490" s="28">
        <f t="shared" si="507"/>
        <v>1.702420819203675E-3</v>
      </c>
      <c r="O490" s="28">
        <f t="shared" si="507"/>
        <v>1.6027445935521262E-3</v>
      </c>
      <c r="P490" s="28">
        <f t="shared" si="507"/>
        <v>7.141290847187782E-4</v>
      </c>
      <c r="Q490" s="28">
        <f t="shared" si="507"/>
        <v>1.6586383874408372E-5</v>
      </c>
      <c r="R490" s="28">
        <f t="shared" si="507"/>
        <v>4.2615010100226008E-3</v>
      </c>
      <c r="S490" s="28">
        <f t="shared" si="507"/>
        <v>1.9105661337717179E-3</v>
      </c>
      <c r="T490" s="28">
        <f t="shared" si="507"/>
        <v>2.3781639510835341E-4</v>
      </c>
      <c r="U490" s="28">
        <f t="shared" si="507"/>
        <v>3.054229391816207E-3</v>
      </c>
      <c r="V490" s="28">
        <f t="shared" si="507"/>
        <v>4.6417837549372735E-4</v>
      </c>
      <c r="W490" s="28">
        <f t="shared" si="507"/>
        <v>2.1459446956240509E-3</v>
      </c>
      <c r="X490" s="28">
        <f t="shared" si="507"/>
        <v>2.6718251215613353E-3</v>
      </c>
      <c r="Y490" s="28">
        <f t="shared" si="507"/>
        <v>5.7420903380093124E-3</v>
      </c>
      <c r="Z490" s="28">
        <f t="shared" si="507"/>
        <v>3.3582124949733407E-4</v>
      </c>
      <c r="AA490" s="28">
        <f t="shared" si="507"/>
        <v>2.6237972674978001E-4</v>
      </c>
      <c r="AB490" s="28">
        <f t="shared" si="507"/>
        <v>1.8297629847041357E-3</v>
      </c>
      <c r="AC490" s="28">
        <f t="shared" si="507"/>
        <v>1.6973493752797909E-3</v>
      </c>
      <c r="AD490" s="28">
        <f t="shared" si="507"/>
        <v>1.4615876423246319E-4</v>
      </c>
      <c r="AE490" s="28">
        <f t="shared" si="507"/>
        <v>7.0076304392881661E-4</v>
      </c>
      <c r="AF490" s="28">
        <f t="shared" si="507"/>
        <v>4.1733103981902688E-4</v>
      </c>
      <c r="AG490" s="28">
        <f t="shared" si="507"/>
        <v>2.0129829685073733E-4</v>
      </c>
      <c r="AH490" s="28">
        <f t="shared" si="507"/>
        <v>2.1971955881515673E-3</v>
      </c>
      <c r="AI490" s="28">
        <f t="shared" si="507"/>
        <v>0.32521796606900144</v>
      </c>
      <c r="AJ490" s="28">
        <f t="shared" si="507"/>
        <v>3.331239229219875E-3</v>
      </c>
      <c r="AK490" s="28">
        <f t="shared" si="507"/>
        <v>1.8861170714996843E-3</v>
      </c>
      <c r="AL490" s="28">
        <f t="shared" si="507"/>
        <v>4.3186725569701124E-3</v>
      </c>
      <c r="AM490" s="28">
        <f t="shared" si="507"/>
        <v>5.3293336975515911E-5</v>
      </c>
      <c r="AN490" s="28">
        <f t="shared" si="507"/>
        <v>2.0240711453461821E-4</v>
      </c>
      <c r="AO490" s="28">
        <f t="shared" si="507"/>
        <v>2.3080717610776324E-3</v>
      </c>
      <c r="AP490" s="28">
        <f t="shared" si="507"/>
        <v>9.85255403683425E-4</v>
      </c>
      <c r="AQ490" s="28">
        <f t="shared" si="507"/>
        <v>7.0116913493349815E-4</v>
      </c>
      <c r="AR490" s="28">
        <f t="shared" si="507"/>
        <v>3.8218546017337956E-3</v>
      </c>
      <c r="AS490" s="28">
        <f t="shared" si="507"/>
        <v>5.6174764816904483E-4</v>
      </c>
      <c r="AT490" s="28">
        <f t="shared" si="507"/>
        <v>1.2545309903724774E-3</v>
      </c>
      <c r="AU490" s="28">
        <f t="shared" si="507"/>
        <v>6.3162863990952932E-3</v>
      </c>
      <c r="AV490" s="28">
        <f t="shared" si="507"/>
        <v>4.8632904683499501E-3</v>
      </c>
      <c r="AW490" s="28">
        <f t="shared" si="507"/>
        <v>1.0942740169517032E-3</v>
      </c>
      <c r="AX490" s="28">
        <f t="shared" si="507"/>
        <v>8.9485822148734821E-4</v>
      </c>
      <c r="AY490" s="28">
        <f t="shared" si="507"/>
        <v>6.0371944507128447E-3</v>
      </c>
      <c r="AZ490" s="28">
        <f t="shared" si="507"/>
        <v>1.1945620351126248E-2</v>
      </c>
      <c r="BA490" s="28">
        <f t="shared" si="507"/>
        <v>1.8357687163582542E-3</v>
      </c>
      <c r="BB490" s="28">
        <f t="shared" si="507"/>
        <v>8.6153166041864589E-4</v>
      </c>
      <c r="BC490" s="28">
        <f t="shared" si="507"/>
        <v>8.0291791890615902E-3</v>
      </c>
      <c r="BD490" s="28">
        <f t="shared" si="507"/>
        <v>7.3209150221047105E-4</v>
      </c>
      <c r="BE490" s="28">
        <f t="shared" si="507"/>
        <v>5.8852561450319671E-4</v>
      </c>
      <c r="BF490" s="28">
        <f t="shared" si="507"/>
        <v>7.8521387053238543E-4</v>
      </c>
      <c r="BG490" s="28">
        <f t="shared" si="507"/>
        <v>1.6978901360253424E-4</v>
      </c>
      <c r="BH490" s="28">
        <f t="shared" si="507"/>
        <v>9.5009048504458276E-3</v>
      </c>
      <c r="BI490" s="28">
        <f t="shared" si="507"/>
        <v>3.5334605063934927E-3</v>
      </c>
      <c r="BJ490" s="28">
        <f t="shared" si="507"/>
        <v>1.2971337853691998E-3</v>
      </c>
      <c r="BK490" s="28">
        <f t="shared" si="507"/>
        <v>3.1870039991047322E-4</v>
      </c>
      <c r="BL490" s="28">
        <f t="shared" si="507"/>
        <v>5.1726043439694381E-6</v>
      </c>
      <c r="BM490" s="28">
        <f t="shared" si="507"/>
        <v>1.5543078226406897E-4</v>
      </c>
      <c r="BN490" s="28">
        <f t="shared" si="507"/>
        <v>4.3915751380185341E-4</v>
      </c>
      <c r="BO490" s="28">
        <f t="shared" si="507"/>
        <v>5.7860545969421915E-4</v>
      </c>
      <c r="BP490" s="28">
        <f t="shared" si="507"/>
        <v>2.7750479381100183E-4</v>
      </c>
      <c r="BQ490" s="28">
        <f t="shared" si="507"/>
        <v>6.3469522074406138E-5</v>
      </c>
      <c r="BR490" s="28">
        <f t="shared" si="507"/>
        <v>0</v>
      </c>
    </row>
    <row r="491" spans="1:75" x14ac:dyDescent="0.3">
      <c r="B491" s="2" t="s">
        <v>22</v>
      </c>
      <c r="C491" s="28"/>
      <c r="D491" s="328"/>
      <c r="E491" s="30">
        <f>SUM(F491:BR491)</f>
        <v>0.14618018237721439</v>
      </c>
      <c r="F491" s="28">
        <f t="shared" ref="F491:AK491" si="508">F488*F$161</f>
        <v>2.8095285061553407E-4</v>
      </c>
      <c r="G491" s="28">
        <f t="shared" si="508"/>
        <v>2.2051879816237368E-4</v>
      </c>
      <c r="H491" s="28">
        <f t="shared" si="508"/>
        <v>8.7165669952061038E-6</v>
      </c>
      <c r="I491" s="28">
        <f t="shared" si="508"/>
        <v>2.9230606507170275E-3</v>
      </c>
      <c r="J491" s="28">
        <f t="shared" si="508"/>
        <v>4.1292793746883261E-5</v>
      </c>
      <c r="K491" s="28">
        <f t="shared" si="508"/>
        <v>6.3068510213406653E-5</v>
      </c>
      <c r="L491" s="28">
        <f t="shared" si="508"/>
        <v>2.794542265473771E-4</v>
      </c>
      <c r="M491" s="28">
        <f t="shared" si="508"/>
        <v>3.7080748930437671E-4</v>
      </c>
      <c r="N491" s="28">
        <f t="shared" si="508"/>
        <v>7.8338561227436667E-4</v>
      </c>
      <c r="O491" s="28">
        <f t="shared" si="508"/>
        <v>4.2021286916636928E-3</v>
      </c>
      <c r="P491" s="28">
        <f t="shared" si="508"/>
        <v>1.1575077616651211E-3</v>
      </c>
      <c r="Q491" s="28">
        <f t="shared" si="508"/>
        <v>4.7600492655320625E-6</v>
      </c>
      <c r="R491" s="28">
        <f t="shared" si="508"/>
        <v>8.4663979555475635E-4</v>
      </c>
      <c r="S491" s="28">
        <f t="shared" si="508"/>
        <v>3.6879949729642431E-4</v>
      </c>
      <c r="T491" s="28">
        <f t="shared" si="508"/>
        <v>8.4167455106507109E-5</v>
      </c>
      <c r="U491" s="28">
        <f t="shared" si="508"/>
        <v>8.8475439566928354E-4</v>
      </c>
      <c r="V491" s="28">
        <f t="shared" si="508"/>
        <v>3.3958076745671116E-4</v>
      </c>
      <c r="W491" s="28">
        <f t="shared" si="508"/>
        <v>1.1587082650419819E-3</v>
      </c>
      <c r="X491" s="28">
        <f t="shared" si="508"/>
        <v>6.0815185888019074E-4</v>
      </c>
      <c r="Y491" s="28">
        <f t="shared" si="508"/>
        <v>5.0878980152610585E-3</v>
      </c>
      <c r="Z491" s="28">
        <f t="shared" si="508"/>
        <v>2.1283008931240072E-4</v>
      </c>
      <c r="AA491" s="28">
        <f t="shared" si="508"/>
        <v>6.3321295681304784E-5</v>
      </c>
      <c r="AB491" s="28">
        <f t="shared" si="508"/>
        <v>4.0418975399270936E-4</v>
      </c>
      <c r="AC491" s="28">
        <f t="shared" si="508"/>
        <v>4.8486197356369673E-3</v>
      </c>
      <c r="AD491" s="28">
        <f t="shared" si="508"/>
        <v>3.5156760561845209E-4</v>
      </c>
      <c r="AE491" s="28">
        <f t="shared" si="508"/>
        <v>9.9124140977071727E-4</v>
      </c>
      <c r="AF491" s="28">
        <f t="shared" si="508"/>
        <v>3.9727342617543887E-4</v>
      </c>
      <c r="AG491" s="28">
        <f t="shared" si="508"/>
        <v>2.0248629936417176E-4</v>
      </c>
      <c r="AH491" s="28">
        <f t="shared" si="508"/>
        <v>4.7964575729888517E-4</v>
      </c>
      <c r="AI491" s="28">
        <f t="shared" si="508"/>
        <v>4.7722413513314611E-2</v>
      </c>
      <c r="AJ491" s="28">
        <f t="shared" si="508"/>
        <v>2.5789846292368461E-3</v>
      </c>
      <c r="AK491" s="28">
        <f t="shared" si="508"/>
        <v>4.1518921048881317E-4</v>
      </c>
      <c r="AL491" s="28">
        <f t="shared" ref="AL491:BR491" si="509">AL488*AL$161</f>
        <v>9.1754980461350509E-4</v>
      </c>
      <c r="AM491" s="28">
        <f t="shared" si="509"/>
        <v>1.3717553574329908E-4</v>
      </c>
      <c r="AN491" s="28">
        <f t="shared" si="509"/>
        <v>0</v>
      </c>
      <c r="AO491" s="28">
        <f t="shared" si="509"/>
        <v>3.5166777740610069E-3</v>
      </c>
      <c r="AP491" s="28">
        <f t="shared" si="509"/>
        <v>1.308043889407244E-4</v>
      </c>
      <c r="AQ491" s="28">
        <f t="shared" si="509"/>
        <v>1.609021766649252E-5</v>
      </c>
      <c r="AR491" s="28">
        <f t="shared" si="509"/>
        <v>1.8549238536900791E-4</v>
      </c>
      <c r="AS491" s="28">
        <f t="shared" si="509"/>
        <v>3.3857717863014851E-6</v>
      </c>
      <c r="AT491" s="28">
        <f t="shared" si="509"/>
        <v>2.9609863908976065E-3</v>
      </c>
      <c r="AU491" s="28">
        <f t="shared" si="509"/>
        <v>2.1782650677274191E-3</v>
      </c>
      <c r="AV491" s="28">
        <f t="shared" si="509"/>
        <v>4.3761683261409967E-3</v>
      </c>
      <c r="AW491" s="28">
        <f t="shared" si="509"/>
        <v>1.0048467779295526E-3</v>
      </c>
      <c r="AX491" s="28">
        <f t="shared" si="509"/>
        <v>5.6280077689970268E-4</v>
      </c>
      <c r="AY491" s="28">
        <f t="shared" si="509"/>
        <v>3.3899679423694838E-2</v>
      </c>
      <c r="AZ491" s="28">
        <f t="shared" si="509"/>
        <v>1.0051685191807044E-2</v>
      </c>
      <c r="BA491" s="28">
        <f t="shared" si="509"/>
        <v>7.4126544516313006E-4</v>
      </c>
      <c r="BB491" s="28">
        <f t="shared" si="509"/>
        <v>5.646390224693803E-6</v>
      </c>
      <c r="BC491" s="28">
        <f t="shared" si="509"/>
        <v>3.818109647267615E-3</v>
      </c>
      <c r="BD491" s="28">
        <f t="shared" si="509"/>
        <v>2.6094059745156839E-4</v>
      </c>
      <c r="BE491" s="28">
        <f t="shared" si="509"/>
        <v>1.2658654791668903E-3</v>
      </c>
      <c r="BF491" s="28">
        <f t="shared" si="509"/>
        <v>0</v>
      </c>
      <c r="BG491" s="28">
        <f t="shared" si="509"/>
        <v>3.8936343601308269E-5</v>
      </c>
      <c r="BH491" s="28">
        <f t="shared" si="509"/>
        <v>1.6222239051895627E-3</v>
      </c>
      <c r="BI491" s="28">
        <f t="shared" si="509"/>
        <v>0</v>
      </c>
      <c r="BJ491" s="28">
        <f t="shared" si="509"/>
        <v>1.7508728741661266E-5</v>
      </c>
      <c r="BK491" s="28">
        <f t="shared" si="509"/>
        <v>9.6857627403608831E-6</v>
      </c>
      <c r="BL491" s="28">
        <f t="shared" si="509"/>
        <v>1.1525968273829213E-8</v>
      </c>
      <c r="BM491" s="28">
        <f t="shared" si="509"/>
        <v>1.510924160981064E-5</v>
      </c>
      <c r="BN491" s="28">
        <f t="shared" si="509"/>
        <v>0</v>
      </c>
      <c r="BO491" s="28">
        <f t="shared" si="509"/>
        <v>0</v>
      </c>
      <c r="BP491" s="28">
        <f t="shared" si="509"/>
        <v>5.0113261656335541E-5</v>
      </c>
      <c r="BQ491" s="28">
        <f t="shared" si="509"/>
        <v>1.1041437826621334E-5</v>
      </c>
      <c r="BR491" s="28">
        <f t="shared" si="509"/>
        <v>0</v>
      </c>
    </row>
    <row r="492" spans="1:75" x14ac:dyDescent="0.3">
      <c r="B492" s="2" t="s">
        <v>21</v>
      </c>
      <c r="C492" s="28"/>
      <c r="D492" s="328"/>
      <c r="E492" s="30">
        <f t="shared" ref="E492:E494" si="510">SUM(F492:BR492)</f>
        <v>0.11742094160783903</v>
      </c>
      <c r="F492" s="28">
        <f>F488*F$160</f>
        <v>1.1805724450733179E-4</v>
      </c>
      <c r="G492" s="28">
        <f t="shared" ref="G492:BR492" si="511">G488*G$160</f>
        <v>1.0587928237361302E-4</v>
      </c>
      <c r="H492" s="28">
        <f t="shared" si="511"/>
        <v>8.4083923539054972E-6</v>
      </c>
      <c r="I492" s="28">
        <f t="shared" si="511"/>
        <v>1.0102037440172078E-3</v>
      </c>
      <c r="J492" s="28">
        <f t="shared" si="511"/>
        <v>4.007220628270067E-5</v>
      </c>
      <c r="K492" s="28">
        <f t="shared" si="511"/>
        <v>7.2280382137753237E-5</v>
      </c>
      <c r="L492" s="28">
        <f t="shared" si="511"/>
        <v>1.4916328027426415E-4</v>
      </c>
      <c r="M492" s="28">
        <f t="shared" si="511"/>
        <v>1.334649289320824E-4</v>
      </c>
      <c r="N492" s="28">
        <f t="shared" si="511"/>
        <v>4.6586777149778435E-4</v>
      </c>
      <c r="O492" s="28">
        <f t="shared" si="511"/>
        <v>6.2962537680015637E-4</v>
      </c>
      <c r="P492" s="28">
        <f t="shared" si="511"/>
        <v>1.7139290033315905E-4</v>
      </c>
      <c r="Q492" s="28">
        <f t="shared" si="511"/>
        <v>1.3541651161716478E-6</v>
      </c>
      <c r="R492" s="28">
        <f t="shared" si="511"/>
        <v>8.6386313209502934E-4</v>
      </c>
      <c r="S492" s="28">
        <f t="shared" si="511"/>
        <v>7.8419362943901586E-4</v>
      </c>
      <c r="T492" s="28">
        <f t="shared" si="511"/>
        <v>2.945468425912224E-5</v>
      </c>
      <c r="U492" s="28">
        <f t="shared" si="511"/>
        <v>3.8570423960987161E-4</v>
      </c>
      <c r="V492" s="28">
        <f t="shared" si="511"/>
        <v>4.7947233942513975E-5</v>
      </c>
      <c r="W492" s="28">
        <f t="shared" si="511"/>
        <v>1.5589363178483817E-4</v>
      </c>
      <c r="X492" s="28">
        <f t="shared" si="511"/>
        <v>3.1388963805264889E-4</v>
      </c>
      <c r="Y492" s="28">
        <f t="shared" si="511"/>
        <v>6.4112146059344189E-4</v>
      </c>
      <c r="Z492" s="28">
        <f t="shared" si="511"/>
        <v>5.2340322579905859E-5</v>
      </c>
      <c r="AA492" s="28">
        <f t="shared" si="511"/>
        <v>4.1300204385541987E-5</v>
      </c>
      <c r="AB492" s="28">
        <f t="shared" si="511"/>
        <v>2.2180090615976072E-4</v>
      </c>
      <c r="AC492" s="28">
        <f t="shared" si="511"/>
        <v>2.8895297466126472E-3</v>
      </c>
      <c r="AD492" s="28">
        <f t="shared" si="511"/>
        <v>5.8218634525413512E-5</v>
      </c>
      <c r="AE492" s="28">
        <f t="shared" si="511"/>
        <v>3.6622014627892653E-4</v>
      </c>
      <c r="AF492" s="28">
        <f t="shared" si="511"/>
        <v>4.8817882390672044E-4</v>
      </c>
      <c r="AG492" s="28">
        <f t="shared" si="511"/>
        <v>7.9171780405462629E-5</v>
      </c>
      <c r="AH492" s="28">
        <f t="shared" si="511"/>
        <v>3.7203590272081612E-4</v>
      </c>
      <c r="AI492" s="28">
        <f t="shared" si="511"/>
        <v>6.5328285921559967E-2</v>
      </c>
      <c r="AJ492" s="28">
        <f t="shared" si="511"/>
        <v>8.5926118719494027E-4</v>
      </c>
      <c r="AK492" s="28">
        <f t="shared" si="511"/>
        <v>2.9570738955130027E-4</v>
      </c>
      <c r="AL492" s="28">
        <f t="shared" si="511"/>
        <v>2.7146290704931617E-3</v>
      </c>
      <c r="AM492" s="28">
        <f t="shared" si="511"/>
        <v>7.0613641883175189E-5</v>
      </c>
      <c r="AN492" s="28">
        <f t="shared" si="511"/>
        <v>3.969124996738064E-5</v>
      </c>
      <c r="AO492" s="28">
        <f t="shared" si="511"/>
        <v>8.6711470815873477E-4</v>
      </c>
      <c r="AP492" s="28">
        <f t="shared" si="511"/>
        <v>3.6416949396453569E-5</v>
      </c>
      <c r="AQ492" s="28">
        <f t="shared" si="511"/>
        <v>1.2373802527961532E-4</v>
      </c>
      <c r="AR492" s="28">
        <f t="shared" si="511"/>
        <v>8.0735176753619355E-4</v>
      </c>
      <c r="AS492" s="28">
        <f t="shared" si="511"/>
        <v>4.9255263924953747E-4</v>
      </c>
      <c r="AT492" s="28">
        <f t="shared" si="511"/>
        <v>8.6677231368268402E-4</v>
      </c>
      <c r="AU492" s="28">
        <f t="shared" si="511"/>
        <v>4.6410578005675273E-4</v>
      </c>
      <c r="AV492" s="28">
        <f t="shared" si="511"/>
        <v>2.3326353205861336E-3</v>
      </c>
      <c r="AW492" s="28">
        <f t="shared" si="511"/>
        <v>2.0630810135366474E-4</v>
      </c>
      <c r="AX492" s="28">
        <f t="shared" si="511"/>
        <v>2.5586000206535511E-4</v>
      </c>
      <c r="AY492" s="28">
        <f t="shared" si="511"/>
        <v>2.4160731776102472E-2</v>
      </c>
      <c r="AZ492" s="28">
        <f t="shared" si="511"/>
        <v>1.4617188654372179E-3</v>
      </c>
      <c r="BA492" s="28">
        <f t="shared" si="511"/>
        <v>2.7206775418478659E-4</v>
      </c>
      <c r="BB492" s="28">
        <f t="shared" si="511"/>
        <v>1.1417309078835293E-4</v>
      </c>
      <c r="BC492" s="28">
        <f t="shared" si="511"/>
        <v>1.0505960914891125E-3</v>
      </c>
      <c r="BD492" s="28">
        <f t="shared" si="511"/>
        <v>7.3462977275390775E-5</v>
      </c>
      <c r="BE492" s="28">
        <f t="shared" si="511"/>
        <v>1.7044355327661103E-3</v>
      </c>
      <c r="BF492" s="28">
        <f t="shared" si="511"/>
        <v>1.0452743467119321E-5</v>
      </c>
      <c r="BG492" s="28">
        <f t="shared" si="511"/>
        <v>2.098588022558318E-5</v>
      </c>
      <c r="BH492" s="28">
        <f t="shared" si="511"/>
        <v>8.1638606178894798E-4</v>
      </c>
      <c r="BI492" s="28">
        <f t="shared" si="511"/>
        <v>7.333358209710392E-4</v>
      </c>
      <c r="BJ492" s="28">
        <f t="shared" si="511"/>
        <v>1.2803691013697004E-4</v>
      </c>
      <c r="BK492" s="28">
        <f t="shared" si="511"/>
        <v>3.7458487591551491E-5</v>
      </c>
      <c r="BL492" s="28">
        <f t="shared" si="511"/>
        <v>4.5805741814330973E-7</v>
      </c>
      <c r="BM492" s="28">
        <f t="shared" si="511"/>
        <v>3.4737661778159171E-5</v>
      </c>
      <c r="BN492" s="28">
        <f t="shared" si="511"/>
        <v>1.9884264117335735E-4</v>
      </c>
      <c r="BO492" s="28">
        <f t="shared" si="511"/>
        <v>4.4638327705816803E-5</v>
      </c>
      <c r="BP492" s="28">
        <f t="shared" si="511"/>
        <v>7.8058426086037279E-5</v>
      </c>
      <c r="BQ492" s="28">
        <f t="shared" si="511"/>
        <v>2.26866414600327E-5</v>
      </c>
      <c r="BR492" s="28">
        <f t="shared" si="511"/>
        <v>0</v>
      </c>
    </row>
    <row r="493" spans="1:75" x14ac:dyDescent="0.3">
      <c r="B493" s="3" t="s">
        <v>44</v>
      </c>
      <c r="C493" s="28"/>
      <c r="D493" s="328"/>
      <c r="E493" s="30">
        <f t="shared" si="510"/>
        <v>0.70844674954289577</v>
      </c>
      <c r="F493" s="28">
        <f>F488*F$162</f>
        <v>3.0683483118803195E-4</v>
      </c>
      <c r="G493" s="28">
        <f t="shared" ref="G493:BR493" si="512">G488*G$162</f>
        <v>4.9944671298018288E-4</v>
      </c>
      <c r="H493" s="28">
        <f t="shared" si="512"/>
        <v>2.3296765543741018E-5</v>
      </c>
      <c r="I493" s="28">
        <f t="shared" si="512"/>
        <v>8.3013741855820118E-3</v>
      </c>
      <c r="J493" s="28">
        <f t="shared" si="512"/>
        <v>2.2845494790307659E-4</v>
      </c>
      <c r="K493" s="28">
        <f t="shared" si="512"/>
        <v>6.4387104143468616E-4</v>
      </c>
      <c r="L493" s="28">
        <f t="shared" si="512"/>
        <v>9.4830786931991652E-4</v>
      </c>
      <c r="M493" s="28">
        <f t="shared" si="512"/>
        <v>7.4898512285382767E-4</v>
      </c>
      <c r="N493" s="28">
        <f t="shared" si="512"/>
        <v>2.9429477364628139E-3</v>
      </c>
      <c r="O493" s="28">
        <f t="shared" si="512"/>
        <v>6.590457872125562E-3</v>
      </c>
      <c r="P493" s="28">
        <f t="shared" si="512"/>
        <v>2.0403139563207294E-3</v>
      </c>
      <c r="Q493" s="28">
        <f t="shared" si="512"/>
        <v>2.2699070542758999E-5</v>
      </c>
      <c r="R493" s="28">
        <f t="shared" si="512"/>
        <v>5.9490670022691811E-3</v>
      </c>
      <c r="S493" s="28">
        <f t="shared" si="512"/>
        <v>3.0760852717333282E-3</v>
      </c>
      <c r="T493" s="28">
        <f t="shared" si="512"/>
        <v>3.520729038893453E-4</v>
      </c>
      <c r="U493" s="28">
        <f t="shared" si="512"/>
        <v>4.3243276729841009E-3</v>
      </c>
      <c r="V493" s="28">
        <f t="shared" si="512"/>
        <v>8.4626968216557942E-4</v>
      </c>
      <c r="W493" s="28">
        <f t="shared" si="512"/>
        <v>3.4608070041970817E-3</v>
      </c>
      <c r="X493" s="28">
        <f t="shared" si="512"/>
        <v>3.5598156784653833E-3</v>
      </c>
      <c r="Y493" s="28">
        <f t="shared" si="512"/>
        <v>1.1473446987891494E-2</v>
      </c>
      <c r="Z493" s="28">
        <f t="shared" si="512"/>
        <v>5.929511632115108E-4</v>
      </c>
      <c r="AA493" s="28">
        <f t="shared" si="512"/>
        <v>3.6609988640324453E-4</v>
      </c>
      <c r="AB493" s="28">
        <f t="shared" si="512"/>
        <v>2.4543257791356022E-3</v>
      </c>
      <c r="AC493" s="28">
        <f t="shared" si="512"/>
        <v>9.8905707917000263E-3</v>
      </c>
      <c r="AD493" s="28">
        <f t="shared" si="512"/>
        <v>5.5654174923847847E-4</v>
      </c>
      <c r="AE493" s="28">
        <f t="shared" si="512"/>
        <v>2.1117007272388184E-3</v>
      </c>
      <c r="AF493" s="28">
        <f t="shared" si="512"/>
        <v>1.4135292319264186E-3</v>
      </c>
      <c r="AG493" s="28">
        <f t="shared" si="512"/>
        <v>4.8934064819197037E-4</v>
      </c>
      <c r="AH493" s="28">
        <f t="shared" si="512"/>
        <v>3.057899476239535E-3</v>
      </c>
      <c r="AI493" s="28">
        <f t="shared" si="512"/>
        <v>0.43866575895521059</v>
      </c>
      <c r="AJ493" s="28">
        <f t="shared" si="512"/>
        <v>6.7653601746186639E-3</v>
      </c>
      <c r="AK493" s="28">
        <f t="shared" si="512"/>
        <v>2.6009240147841996E-3</v>
      </c>
      <c r="AL493" s="28">
        <f t="shared" si="512"/>
        <v>7.9496809562726572E-3</v>
      </c>
      <c r="AM493" s="28">
        <f t="shared" si="512"/>
        <v>2.6161666787834095E-4</v>
      </c>
      <c r="AN493" s="28">
        <f t="shared" si="512"/>
        <v>2.4193236178360748E-4</v>
      </c>
      <c r="AO493" s="28">
        <f t="shared" si="512"/>
        <v>6.712453755758783E-3</v>
      </c>
      <c r="AP493" s="28">
        <f t="shared" si="512"/>
        <v>1.1536530289843437E-3</v>
      </c>
      <c r="AQ493" s="28">
        <f t="shared" si="512"/>
        <v>8.3783268375259756E-4</v>
      </c>
      <c r="AR493" s="28">
        <f t="shared" si="512"/>
        <v>4.7758154407744084E-3</v>
      </c>
      <c r="AS493" s="28">
        <f t="shared" si="512"/>
        <v>1.0275009506307098E-3</v>
      </c>
      <c r="AT493" s="28">
        <f t="shared" si="512"/>
        <v>5.0805783153154817E-3</v>
      </c>
      <c r="AU493" s="28">
        <f t="shared" si="512"/>
        <v>8.8157154585972904E-3</v>
      </c>
      <c r="AV493" s="28">
        <f t="shared" si="512"/>
        <v>1.1586428396680254E-2</v>
      </c>
      <c r="AW493" s="28">
        <f t="shared" si="512"/>
        <v>2.3080722898206579E-3</v>
      </c>
      <c r="AX493" s="28">
        <f t="shared" si="512"/>
        <v>1.7102522458445927E-3</v>
      </c>
      <c r="AY493" s="28">
        <f t="shared" si="512"/>
        <v>6.5267407734782332E-2</v>
      </c>
      <c r="AZ493" s="28">
        <f t="shared" si="512"/>
        <v>2.3402132486520295E-2</v>
      </c>
      <c r="BA493" s="28">
        <f t="shared" si="512"/>
        <v>2.8383976774218594E-3</v>
      </c>
      <c r="BB493" s="28">
        <f t="shared" si="512"/>
        <v>8.5049449136654558E-4</v>
      </c>
      <c r="BC493" s="28">
        <f t="shared" si="512"/>
        <v>1.2754801087107265E-2</v>
      </c>
      <c r="BD493" s="28">
        <f t="shared" si="512"/>
        <v>9.898552704913229E-4</v>
      </c>
      <c r="BE493" s="28">
        <f t="shared" si="512"/>
        <v>3.5653510330952358E-3</v>
      </c>
      <c r="BF493" s="28">
        <f t="shared" si="512"/>
        <v>7.9585845847329956E-4</v>
      </c>
      <c r="BG493" s="28">
        <f t="shared" si="512"/>
        <v>2.2979916955137984E-4</v>
      </c>
      <c r="BH493" s="28">
        <f t="shared" si="512"/>
        <v>1.1927549938480213E-2</v>
      </c>
      <c r="BI493" s="28">
        <f t="shared" si="512"/>
        <v>4.2858549428306031E-3</v>
      </c>
      <c r="BJ493" s="28">
        <f t="shared" si="512"/>
        <v>1.4421922493452486E-3</v>
      </c>
      <c r="BK493" s="28">
        <f t="shared" si="512"/>
        <v>3.659086277865973E-4</v>
      </c>
      <c r="BL493" s="28">
        <f t="shared" si="512"/>
        <v>5.6305197948360877E-6</v>
      </c>
      <c r="BM493" s="28">
        <f t="shared" si="512"/>
        <v>2.0526957831848224E-4</v>
      </c>
      <c r="BN493" s="28">
        <f t="shared" si="512"/>
        <v>6.2948439835330925E-4</v>
      </c>
      <c r="BO493" s="28">
        <f t="shared" si="512"/>
        <v>6.2186504766999695E-4</v>
      </c>
      <c r="BP493" s="28">
        <f t="shared" si="512"/>
        <v>4.0624481678842265E-4</v>
      </c>
      <c r="BQ493" s="28">
        <f t="shared" si="512"/>
        <v>9.7234548872634786E-5</v>
      </c>
      <c r="BR493" s="28">
        <f t="shared" si="512"/>
        <v>0</v>
      </c>
    </row>
    <row r="494" spans="1:75" x14ac:dyDescent="0.3">
      <c r="B494" s="3" t="s">
        <v>25</v>
      </c>
      <c r="C494" s="28"/>
      <c r="D494" s="328"/>
      <c r="E494" s="30">
        <f t="shared" si="510"/>
        <v>0.27740088935155677</v>
      </c>
      <c r="F494" s="28">
        <f>F488*F$164</f>
        <v>2.2274475172515517E-4</v>
      </c>
      <c r="G494" s="28">
        <f t="shared" ref="G494:BR494" si="513">G488*G$164</f>
        <v>7.5971432751917913E-5</v>
      </c>
      <c r="H494" s="28">
        <f t="shared" si="513"/>
        <v>1.4863046415675932E-5</v>
      </c>
      <c r="I494" s="28">
        <f t="shared" si="513"/>
        <v>0</v>
      </c>
      <c r="J494" s="28">
        <f t="shared" si="513"/>
        <v>7.8328251306589158E-4</v>
      </c>
      <c r="K494" s="28">
        <f t="shared" si="513"/>
        <v>2.6997083106876634E-3</v>
      </c>
      <c r="L494" s="28">
        <f t="shared" si="513"/>
        <v>7.8509148682459455E-4</v>
      </c>
      <c r="M494" s="28">
        <f t="shared" si="513"/>
        <v>2.6694940186146499E-3</v>
      </c>
      <c r="N494" s="28">
        <f t="shared" si="513"/>
        <v>1.1043298536396167E-4</v>
      </c>
      <c r="O494" s="28">
        <f t="shared" si="513"/>
        <v>0</v>
      </c>
      <c r="P494" s="28">
        <f t="shared" si="513"/>
        <v>1.6488364338490484E-2</v>
      </c>
      <c r="Q494" s="28">
        <f t="shared" si="513"/>
        <v>7.3113305651785563E-4</v>
      </c>
      <c r="R494" s="28">
        <f t="shared" si="513"/>
        <v>3.211664361936644E-2</v>
      </c>
      <c r="S494" s="28">
        <f t="shared" si="513"/>
        <v>5.9022580089966702E-3</v>
      </c>
      <c r="T494" s="28">
        <f t="shared" si="513"/>
        <v>1.22595666032379E-2</v>
      </c>
      <c r="U494" s="28">
        <f t="shared" si="513"/>
        <v>8.7074266394681736E-3</v>
      </c>
      <c r="V494" s="28">
        <f t="shared" si="513"/>
        <v>1.0170045662177904E-2</v>
      </c>
      <c r="W494" s="28">
        <f t="shared" si="513"/>
        <v>1.919123894577077E-2</v>
      </c>
      <c r="X494" s="28">
        <f t="shared" si="513"/>
        <v>2.3823772275616946E-2</v>
      </c>
      <c r="Y494" s="28">
        <f t="shared" si="513"/>
        <v>8.2116465192587335E-2</v>
      </c>
      <c r="Z494" s="28">
        <f t="shared" si="513"/>
        <v>3.8352316521894931E-3</v>
      </c>
      <c r="AA494" s="28">
        <f t="shared" si="513"/>
        <v>6.3452219708393586E-4</v>
      </c>
      <c r="AB494" s="28">
        <f t="shared" si="513"/>
        <v>1.961610820796565E-4</v>
      </c>
      <c r="AC494" s="28">
        <f t="shared" si="513"/>
        <v>1.4854721391874301E-3</v>
      </c>
      <c r="AD494" s="28">
        <f t="shared" si="513"/>
        <v>0</v>
      </c>
      <c r="AE494" s="28">
        <f t="shared" si="513"/>
        <v>0</v>
      </c>
      <c r="AF494" s="28">
        <f t="shared" si="513"/>
        <v>0</v>
      </c>
      <c r="AG494" s="28">
        <f t="shared" si="513"/>
        <v>4.2379825146064638E-4</v>
      </c>
      <c r="AH494" s="28">
        <f t="shared" si="513"/>
        <v>2.8105193572084796E-4</v>
      </c>
      <c r="AI494" s="28">
        <f t="shared" si="513"/>
        <v>5.2608992649446941E-3</v>
      </c>
      <c r="AJ494" s="28">
        <f t="shared" si="513"/>
        <v>0</v>
      </c>
      <c r="AK494" s="28">
        <f t="shared" si="513"/>
        <v>0</v>
      </c>
      <c r="AL494" s="28">
        <f t="shared" si="513"/>
        <v>1.5354123140280688E-3</v>
      </c>
      <c r="AM494" s="28">
        <f t="shared" si="513"/>
        <v>4.0595767440195586E-4</v>
      </c>
      <c r="AN494" s="28">
        <f t="shared" si="513"/>
        <v>1.0874376963157565E-3</v>
      </c>
      <c r="AO494" s="28">
        <f t="shared" si="513"/>
        <v>2.8487981801180828E-3</v>
      </c>
      <c r="AP494" s="28">
        <f t="shared" si="513"/>
        <v>2.5144092779542064E-4</v>
      </c>
      <c r="AQ494" s="28">
        <f t="shared" si="513"/>
        <v>2.4913162679918302E-4</v>
      </c>
      <c r="AR494" s="28">
        <f t="shared" si="513"/>
        <v>3.0440029556358448E-3</v>
      </c>
      <c r="AS494" s="28">
        <f t="shared" si="513"/>
        <v>4.43407208672075E-4</v>
      </c>
      <c r="AT494" s="28">
        <f t="shared" si="513"/>
        <v>2.4717586443781265E-3</v>
      </c>
      <c r="AU494" s="28">
        <f t="shared" si="513"/>
        <v>2.4215476431159234E-3</v>
      </c>
      <c r="AV494" s="28">
        <f t="shared" si="513"/>
        <v>2.9493093098908628E-3</v>
      </c>
      <c r="AW494" s="28">
        <f t="shared" si="513"/>
        <v>8.231865356861399E-5</v>
      </c>
      <c r="AX494" s="28">
        <f t="shared" si="513"/>
        <v>1.2728045126295147E-4</v>
      </c>
      <c r="AY494" s="28">
        <f t="shared" si="513"/>
        <v>3.0011710707520561E-4</v>
      </c>
      <c r="AZ494" s="28">
        <f t="shared" si="513"/>
        <v>1.8676022625103678E-2</v>
      </c>
      <c r="BA494" s="28">
        <f t="shared" si="513"/>
        <v>7.7654827702603357E-4</v>
      </c>
      <c r="BB494" s="28">
        <f t="shared" si="513"/>
        <v>8.8678584799935697E-5</v>
      </c>
      <c r="BC494" s="28">
        <f t="shared" si="513"/>
        <v>5.6493376146294558E-3</v>
      </c>
      <c r="BD494" s="28">
        <f t="shared" si="513"/>
        <v>1.2541929998400193E-4</v>
      </c>
      <c r="BE494" s="28">
        <f t="shared" si="513"/>
        <v>2.6482462489787377E-3</v>
      </c>
      <c r="BF494" s="28">
        <f t="shared" si="513"/>
        <v>4.5458799225269567E-6</v>
      </c>
      <c r="BG494" s="28">
        <f t="shared" si="513"/>
        <v>0</v>
      </c>
      <c r="BH494" s="28">
        <f t="shared" si="513"/>
        <v>1.5710765563731608E-4</v>
      </c>
      <c r="BI494" s="28">
        <f t="shared" si="513"/>
        <v>2.2321131870327048E-5</v>
      </c>
      <c r="BJ494" s="28">
        <f t="shared" si="513"/>
        <v>3.2193506234354134E-5</v>
      </c>
      <c r="BK494" s="28">
        <f t="shared" si="513"/>
        <v>3.4824016266012694E-6</v>
      </c>
      <c r="BL494" s="28">
        <f t="shared" si="513"/>
        <v>0</v>
      </c>
      <c r="BM494" s="28">
        <f t="shared" si="513"/>
        <v>1.1729614772571215E-5</v>
      </c>
      <c r="BN494" s="28">
        <f t="shared" si="513"/>
        <v>1.6823632384378815E-6</v>
      </c>
      <c r="BO494" s="28">
        <f t="shared" si="513"/>
        <v>0</v>
      </c>
      <c r="BP494" s="28">
        <f t="shared" si="513"/>
        <v>0</v>
      </c>
      <c r="BQ494" s="28">
        <f t="shared" si="513"/>
        <v>1.4344328023089345E-8</v>
      </c>
      <c r="BR494" s="28">
        <f t="shared" si="513"/>
        <v>0</v>
      </c>
    </row>
    <row r="495" spans="1:75" x14ac:dyDescent="0.3">
      <c r="A495" s="73">
        <v>31</v>
      </c>
      <c r="B495" s="16" t="s">
        <v>360</v>
      </c>
      <c r="D495" s="244"/>
      <c r="E495" s="29"/>
    </row>
    <row r="496" spans="1:75" x14ac:dyDescent="0.3">
      <c r="A496" s="3">
        <f>A486+1</f>
        <v>9</v>
      </c>
      <c r="B496" s="7" t="s">
        <v>61</v>
      </c>
      <c r="D496" s="327" t="s">
        <v>235</v>
      </c>
      <c r="E496" s="88">
        <f>HLOOKUP(A495,$F$305:$BK$372,A495+2)</f>
        <v>1.0434718263917686</v>
      </c>
      <c r="BS496" s="20"/>
      <c r="BT496" s="20"/>
      <c r="BU496" s="20"/>
      <c r="BV496" s="20"/>
      <c r="BW496" s="20"/>
    </row>
    <row r="497" spans="1:75" x14ac:dyDescent="0.3">
      <c r="D497" s="327" t="s">
        <v>60</v>
      </c>
      <c r="E497" s="88">
        <f>HLOOKUP(A495,$F$305:$BK$372,68)-E496</f>
        <v>0.79809231738116493</v>
      </c>
      <c r="F497" s="32"/>
    </row>
    <row r="498" spans="1:75" x14ac:dyDescent="0.3">
      <c r="C498" s="29"/>
      <c r="D498" s="327" t="s">
        <v>201</v>
      </c>
      <c r="E498" s="30">
        <f>E497+E496</f>
        <v>1.8415641437729335</v>
      </c>
      <c r="F498" s="95">
        <f t="shared" ref="F498:BQ498" si="514">HLOOKUP($A495,$F$305:$BK$372,F$305+2)</f>
        <v>1.1019039503034089E-3</v>
      </c>
      <c r="G498" s="95">
        <f t="shared" si="514"/>
        <v>2.9639847623716478E-3</v>
      </c>
      <c r="H498" s="95">
        <f t="shared" si="514"/>
        <v>1.172285838872027E-4</v>
      </c>
      <c r="I498" s="95">
        <f t="shared" si="514"/>
        <v>1.4633739197224519E-2</v>
      </c>
      <c r="J498" s="95">
        <f t="shared" si="514"/>
        <v>2.8325631884135228E-3</v>
      </c>
      <c r="K498" s="95">
        <f t="shared" si="514"/>
        <v>4.4374455403786532E-3</v>
      </c>
      <c r="L498" s="95">
        <f t="shared" si="514"/>
        <v>9.3552070699128177E-3</v>
      </c>
      <c r="M498" s="95">
        <f t="shared" si="514"/>
        <v>1.5909192024145646E-2</v>
      </c>
      <c r="N498" s="95">
        <f t="shared" si="514"/>
        <v>1.0607119011104879E-2</v>
      </c>
      <c r="O498" s="95">
        <f t="shared" si="514"/>
        <v>2.3713720749382525E-2</v>
      </c>
      <c r="P498" s="95">
        <f t="shared" si="514"/>
        <v>7.7176221660410754E-3</v>
      </c>
      <c r="Q498" s="95">
        <f t="shared" si="514"/>
        <v>5.4941009932324577E-4</v>
      </c>
      <c r="R498" s="95">
        <f t="shared" si="514"/>
        <v>1.8342023377551704E-2</v>
      </c>
      <c r="S498" s="95">
        <f t="shared" si="514"/>
        <v>8.9693576030658115E-3</v>
      </c>
      <c r="T498" s="95">
        <f t="shared" si="514"/>
        <v>7.0049163454483313E-3</v>
      </c>
      <c r="U498" s="95">
        <f t="shared" si="514"/>
        <v>1.5333230800086122E-2</v>
      </c>
      <c r="V498" s="95">
        <f t="shared" si="514"/>
        <v>6.7954933185164403E-3</v>
      </c>
      <c r="W498" s="95">
        <f t="shared" si="514"/>
        <v>1.4443657118331643E-2</v>
      </c>
      <c r="X498" s="95">
        <f t="shared" si="514"/>
        <v>1.6436412927383875E-2</v>
      </c>
      <c r="Y498" s="95">
        <f t="shared" si="514"/>
        <v>8.6776887169213602E-3</v>
      </c>
      <c r="Z498" s="95">
        <f t="shared" si="514"/>
        <v>3.4565727215228598E-4</v>
      </c>
      <c r="AA498" s="95">
        <f t="shared" si="514"/>
        <v>3.6844813875154866E-3</v>
      </c>
      <c r="AB498" s="95">
        <f t="shared" si="514"/>
        <v>8.3125920484103076E-3</v>
      </c>
      <c r="AC498" s="95">
        <f t="shared" si="514"/>
        <v>1.2188597862812964E-2</v>
      </c>
      <c r="AD498" s="95">
        <f t="shared" si="514"/>
        <v>4.1762931151622818E-3</v>
      </c>
      <c r="AE498" s="95">
        <f t="shared" si="514"/>
        <v>3.8155695831300781E-3</v>
      </c>
      <c r="AF498" s="95">
        <f t="shared" si="514"/>
        <v>8.4221333031719316E-4</v>
      </c>
      <c r="AG498" s="95">
        <f t="shared" si="514"/>
        <v>1.9271081113944708E-3</v>
      </c>
      <c r="AH498" s="95">
        <f t="shared" si="514"/>
        <v>8.8817459956319084E-3</v>
      </c>
      <c r="AI498" s="95">
        <f t="shared" si="514"/>
        <v>1.6798310329756753E-2</v>
      </c>
      <c r="AJ498" s="95">
        <f t="shared" si="514"/>
        <v>1.0434718263917686</v>
      </c>
      <c r="AK498" s="95">
        <f t="shared" si="514"/>
        <v>3.3618904955702556E-3</v>
      </c>
      <c r="AL498" s="95">
        <f t="shared" si="514"/>
        <v>8.5591665910059525E-2</v>
      </c>
      <c r="AM498" s="95">
        <f t="shared" si="514"/>
        <v>1.2410829651845371E-2</v>
      </c>
      <c r="AN498" s="95">
        <f t="shared" si="514"/>
        <v>5.0514349519742742E-3</v>
      </c>
      <c r="AO498" s="95">
        <f t="shared" si="514"/>
        <v>0.13083518631453545</v>
      </c>
      <c r="AP498" s="95">
        <f t="shared" si="514"/>
        <v>3.9529137055717561E-3</v>
      </c>
      <c r="AQ498" s="95">
        <f t="shared" si="514"/>
        <v>5.3356777387447984E-3</v>
      </c>
      <c r="AR498" s="95">
        <f t="shared" si="514"/>
        <v>1.1764871982389059E-2</v>
      </c>
      <c r="AS498" s="95">
        <f t="shared" si="514"/>
        <v>3.891223720018511E-3</v>
      </c>
      <c r="AT498" s="95">
        <f t="shared" si="514"/>
        <v>2.7226012127501066E-2</v>
      </c>
      <c r="AU498" s="95">
        <f t="shared" si="514"/>
        <v>2.0215300326899572E-2</v>
      </c>
      <c r="AV498" s="95">
        <f t="shared" si="514"/>
        <v>2.050500891482725E-2</v>
      </c>
      <c r="AW498" s="95">
        <f t="shared" si="514"/>
        <v>8.3206892919080924E-3</v>
      </c>
      <c r="AX498" s="95">
        <f t="shared" si="514"/>
        <v>5.6248838154205746E-3</v>
      </c>
      <c r="AY498" s="95">
        <f t="shared" si="514"/>
        <v>6.9066379031811356E-2</v>
      </c>
      <c r="AZ498" s="95">
        <f t="shared" si="514"/>
        <v>4.1767434229605403E-2</v>
      </c>
      <c r="BA498" s="95">
        <f t="shared" si="514"/>
        <v>6.7553804480697064E-3</v>
      </c>
      <c r="BB498" s="95">
        <f t="shared" si="514"/>
        <v>1.2441409682810223E-3</v>
      </c>
      <c r="BC498" s="95">
        <f t="shared" si="514"/>
        <v>2.529448371039145E-2</v>
      </c>
      <c r="BD498" s="95">
        <f t="shared" si="514"/>
        <v>3.5626681483631926E-3</v>
      </c>
      <c r="BE498" s="95">
        <f t="shared" si="514"/>
        <v>2.5262485759459264E-2</v>
      </c>
      <c r="BF498" s="95">
        <f t="shared" si="514"/>
        <v>2.2404620681340639E-3</v>
      </c>
      <c r="BG498" s="95">
        <f t="shared" si="514"/>
        <v>4.4261678018182074E-4</v>
      </c>
      <c r="BH498" s="95">
        <f t="shared" si="514"/>
        <v>1.9272192077406859E-2</v>
      </c>
      <c r="BI498" s="95">
        <f t="shared" si="514"/>
        <v>1.9608743931188257E-3</v>
      </c>
      <c r="BJ498" s="95">
        <f t="shared" si="514"/>
        <v>1.6828160245560603E-3</v>
      </c>
      <c r="BK498" s="95">
        <f t="shared" si="514"/>
        <v>7.1499006885771422E-4</v>
      </c>
      <c r="BL498" s="95">
        <f t="shared" si="514"/>
        <v>2.6380789580566554E-6</v>
      </c>
      <c r="BM498" s="95">
        <f t="shared" si="514"/>
        <v>3.4339935113277057E-4</v>
      </c>
      <c r="BN498" s="95">
        <f t="shared" si="514"/>
        <v>7.469989381691883E-4</v>
      </c>
      <c r="BO498" s="95">
        <f t="shared" si="514"/>
        <v>1.5103834080292308E-3</v>
      </c>
      <c r="BP498" s="95">
        <f t="shared" si="514"/>
        <v>1.0443969059887464E-3</v>
      </c>
      <c r="BQ498" s="95">
        <f t="shared" si="514"/>
        <v>1.7550245730622437E-4</v>
      </c>
      <c r="BR498" s="95">
        <f t="shared" ref="BR498" si="515">HLOOKUP($A495,$F$305:$BK$372,BR$305+2)</f>
        <v>0</v>
      </c>
    </row>
    <row r="499" spans="1:75" x14ac:dyDescent="0.3">
      <c r="B499" s="3" t="s">
        <v>110</v>
      </c>
      <c r="C499" s="29"/>
      <c r="D499" s="327"/>
      <c r="E499" s="30">
        <f>SUM(F499:BR499)</f>
        <v>1.8259717482799507E-2</v>
      </c>
      <c r="F499" s="28">
        <f>F498*F$155</f>
        <v>2.5361141820885564E-5</v>
      </c>
      <c r="G499" s="28">
        <f t="shared" ref="G499:BR499" si="516">G498*G$155</f>
        <v>3.5780084882682791E-5</v>
      </c>
      <c r="H499" s="28">
        <f t="shared" si="516"/>
        <v>2.3505404216839081E-6</v>
      </c>
      <c r="I499" s="28">
        <f t="shared" si="516"/>
        <v>2.4781641797119578E-4</v>
      </c>
      <c r="J499" s="28">
        <f t="shared" si="516"/>
        <v>2.960836741609443E-6</v>
      </c>
      <c r="K499" s="28">
        <f t="shared" si="516"/>
        <v>1.8693263951419727E-5</v>
      </c>
      <c r="L499" s="28">
        <f t="shared" si="516"/>
        <v>2.9531279099991022E-5</v>
      </c>
      <c r="M499" s="28">
        <f t="shared" si="516"/>
        <v>8.2500151699485018E-5</v>
      </c>
      <c r="N499" s="28">
        <f t="shared" si="516"/>
        <v>2.2033120072024112E-5</v>
      </c>
      <c r="O499" s="28">
        <f t="shared" si="516"/>
        <v>2.7602111401182119E-4</v>
      </c>
      <c r="P499" s="28">
        <f t="shared" si="516"/>
        <v>8.6680310662299505E-6</v>
      </c>
      <c r="Q499" s="28">
        <f t="shared" si="516"/>
        <v>9.828030460279299E-8</v>
      </c>
      <c r="R499" s="28">
        <f t="shared" si="516"/>
        <v>3.1702866211696618E-5</v>
      </c>
      <c r="S499" s="28">
        <f t="shared" si="516"/>
        <v>2.7359017076609576E-5</v>
      </c>
      <c r="T499" s="28">
        <f t="shared" si="516"/>
        <v>4.641128212028809E-6</v>
      </c>
      <c r="U499" s="28">
        <f t="shared" si="516"/>
        <v>3.5609982340711783E-5</v>
      </c>
      <c r="V499" s="28">
        <f t="shared" si="516"/>
        <v>4.7324739520485235E-6</v>
      </c>
      <c r="W499" s="28">
        <f t="shared" si="516"/>
        <v>1.2760636695629157E-5</v>
      </c>
      <c r="X499" s="28">
        <f t="shared" si="516"/>
        <v>1.431654050392328E-5</v>
      </c>
      <c r="Y499" s="28">
        <f t="shared" si="516"/>
        <v>6.5179593050167071E-6</v>
      </c>
      <c r="Z499" s="28">
        <f t="shared" si="516"/>
        <v>2.2032465249519515E-7</v>
      </c>
      <c r="AA499" s="28">
        <f t="shared" si="516"/>
        <v>1.600058520941144E-5</v>
      </c>
      <c r="AB499" s="28">
        <f t="shared" si="516"/>
        <v>3.8100600463569151E-5</v>
      </c>
      <c r="AC499" s="28">
        <f t="shared" si="516"/>
        <v>2.2078755579648718E-5</v>
      </c>
      <c r="AD499" s="28">
        <f t="shared" si="516"/>
        <v>4.0729068451614687E-7</v>
      </c>
      <c r="AE499" s="28">
        <f t="shared" si="516"/>
        <v>1.2063153532257715E-4</v>
      </c>
      <c r="AF499" s="28">
        <f t="shared" si="516"/>
        <v>5.9590627304615063E-6</v>
      </c>
      <c r="AG499" s="28">
        <f t="shared" si="516"/>
        <v>9.166759475444753E-6</v>
      </c>
      <c r="AH499" s="28">
        <f t="shared" si="516"/>
        <v>1.0283483905394645E-4</v>
      </c>
      <c r="AI499" s="28">
        <f t="shared" si="516"/>
        <v>1.0596350771078977E-4</v>
      </c>
      <c r="AJ499" s="28">
        <f t="shared" si="516"/>
        <v>5.7982455549675151E-3</v>
      </c>
      <c r="AK499" s="28">
        <f t="shared" si="516"/>
        <v>1.8157935202462518E-5</v>
      </c>
      <c r="AL499" s="28">
        <f t="shared" si="516"/>
        <v>7.2597192270470422E-3</v>
      </c>
      <c r="AM499" s="28">
        <f t="shared" si="516"/>
        <v>0</v>
      </c>
      <c r="AN499" s="28">
        <f t="shared" si="516"/>
        <v>4.4818583450984339E-6</v>
      </c>
      <c r="AO499" s="28">
        <f t="shared" si="516"/>
        <v>3.2923590600534739E-4</v>
      </c>
      <c r="AP499" s="28">
        <f t="shared" si="516"/>
        <v>7.9377307451451473E-5</v>
      </c>
      <c r="AQ499" s="28">
        <f t="shared" si="516"/>
        <v>2.1435566031535459E-5</v>
      </c>
      <c r="AR499" s="28">
        <f t="shared" si="516"/>
        <v>2.2741367059172341E-5</v>
      </c>
      <c r="AS499" s="28">
        <f t="shared" si="516"/>
        <v>3.2442459815760526E-5</v>
      </c>
      <c r="AT499" s="28">
        <f t="shared" si="516"/>
        <v>3.0740428170475556E-5</v>
      </c>
      <c r="AU499" s="28">
        <f t="shared" si="516"/>
        <v>6.8290450363799759E-5</v>
      </c>
      <c r="AV499" s="28">
        <f t="shared" si="516"/>
        <v>6.1022152226150865E-4</v>
      </c>
      <c r="AW499" s="28">
        <f t="shared" si="516"/>
        <v>3.2089058965628289E-4</v>
      </c>
      <c r="AX499" s="28">
        <f t="shared" si="516"/>
        <v>1.5876882861937634E-4</v>
      </c>
      <c r="AY499" s="28">
        <f t="shared" si="516"/>
        <v>1.1900271026303588E-3</v>
      </c>
      <c r="AZ499" s="28">
        <f t="shared" si="516"/>
        <v>1.5907102896229491E-4</v>
      </c>
      <c r="BA499" s="28">
        <f t="shared" si="516"/>
        <v>6.5040489241499419E-5</v>
      </c>
      <c r="BB499" s="28">
        <f t="shared" si="516"/>
        <v>3.3961899806839277E-5</v>
      </c>
      <c r="BC499" s="28">
        <f t="shared" si="516"/>
        <v>9.8225120414388451E-5</v>
      </c>
      <c r="BD499" s="28">
        <f t="shared" si="516"/>
        <v>2.9586763647777738E-5</v>
      </c>
      <c r="BE499" s="28">
        <f t="shared" si="516"/>
        <v>4.5567225824432809E-5</v>
      </c>
      <c r="BF499" s="28">
        <f t="shared" si="516"/>
        <v>4.4382936962888098E-6</v>
      </c>
      <c r="BG499" s="28">
        <f t="shared" si="516"/>
        <v>7.2196387624073075E-7</v>
      </c>
      <c r="BH499" s="28">
        <f t="shared" si="516"/>
        <v>1.8786341077211551E-4</v>
      </c>
      <c r="BI499" s="28">
        <f t="shared" si="516"/>
        <v>9.765480891988493E-5</v>
      </c>
      <c r="BJ499" s="28">
        <f t="shared" si="516"/>
        <v>6.9152974494370809E-5</v>
      </c>
      <c r="BK499" s="28">
        <f t="shared" si="516"/>
        <v>3.351000422113685E-5</v>
      </c>
      <c r="BL499" s="28">
        <f t="shared" si="516"/>
        <v>1.5036349555837937E-7</v>
      </c>
      <c r="BM499" s="28">
        <f t="shared" si="516"/>
        <v>1.5560853422387718E-5</v>
      </c>
      <c r="BN499" s="28">
        <f t="shared" si="516"/>
        <v>3.8789677981272846E-5</v>
      </c>
      <c r="BO499" s="28">
        <f t="shared" si="516"/>
        <v>9.1739509392311681E-5</v>
      </c>
      <c r="BP499" s="28">
        <f t="shared" si="516"/>
        <v>2.8320645483712507E-5</v>
      </c>
      <c r="BQ499" s="28">
        <f t="shared" si="516"/>
        <v>4.7682182956473681E-6</v>
      </c>
      <c r="BR499" s="28">
        <f t="shared" si="516"/>
        <v>0</v>
      </c>
    </row>
    <row r="500" spans="1:75" x14ac:dyDescent="0.3">
      <c r="B500" s="3" t="s">
        <v>56</v>
      </c>
      <c r="C500" s="28"/>
      <c r="D500" s="328"/>
      <c r="E500" s="30">
        <f t="shared" ref="E500" si="517">SUM(F500:BR500)</f>
        <v>0.39489717238277855</v>
      </c>
      <c r="F500" s="28">
        <f>F498*F$157</f>
        <v>1.3693396290879705E-4</v>
      </c>
      <c r="G500" s="28">
        <f t="shared" ref="G500:BR500" si="518">G498*G$157</f>
        <v>3.5249740262319391E-4</v>
      </c>
      <c r="H500" s="28">
        <f t="shared" si="518"/>
        <v>8.146763132591529E-6</v>
      </c>
      <c r="I500" s="28">
        <f t="shared" si="518"/>
        <v>3.7903307865677577E-3</v>
      </c>
      <c r="J500" s="28">
        <f t="shared" si="518"/>
        <v>2.1668037939293034E-4</v>
      </c>
      <c r="K500" s="28">
        <f t="shared" si="518"/>
        <v>4.7245863248146361E-4</v>
      </c>
      <c r="L500" s="28">
        <f t="shared" si="518"/>
        <v>1.047842569686606E-3</v>
      </c>
      <c r="M500" s="28">
        <f t="shared" si="518"/>
        <v>7.4541647892332921E-4</v>
      </c>
      <c r="N500" s="28">
        <f t="shared" si="518"/>
        <v>1.983453691015785E-3</v>
      </c>
      <c r="O500" s="28">
        <f t="shared" si="518"/>
        <v>2.3463326156405277E-3</v>
      </c>
      <c r="P500" s="28">
        <f t="shared" si="518"/>
        <v>2.2562102667381378E-4</v>
      </c>
      <c r="Q500" s="28">
        <f t="shared" si="518"/>
        <v>1.1045851626009561E-5</v>
      </c>
      <c r="R500" s="28">
        <f t="shared" si="518"/>
        <v>1.409283844936786E-3</v>
      </c>
      <c r="S500" s="28">
        <f t="shared" si="518"/>
        <v>1.0744474879511633E-3</v>
      </c>
      <c r="T500" s="28">
        <f t="shared" si="518"/>
        <v>1.2143527133859038E-4</v>
      </c>
      <c r="U500" s="28">
        <f t="shared" si="518"/>
        <v>1.7767583046013182E-3</v>
      </c>
      <c r="V500" s="28">
        <f t="shared" si="518"/>
        <v>1.7502929337694296E-4</v>
      </c>
      <c r="W500" s="28">
        <f t="shared" si="518"/>
        <v>8.9593544643927004E-4</v>
      </c>
      <c r="X500" s="28">
        <f t="shared" si="518"/>
        <v>1.2641393615927625E-3</v>
      </c>
      <c r="Y500" s="28">
        <f t="shared" si="518"/>
        <v>4.1487493730844394E-4</v>
      </c>
      <c r="Z500" s="28">
        <f t="shared" si="518"/>
        <v>2.0901317745503142E-5</v>
      </c>
      <c r="AA500" s="28">
        <f t="shared" si="518"/>
        <v>5.3270115696679168E-4</v>
      </c>
      <c r="AB500" s="28">
        <f t="shared" si="518"/>
        <v>2.3915811488271275E-3</v>
      </c>
      <c r="AC500" s="28">
        <f t="shared" si="518"/>
        <v>1.0629010722727011E-3</v>
      </c>
      <c r="AD500" s="28">
        <f t="shared" si="518"/>
        <v>1.1289501739639518E-4</v>
      </c>
      <c r="AE500" s="28">
        <f t="shared" si="518"/>
        <v>3.9804688975706841E-4</v>
      </c>
      <c r="AF500" s="28">
        <f t="shared" si="518"/>
        <v>1.787501588796863E-4</v>
      </c>
      <c r="AG500" s="28">
        <f t="shared" si="518"/>
        <v>1.6111809548466217E-4</v>
      </c>
      <c r="AH500" s="28">
        <f t="shared" si="518"/>
        <v>2.2994258989115592E-3</v>
      </c>
      <c r="AI500" s="28">
        <f t="shared" si="518"/>
        <v>5.3321532344883056E-3</v>
      </c>
      <c r="AJ500" s="28">
        <f t="shared" si="518"/>
        <v>0.26995845908557053</v>
      </c>
      <c r="AK500" s="28">
        <f t="shared" si="518"/>
        <v>1.3170147686160359E-3</v>
      </c>
      <c r="AL500" s="28">
        <f t="shared" si="518"/>
        <v>1.5439806658110823E-2</v>
      </c>
      <c r="AM500" s="28">
        <f t="shared" si="518"/>
        <v>2.4447752185952873E-4</v>
      </c>
      <c r="AN500" s="28">
        <f t="shared" si="518"/>
        <v>3.6004808873796985E-4</v>
      </c>
      <c r="AO500" s="28">
        <f t="shared" si="518"/>
        <v>1.3907678557113485E-2</v>
      </c>
      <c r="AP500" s="28">
        <f t="shared" si="518"/>
        <v>1.5871136312665796E-3</v>
      </c>
      <c r="AQ500" s="28">
        <f t="shared" si="518"/>
        <v>1.426309414001104E-3</v>
      </c>
      <c r="AR500" s="28">
        <f t="shared" si="518"/>
        <v>3.0895221067595829E-3</v>
      </c>
      <c r="AS500" s="28">
        <f t="shared" si="518"/>
        <v>8.9503123580516968E-4</v>
      </c>
      <c r="AT500" s="28">
        <f t="shared" si="518"/>
        <v>2.3993915917841142E-3</v>
      </c>
      <c r="AU500" s="28">
        <f t="shared" si="518"/>
        <v>8.0441310311035324E-3</v>
      </c>
      <c r="AV500" s="28">
        <f t="shared" si="518"/>
        <v>4.3656581834747013E-3</v>
      </c>
      <c r="AW500" s="28">
        <f t="shared" si="518"/>
        <v>1.9170261539810008E-3</v>
      </c>
      <c r="AX500" s="28">
        <f t="shared" si="518"/>
        <v>1.3144030636250178E-3</v>
      </c>
      <c r="AY500" s="28">
        <f t="shared" si="518"/>
        <v>4.563150999559654E-3</v>
      </c>
      <c r="AZ500" s="28">
        <f t="shared" si="518"/>
        <v>8.8404764280154806E-3</v>
      </c>
      <c r="BA500" s="28">
        <f t="shared" si="518"/>
        <v>2.030812534287814E-3</v>
      </c>
      <c r="BB500" s="28">
        <f t="shared" si="518"/>
        <v>7.3874578632455946E-4</v>
      </c>
      <c r="BC500" s="28">
        <f t="shared" si="518"/>
        <v>4.9320152185309994E-3</v>
      </c>
      <c r="BD500" s="28">
        <f t="shared" si="518"/>
        <v>1.1541505564166719E-3</v>
      </c>
      <c r="BE500" s="28">
        <f t="shared" si="518"/>
        <v>1.6505729656298819E-3</v>
      </c>
      <c r="BF500" s="28">
        <f t="shared" si="518"/>
        <v>1.6525256614863602E-3</v>
      </c>
      <c r="BG500" s="28">
        <f t="shared" si="518"/>
        <v>9.64071416508983E-5</v>
      </c>
      <c r="BH500" s="28">
        <f t="shared" si="518"/>
        <v>8.2412495108690285E-3</v>
      </c>
      <c r="BI500" s="28">
        <f t="shared" si="518"/>
        <v>1.0304136848633147E-3</v>
      </c>
      <c r="BJ500" s="28">
        <f t="shared" si="518"/>
        <v>1.0782981541262314E-3</v>
      </c>
      <c r="BK500" s="28">
        <f t="shared" si="518"/>
        <v>3.7146761875857037E-4</v>
      </c>
      <c r="BL500" s="28">
        <f t="shared" si="518"/>
        <v>1.5363752666105711E-6</v>
      </c>
      <c r="BM500" s="28">
        <f t="shared" si="518"/>
        <v>1.3026184612301091E-4</v>
      </c>
      <c r="BN500" s="28">
        <f t="shared" si="518"/>
        <v>2.1021055513040861E-4</v>
      </c>
      <c r="BO500" s="28">
        <f t="shared" si="518"/>
        <v>6.0139697901542258E-4</v>
      </c>
      <c r="BP500" s="28">
        <f t="shared" si="518"/>
        <v>2.9660262097237582E-4</v>
      </c>
      <c r="BQ500" s="28">
        <f t="shared" si="518"/>
        <v>5.1668554994293016E-5</v>
      </c>
      <c r="BR500" s="28">
        <f t="shared" si="518"/>
        <v>0</v>
      </c>
    </row>
    <row r="501" spans="1:75" x14ac:dyDescent="0.3">
      <c r="B501" s="2" t="s">
        <v>22</v>
      </c>
      <c r="C501" s="28"/>
      <c r="D501" s="328"/>
      <c r="E501" s="30">
        <f>SUM(F501:BR501)</f>
        <v>0.31286094428821604</v>
      </c>
      <c r="F501" s="28">
        <f t="shared" ref="F501:AK501" si="519">F498*F$161</f>
        <v>2.8506719860262806E-4</v>
      </c>
      <c r="G501" s="28">
        <f t="shared" si="519"/>
        <v>4.8727467937198044E-4</v>
      </c>
      <c r="H501" s="28">
        <f t="shared" si="519"/>
        <v>1.4745413967139256E-5</v>
      </c>
      <c r="I501" s="28">
        <f t="shared" si="519"/>
        <v>2.8571828810867008E-3</v>
      </c>
      <c r="J501" s="28">
        <f t="shared" si="519"/>
        <v>6.066271514143878E-5</v>
      </c>
      <c r="K501" s="28">
        <f t="shared" si="519"/>
        <v>5.8592581033370354E-5</v>
      </c>
      <c r="L501" s="28">
        <f t="shared" si="519"/>
        <v>5.6153473061340748E-4</v>
      </c>
      <c r="M501" s="28">
        <f t="shared" si="519"/>
        <v>1.1708728468731683E-3</v>
      </c>
      <c r="N501" s="28">
        <f t="shared" si="519"/>
        <v>9.1270564047793033E-4</v>
      </c>
      <c r="O501" s="28">
        <f t="shared" si="519"/>
        <v>6.1516923183111754E-3</v>
      </c>
      <c r="P501" s="28">
        <f t="shared" si="519"/>
        <v>3.6570151693602563E-4</v>
      </c>
      <c r="Q501" s="28">
        <f t="shared" si="519"/>
        <v>3.1699976509459879E-6</v>
      </c>
      <c r="R501" s="28">
        <f t="shared" si="519"/>
        <v>2.7998486532086341E-4</v>
      </c>
      <c r="S501" s="28">
        <f t="shared" si="519"/>
        <v>2.0740223875188879E-4</v>
      </c>
      <c r="T501" s="28">
        <f t="shared" si="519"/>
        <v>4.2978103944770042E-5</v>
      </c>
      <c r="U501" s="28">
        <f t="shared" si="519"/>
        <v>5.1469438551343671E-4</v>
      </c>
      <c r="V501" s="28">
        <f t="shared" si="519"/>
        <v>1.2804685636018246E-4</v>
      </c>
      <c r="W501" s="28">
        <f t="shared" si="519"/>
        <v>4.8376260993593194E-4</v>
      </c>
      <c r="X501" s="28">
        <f t="shared" si="519"/>
        <v>2.8773915494401776E-4</v>
      </c>
      <c r="Y501" s="28">
        <f t="shared" si="519"/>
        <v>3.6760852683571357E-4</v>
      </c>
      <c r="Z501" s="28">
        <f t="shared" si="519"/>
        <v>1.3246420020117319E-5</v>
      </c>
      <c r="AA501" s="28">
        <f t="shared" si="519"/>
        <v>1.2855919886766039E-4</v>
      </c>
      <c r="AB501" s="28">
        <f t="shared" si="519"/>
        <v>5.2829388520740086E-4</v>
      </c>
      <c r="AC501" s="28">
        <f t="shared" si="519"/>
        <v>3.0362653623987072E-3</v>
      </c>
      <c r="AD501" s="28">
        <f t="shared" si="519"/>
        <v>2.7155560024561692E-4</v>
      </c>
      <c r="AE501" s="28">
        <f t="shared" si="519"/>
        <v>5.6304418958161436E-4</v>
      </c>
      <c r="AF501" s="28">
        <f t="shared" si="519"/>
        <v>1.7015913333053598E-4</v>
      </c>
      <c r="AG501" s="28">
        <f t="shared" si="519"/>
        <v>1.6206896643285241E-4</v>
      </c>
      <c r="AH501" s="28">
        <f t="shared" si="519"/>
        <v>5.0196253924028155E-4</v>
      </c>
      <c r="AI501" s="28">
        <f t="shared" si="519"/>
        <v>7.8243900436490493E-4</v>
      </c>
      <c r="AJ501" s="28">
        <f t="shared" si="519"/>
        <v>0.20899691334302464</v>
      </c>
      <c r="AK501" s="28">
        <f t="shared" si="519"/>
        <v>2.8991324570803046E-4</v>
      </c>
      <c r="AL501" s="28">
        <f t="shared" ref="AL501:BR501" si="520">AL498*AL$161</f>
        <v>3.2803578867204039E-3</v>
      </c>
      <c r="AM501" s="28">
        <f t="shared" si="520"/>
        <v>6.292781976418979E-4</v>
      </c>
      <c r="AN501" s="28">
        <f t="shared" si="520"/>
        <v>0</v>
      </c>
      <c r="AO501" s="28">
        <f t="shared" si="520"/>
        <v>2.1190339440637862E-2</v>
      </c>
      <c r="AP501" s="28">
        <f t="shared" si="520"/>
        <v>2.1070823660666172E-4</v>
      </c>
      <c r="AQ501" s="28">
        <f t="shared" si="520"/>
        <v>3.2730517913087823E-5</v>
      </c>
      <c r="AR501" s="28">
        <f t="shared" si="520"/>
        <v>1.4994888214039777E-4</v>
      </c>
      <c r="AS501" s="28">
        <f t="shared" si="520"/>
        <v>5.394542399821095E-6</v>
      </c>
      <c r="AT501" s="28">
        <f t="shared" si="520"/>
        <v>5.6631250277823109E-3</v>
      </c>
      <c r="AU501" s="28">
        <f t="shared" si="520"/>
        <v>2.7741379218942245E-3</v>
      </c>
      <c r="AV501" s="28">
        <f t="shared" si="520"/>
        <v>3.9283804225994038E-3</v>
      </c>
      <c r="AW501" s="28">
        <f t="shared" si="520"/>
        <v>1.7603612296311253E-3</v>
      </c>
      <c r="AX501" s="28">
        <f t="shared" si="520"/>
        <v>8.2666398721573141E-4</v>
      </c>
      <c r="AY501" s="28">
        <f t="shared" si="520"/>
        <v>2.5622722161735226E-2</v>
      </c>
      <c r="AZ501" s="28">
        <f t="shared" si="520"/>
        <v>7.4388506739731129E-3</v>
      </c>
      <c r="BA501" s="28">
        <f t="shared" si="520"/>
        <v>8.2002223039187279E-4</v>
      </c>
      <c r="BB501" s="28">
        <f t="shared" si="520"/>
        <v>4.8416641872566675E-6</v>
      </c>
      <c r="BC501" s="28">
        <f t="shared" si="520"/>
        <v>2.3453175527578143E-3</v>
      </c>
      <c r="BD501" s="28">
        <f t="shared" si="520"/>
        <v>4.11375811399384E-4</v>
      </c>
      <c r="BE501" s="28">
        <f t="shared" si="520"/>
        <v>3.5502334759052977E-3</v>
      </c>
      <c r="BF501" s="28">
        <f t="shared" si="520"/>
        <v>0</v>
      </c>
      <c r="BG501" s="28">
        <f t="shared" si="520"/>
        <v>2.2108271396915323E-5</v>
      </c>
      <c r="BH501" s="28">
        <f t="shared" si="520"/>
        <v>1.4071451272913427E-3</v>
      </c>
      <c r="BI501" s="28">
        <f t="shared" si="520"/>
        <v>0</v>
      </c>
      <c r="BJ501" s="28">
        <f t="shared" si="520"/>
        <v>1.4554882538855913E-5</v>
      </c>
      <c r="BK501" s="28">
        <f t="shared" si="520"/>
        <v>1.1289434283838517E-5</v>
      </c>
      <c r="BL501" s="28">
        <f t="shared" si="520"/>
        <v>3.423461645639829E-9</v>
      </c>
      <c r="BM501" s="28">
        <f t="shared" si="520"/>
        <v>1.2662599241563023E-5</v>
      </c>
      <c r="BN501" s="28">
        <f t="shared" si="520"/>
        <v>0</v>
      </c>
      <c r="BO501" s="28">
        <f t="shared" si="520"/>
        <v>0</v>
      </c>
      <c r="BP501" s="28">
        <f t="shared" si="520"/>
        <v>5.3562046797889599E-5</v>
      </c>
      <c r="BQ501" s="28">
        <f t="shared" si="520"/>
        <v>8.9884895760212714E-6</v>
      </c>
      <c r="BR501" s="28">
        <f t="shared" si="520"/>
        <v>0</v>
      </c>
    </row>
    <row r="502" spans="1:75" x14ac:dyDescent="0.3">
      <c r="B502" s="2" t="s">
        <v>21</v>
      </c>
      <c r="C502" s="28"/>
      <c r="D502" s="328"/>
      <c r="E502" s="30">
        <f t="shared" ref="E502:E504" si="521">SUM(F502:BR502)</f>
        <v>0.12779316770287652</v>
      </c>
      <c r="F502" s="28">
        <f>F498*F$160</f>
        <v>1.1978610607693832E-4</v>
      </c>
      <c r="G502" s="28">
        <f t="shared" ref="G502:BR502" si="522">G498*G$160</f>
        <v>2.3395870919244231E-4</v>
      </c>
      <c r="H502" s="28">
        <f t="shared" si="522"/>
        <v>1.4224089153981589E-5</v>
      </c>
      <c r="I502" s="28">
        <f t="shared" si="522"/>
        <v>9.8743652243672687E-4</v>
      </c>
      <c r="J502" s="28">
        <f t="shared" si="522"/>
        <v>5.8869565709632454E-5</v>
      </c>
      <c r="K502" s="28">
        <f t="shared" si="522"/>
        <v>6.7150692686395743E-5</v>
      </c>
      <c r="L502" s="28">
        <f t="shared" si="522"/>
        <v>2.9972837928082238E-4</v>
      </c>
      <c r="M502" s="28">
        <f t="shared" si="522"/>
        <v>4.2143286153575513E-4</v>
      </c>
      <c r="N502" s="28">
        <f t="shared" si="522"/>
        <v>5.4277246875705028E-4</v>
      </c>
      <c r="O502" s="28">
        <f t="shared" si="522"/>
        <v>9.217379756976963E-4</v>
      </c>
      <c r="P502" s="28">
        <f t="shared" si="522"/>
        <v>5.4149653004257688E-5</v>
      </c>
      <c r="Q502" s="28">
        <f t="shared" si="522"/>
        <v>9.0181844720409628E-7</v>
      </c>
      <c r="R502" s="28">
        <f t="shared" si="522"/>
        <v>2.8568064478566455E-4</v>
      </c>
      <c r="S502" s="28">
        <f t="shared" si="522"/>
        <v>4.4100796110873084E-4</v>
      </c>
      <c r="T502" s="28">
        <f t="shared" si="522"/>
        <v>1.5040332158635845E-5</v>
      </c>
      <c r="U502" s="28">
        <f t="shared" si="522"/>
        <v>2.2437843492798632E-4</v>
      </c>
      <c r="V502" s="28">
        <f t="shared" si="522"/>
        <v>1.8079623953638063E-5</v>
      </c>
      <c r="W502" s="28">
        <f t="shared" si="522"/>
        <v>6.5085848146506523E-5</v>
      </c>
      <c r="X502" s="28">
        <f t="shared" si="522"/>
        <v>1.4851280626726818E-4</v>
      </c>
      <c r="Y502" s="28">
        <f t="shared" si="522"/>
        <v>4.6322020399110421E-5</v>
      </c>
      <c r="Z502" s="28">
        <f t="shared" si="522"/>
        <v>3.2576310009632956E-6</v>
      </c>
      <c r="AA502" s="28">
        <f t="shared" si="522"/>
        <v>8.3850482396927883E-5</v>
      </c>
      <c r="AB502" s="28">
        <f t="shared" si="522"/>
        <v>2.8990359428996239E-4</v>
      </c>
      <c r="AC502" s="28">
        <f t="shared" si="522"/>
        <v>1.8094590959107512E-3</v>
      </c>
      <c r="AD502" s="28">
        <f t="shared" si="522"/>
        <v>4.4968865138236427E-5</v>
      </c>
      <c r="AE502" s="28">
        <f t="shared" si="522"/>
        <v>2.0802008818192317E-4</v>
      </c>
      <c r="AF502" s="28">
        <f t="shared" si="522"/>
        <v>2.0909549975689645E-4</v>
      </c>
      <c r="AG502" s="28">
        <f t="shared" si="522"/>
        <v>6.3368675615356094E-5</v>
      </c>
      <c r="AH502" s="28">
        <f t="shared" si="522"/>
        <v>3.8934585280178251E-4</v>
      </c>
      <c r="AI502" s="28">
        <f t="shared" si="522"/>
        <v>1.0710983630169912E-3</v>
      </c>
      <c r="AJ502" s="28">
        <f t="shared" si="522"/>
        <v>6.9633193561276174E-2</v>
      </c>
      <c r="AK502" s="28">
        <f t="shared" si="522"/>
        <v>2.0648294059408438E-4</v>
      </c>
      <c r="AL502" s="28">
        <f t="shared" si="522"/>
        <v>9.7051460706960874E-3</v>
      </c>
      <c r="AM502" s="28">
        <f t="shared" si="522"/>
        <v>3.2393258063397479E-4</v>
      </c>
      <c r="AN502" s="28">
        <f t="shared" si="522"/>
        <v>7.0604033475968664E-5</v>
      </c>
      <c r="AO502" s="28">
        <f t="shared" si="522"/>
        <v>5.2249470040681839E-3</v>
      </c>
      <c r="AP502" s="28">
        <f t="shared" si="522"/>
        <v>5.8662796042707997E-5</v>
      </c>
      <c r="AQ502" s="28">
        <f t="shared" si="522"/>
        <v>2.5170633094533009E-4</v>
      </c>
      <c r="AR502" s="28">
        <f t="shared" si="522"/>
        <v>6.5264940550143716E-4</v>
      </c>
      <c r="AS502" s="28">
        <f t="shared" si="522"/>
        <v>7.8478298724260595E-4</v>
      </c>
      <c r="AT502" s="28">
        <f t="shared" si="522"/>
        <v>1.6577718824020537E-3</v>
      </c>
      <c r="AU502" s="28">
        <f t="shared" si="522"/>
        <v>5.9106371547746391E-4</v>
      </c>
      <c r="AV502" s="28">
        <f t="shared" si="522"/>
        <v>2.0939502879074611E-3</v>
      </c>
      <c r="AW502" s="28">
        <f t="shared" si="522"/>
        <v>3.6142503609367348E-4</v>
      </c>
      <c r="AX502" s="28">
        <f t="shared" si="522"/>
        <v>3.7581726635403206E-4</v>
      </c>
      <c r="AY502" s="28">
        <f t="shared" si="522"/>
        <v>1.8261639285313557E-2</v>
      </c>
      <c r="AZ502" s="28">
        <f t="shared" si="522"/>
        <v>1.0817597407626405E-3</v>
      </c>
      <c r="BA502" s="28">
        <f t="shared" si="522"/>
        <v>3.0097397370953743E-4</v>
      </c>
      <c r="BB502" s="28">
        <f t="shared" si="522"/>
        <v>9.7901091284981009E-5</v>
      </c>
      <c r="BC502" s="28">
        <f t="shared" si="522"/>
        <v>6.4534067427620616E-4</v>
      </c>
      <c r="BD502" s="28">
        <f t="shared" si="522"/>
        <v>1.1581521687167711E-4</v>
      </c>
      <c r="BE502" s="28">
        <f t="shared" si="522"/>
        <v>4.7802425972870294E-3</v>
      </c>
      <c r="BF502" s="28">
        <f t="shared" si="522"/>
        <v>2.1998371985758445E-5</v>
      </c>
      <c r="BG502" s="28">
        <f t="shared" si="522"/>
        <v>1.1915898942158561E-5</v>
      </c>
      <c r="BH502" s="28">
        <f t="shared" si="522"/>
        <v>7.0814741735706873E-4</v>
      </c>
      <c r="BI502" s="28">
        <f t="shared" si="522"/>
        <v>2.1385247243085591E-4</v>
      </c>
      <c r="BJ502" s="28">
        <f t="shared" si="522"/>
        <v>1.0643617907263494E-4</v>
      </c>
      <c r="BK502" s="28">
        <f t="shared" si="522"/>
        <v>4.3660488633964276E-5</v>
      </c>
      <c r="BL502" s="28">
        <f t="shared" si="522"/>
        <v>1.3605295149692883E-7</v>
      </c>
      <c r="BM502" s="28">
        <f t="shared" si="522"/>
        <v>2.9112585597954698E-5</v>
      </c>
      <c r="BN502" s="28">
        <f t="shared" si="522"/>
        <v>9.5179566945785205E-5</v>
      </c>
      <c r="BO502" s="28">
        <f t="shared" si="522"/>
        <v>4.6396650741536158E-5</v>
      </c>
      <c r="BP502" s="28">
        <f t="shared" si="522"/>
        <v>8.3430392131767344E-5</v>
      </c>
      <c r="BQ502" s="28">
        <f t="shared" si="522"/>
        <v>1.8468486032387937E-5</v>
      </c>
      <c r="BR502" s="28">
        <f t="shared" si="522"/>
        <v>0</v>
      </c>
    </row>
    <row r="503" spans="1:75" x14ac:dyDescent="0.3">
      <c r="B503" s="3" t="s">
        <v>44</v>
      </c>
      <c r="C503" s="28"/>
      <c r="D503" s="328"/>
      <c r="E503" s="30">
        <f t="shared" si="521"/>
        <v>0.83648636674639942</v>
      </c>
      <c r="F503" s="28">
        <f>F498*F$162</f>
        <v>3.1132820175644937E-4</v>
      </c>
      <c r="G503" s="28">
        <f t="shared" ref="G503:BR503" si="523">G498*G$162</f>
        <v>1.1036144716860383E-3</v>
      </c>
      <c r="H503" s="28">
        <f t="shared" si="523"/>
        <v>3.9410062726159869E-5</v>
      </c>
      <c r="I503" s="28">
        <f t="shared" si="523"/>
        <v>8.1142839806357791E-3</v>
      </c>
      <c r="J503" s="28">
        <f t="shared" si="523"/>
        <v>3.3562024193004893E-4</v>
      </c>
      <c r="K503" s="28">
        <f t="shared" si="523"/>
        <v>5.9817595251017788E-4</v>
      </c>
      <c r="L503" s="28">
        <f t="shared" si="523"/>
        <v>1.9055278229862642E-3</v>
      </c>
      <c r="M503" s="28">
        <f t="shared" si="523"/>
        <v>2.365017882208022E-3</v>
      </c>
      <c r="N503" s="28">
        <f t="shared" si="523"/>
        <v>3.4287647827780494E-3</v>
      </c>
      <c r="O503" s="28">
        <f t="shared" si="523"/>
        <v>9.6480788764365024E-3</v>
      </c>
      <c r="P503" s="28">
        <f t="shared" si="523"/>
        <v>6.4461417328111391E-4</v>
      </c>
      <c r="Q503" s="28">
        <f t="shared" si="523"/>
        <v>1.5116650329702059E-5</v>
      </c>
      <c r="R503" s="28">
        <f t="shared" si="523"/>
        <v>1.9673640811128201E-3</v>
      </c>
      <c r="S503" s="28">
        <f t="shared" si="523"/>
        <v>1.7299019565539687E-3</v>
      </c>
      <c r="T503" s="28">
        <f t="shared" si="523"/>
        <v>1.7977763305716823E-4</v>
      </c>
      <c r="U503" s="28">
        <f t="shared" si="523"/>
        <v>2.515621493715934E-3</v>
      </c>
      <c r="V503" s="28">
        <f t="shared" si="523"/>
        <v>3.1910574101652248E-4</v>
      </c>
      <c r="W503" s="28">
        <f t="shared" si="523"/>
        <v>1.4448926268548492E-3</v>
      </c>
      <c r="X503" s="28">
        <f t="shared" si="523"/>
        <v>1.6842805626939422E-3</v>
      </c>
      <c r="Y503" s="28">
        <f t="shared" si="523"/>
        <v>8.289743489935179E-4</v>
      </c>
      <c r="Z503" s="28">
        <f t="shared" si="523"/>
        <v>3.6904932872474063E-5</v>
      </c>
      <c r="AA503" s="28">
        <f t="shared" si="523"/>
        <v>7.432808756539451E-4</v>
      </c>
      <c r="AB503" s="28">
        <f t="shared" si="523"/>
        <v>3.2079123446746654E-3</v>
      </c>
      <c r="AC503" s="28">
        <f t="shared" si="523"/>
        <v>6.1935971774544673E-3</v>
      </c>
      <c r="AD503" s="28">
        <f t="shared" si="523"/>
        <v>4.2988041662809118E-4</v>
      </c>
      <c r="AE503" s="28">
        <f t="shared" si="523"/>
        <v>1.1994866365420585E-3</v>
      </c>
      <c r="AF503" s="28">
        <f t="shared" si="523"/>
        <v>6.0543920935642959E-4</v>
      </c>
      <c r="AG503" s="28">
        <f t="shared" si="523"/>
        <v>3.9166567483867688E-4</v>
      </c>
      <c r="AH503" s="28">
        <f t="shared" si="523"/>
        <v>3.2001763019415988E-3</v>
      </c>
      <c r="AI503" s="28">
        <f t="shared" si="523"/>
        <v>7.1922011989215299E-3</v>
      </c>
      <c r="AJ503" s="28">
        <f t="shared" si="523"/>
        <v>0.54825429284063987</v>
      </c>
      <c r="AK503" s="28">
        <f t="shared" si="523"/>
        <v>1.8161414215901587E-3</v>
      </c>
      <c r="AL503" s="28">
        <f t="shared" si="523"/>
        <v>2.8421126014848464E-2</v>
      </c>
      <c r="AM503" s="28">
        <f t="shared" si="523"/>
        <v>1.2001386715459097E-3</v>
      </c>
      <c r="AN503" s="28">
        <f t="shared" si="523"/>
        <v>4.3035683140057188E-4</v>
      </c>
      <c r="AO503" s="28">
        <f t="shared" si="523"/>
        <v>4.0447030607486514E-2</v>
      </c>
      <c r="AP503" s="28">
        <f t="shared" si="523"/>
        <v>1.858379503637157E-3</v>
      </c>
      <c r="AQ503" s="28">
        <f t="shared" si="523"/>
        <v>1.7043086819665547E-3</v>
      </c>
      <c r="AR503" s="28">
        <f t="shared" si="523"/>
        <v>3.8606877863387717E-3</v>
      </c>
      <c r="AS503" s="28">
        <f t="shared" si="523"/>
        <v>1.6371149013822749E-3</v>
      </c>
      <c r="AT503" s="28">
        <f t="shared" si="523"/>
        <v>9.7170153505329489E-3</v>
      </c>
      <c r="AU503" s="28">
        <f t="shared" si="523"/>
        <v>1.1227288599839135E-2</v>
      </c>
      <c r="AV503" s="28">
        <f t="shared" si="523"/>
        <v>1.040085643175098E-2</v>
      </c>
      <c r="AW503" s="28">
        <f t="shared" si="523"/>
        <v>4.0434433024286115E-3</v>
      </c>
      <c r="AX503" s="28">
        <f t="shared" si="523"/>
        <v>2.5120859791323735E-3</v>
      </c>
      <c r="AY503" s="28">
        <f t="shared" si="523"/>
        <v>4.9331695255976665E-2</v>
      </c>
      <c r="AZ503" s="28">
        <f t="shared" si="523"/>
        <v>1.7318983404061763E-2</v>
      </c>
      <c r="BA503" s="28">
        <f t="shared" si="523"/>
        <v>3.1399672133190586E-3</v>
      </c>
      <c r="BB503" s="28">
        <f t="shared" si="523"/>
        <v>7.2928163949769907E-4</v>
      </c>
      <c r="BC503" s="28">
        <f t="shared" si="523"/>
        <v>7.8347825586765861E-3</v>
      </c>
      <c r="BD503" s="28">
        <f t="shared" si="523"/>
        <v>1.5605180605976926E-3</v>
      </c>
      <c r="BE503" s="28">
        <f t="shared" si="523"/>
        <v>9.9993473235235053E-3</v>
      </c>
      <c r="BF503" s="28">
        <f t="shared" si="523"/>
        <v>1.6749277806903705E-3</v>
      </c>
      <c r="BG503" s="28">
        <f t="shared" si="523"/>
        <v>1.3048124033549367E-4</v>
      </c>
      <c r="BH503" s="28">
        <f t="shared" si="523"/>
        <v>1.0346163512178879E-2</v>
      </c>
      <c r="BI503" s="28">
        <f t="shared" si="523"/>
        <v>1.2498239548569998E-3</v>
      </c>
      <c r="BJ503" s="28">
        <f t="shared" si="523"/>
        <v>1.19888423068212E-3</v>
      </c>
      <c r="BK503" s="28">
        <f t="shared" si="523"/>
        <v>4.2649211198130226E-4</v>
      </c>
      <c r="BL503" s="28">
        <f t="shared" si="523"/>
        <v>1.6723860507585158E-6</v>
      </c>
      <c r="BM503" s="28">
        <f t="shared" si="523"/>
        <v>1.7203023645103723E-4</v>
      </c>
      <c r="BN503" s="28">
        <f t="shared" si="523"/>
        <v>3.0131390370217992E-4</v>
      </c>
      <c r="BO503" s="28">
        <f t="shared" si="523"/>
        <v>6.4636058087260805E-4</v>
      </c>
      <c r="BP503" s="28">
        <f t="shared" si="523"/>
        <v>4.3420250785992638E-4</v>
      </c>
      <c r="BQ503" s="28">
        <f t="shared" si="523"/>
        <v>7.9155608417554168E-5</v>
      </c>
      <c r="BR503" s="28">
        <f t="shared" si="523"/>
        <v>0</v>
      </c>
    </row>
    <row r="504" spans="1:75" x14ac:dyDescent="0.3">
      <c r="B504" s="3" t="s">
        <v>25</v>
      </c>
      <c r="C504" s="28"/>
      <c r="D504" s="328"/>
      <c r="E504" s="30">
        <f t="shared" si="521"/>
        <v>0.14525391577080071</v>
      </c>
      <c r="F504" s="28">
        <f>F498*F$164</f>
        <v>2.2600668488898787E-4</v>
      </c>
      <c r="G504" s="28">
        <f t="shared" ref="G504:BR504" si="524">G498*G$164</f>
        <v>1.6787210815634305E-4</v>
      </c>
      <c r="H504" s="28">
        <f t="shared" si="524"/>
        <v>2.5143129437596305E-5</v>
      </c>
      <c r="I504" s="28">
        <f t="shared" si="524"/>
        <v>0</v>
      </c>
      <c r="J504" s="28">
        <f t="shared" si="524"/>
        <v>1.1507103214340624E-3</v>
      </c>
      <c r="K504" s="28">
        <f t="shared" si="524"/>
        <v>2.508111852098338E-3</v>
      </c>
      <c r="L504" s="28">
        <f t="shared" si="524"/>
        <v>1.5775611698833547E-3</v>
      </c>
      <c r="M504" s="28">
        <f t="shared" si="524"/>
        <v>8.4292743578341135E-3</v>
      </c>
      <c r="N504" s="28">
        <f t="shared" si="524"/>
        <v>1.2866308374476972E-4</v>
      </c>
      <c r="O504" s="28">
        <f t="shared" si="524"/>
        <v>0</v>
      </c>
      <c r="P504" s="28">
        <f t="shared" si="524"/>
        <v>5.2093126716538842E-3</v>
      </c>
      <c r="Q504" s="28">
        <f t="shared" si="524"/>
        <v>4.8690463951143553E-4</v>
      </c>
      <c r="R504" s="28">
        <f t="shared" si="524"/>
        <v>1.0621015200962064E-2</v>
      </c>
      <c r="S504" s="28">
        <f t="shared" si="524"/>
        <v>3.3192602856865227E-3</v>
      </c>
      <c r="T504" s="28">
        <f t="shared" si="524"/>
        <v>6.2600553518583815E-3</v>
      </c>
      <c r="U504" s="28">
        <f t="shared" si="524"/>
        <v>5.0654324245704256E-3</v>
      </c>
      <c r="V504" s="28">
        <f t="shared" si="524"/>
        <v>3.8348531509441184E-3</v>
      </c>
      <c r="W504" s="28">
        <f t="shared" si="524"/>
        <v>8.0123738825439352E-3</v>
      </c>
      <c r="X504" s="28">
        <f t="shared" si="524"/>
        <v>1.1271908491387541E-2</v>
      </c>
      <c r="Y504" s="28">
        <f t="shared" si="524"/>
        <v>5.9330420357991999E-3</v>
      </c>
      <c r="Z504" s="28">
        <f t="shared" si="524"/>
        <v>2.3870257022154265E-4</v>
      </c>
      <c r="AA504" s="28">
        <f t="shared" si="524"/>
        <v>1.2882500972724508E-3</v>
      </c>
      <c r="AB504" s="28">
        <f t="shared" si="524"/>
        <v>2.5639121020425186E-4</v>
      </c>
      <c r="AC504" s="28">
        <f t="shared" si="524"/>
        <v>9.3022093893502342E-4</v>
      </c>
      <c r="AD504" s="28">
        <f t="shared" si="524"/>
        <v>0</v>
      </c>
      <c r="AE504" s="28">
        <f t="shared" si="524"/>
        <v>0</v>
      </c>
      <c r="AF504" s="28">
        <f t="shared" si="524"/>
        <v>0</v>
      </c>
      <c r="AG504" s="28">
        <f t="shared" si="524"/>
        <v>3.39205886057248E-4</v>
      </c>
      <c r="AH504" s="28">
        <f t="shared" si="524"/>
        <v>2.9412861714301074E-4</v>
      </c>
      <c r="AI504" s="28">
        <f t="shared" si="524"/>
        <v>8.6255754474339917E-5</v>
      </c>
      <c r="AJ504" s="28">
        <f t="shared" si="524"/>
        <v>0</v>
      </c>
      <c r="AK504" s="28">
        <f t="shared" si="524"/>
        <v>0</v>
      </c>
      <c r="AL504" s="28">
        <f t="shared" si="524"/>
        <v>5.4892953694335818E-3</v>
      </c>
      <c r="AM504" s="28">
        <f t="shared" si="524"/>
        <v>1.8622877051824326E-3</v>
      </c>
      <c r="AN504" s="28">
        <f t="shared" si="524"/>
        <v>1.9343680931390615E-3</v>
      </c>
      <c r="AO504" s="28">
        <f t="shared" si="524"/>
        <v>1.716591746899309E-2</v>
      </c>
      <c r="AP504" s="28">
        <f t="shared" si="524"/>
        <v>4.0503743747103831E-4</v>
      </c>
      <c r="AQ504" s="28">
        <f t="shared" si="524"/>
        <v>5.0678041420460743E-4</v>
      </c>
      <c r="AR504" s="28">
        <f t="shared" si="524"/>
        <v>2.4607200965238358E-3</v>
      </c>
      <c r="AS504" s="28">
        <f t="shared" si="524"/>
        <v>7.0647968573828591E-4</v>
      </c>
      <c r="AT504" s="28">
        <f t="shared" si="524"/>
        <v>4.7274375473815222E-3</v>
      </c>
      <c r="AU504" s="28">
        <f t="shared" si="524"/>
        <v>3.0839713889595807E-3</v>
      </c>
      <c r="AV504" s="28">
        <f t="shared" si="524"/>
        <v>2.6475236073430991E-3</v>
      </c>
      <c r="AW504" s="28">
        <f t="shared" si="524"/>
        <v>1.4421160459528613E-4</v>
      </c>
      <c r="AX504" s="28">
        <f t="shared" si="524"/>
        <v>1.8695454884633196E-4</v>
      </c>
      <c r="AY504" s="28">
        <f t="shared" si="524"/>
        <v>2.268404121012657E-4</v>
      </c>
      <c r="AZ504" s="28">
        <f t="shared" si="524"/>
        <v>1.38213782903913E-2</v>
      </c>
      <c r="BA504" s="28">
        <f t="shared" si="524"/>
        <v>8.5905373613323697E-4</v>
      </c>
      <c r="BB504" s="28">
        <f t="shared" si="524"/>
        <v>7.6040073589801405E-5</v>
      </c>
      <c r="BC504" s="28">
        <f t="shared" si="524"/>
        <v>3.4701702918687174E-3</v>
      </c>
      <c r="BD504" s="28">
        <f t="shared" si="524"/>
        <v>1.9772494889622411E-4</v>
      </c>
      <c r="BE504" s="28">
        <f t="shared" si="524"/>
        <v>7.4272445534676098E-3</v>
      </c>
      <c r="BF504" s="28">
        <f t="shared" si="524"/>
        <v>9.5670536498776601E-6</v>
      </c>
      <c r="BG504" s="28">
        <f t="shared" si="524"/>
        <v>0</v>
      </c>
      <c r="BH504" s="28">
        <f t="shared" si="524"/>
        <v>1.3627790305826022E-4</v>
      </c>
      <c r="BI504" s="28">
        <f t="shared" si="524"/>
        <v>6.5091996073557761E-6</v>
      </c>
      <c r="BJ504" s="28">
        <f t="shared" si="524"/>
        <v>2.6762234350001741E-5</v>
      </c>
      <c r="BK504" s="28">
        <f t="shared" si="524"/>
        <v>4.0589827943671647E-6</v>
      </c>
      <c r="BL504" s="28">
        <f t="shared" si="524"/>
        <v>0</v>
      </c>
      <c r="BM504" s="28">
        <f t="shared" si="524"/>
        <v>9.8302360210154935E-6</v>
      </c>
      <c r="BN504" s="28">
        <f t="shared" si="524"/>
        <v>8.0529308771564168E-7</v>
      </c>
      <c r="BO504" s="28">
        <f t="shared" si="524"/>
        <v>0</v>
      </c>
      <c r="BP504" s="28">
        <f t="shared" si="524"/>
        <v>0</v>
      </c>
      <c r="BQ504" s="28">
        <f t="shared" si="524"/>
        <v>1.1677269295462943E-8</v>
      </c>
      <c r="BR504" s="28">
        <f t="shared" si="524"/>
        <v>0</v>
      </c>
    </row>
    <row r="505" spans="1:75" x14ac:dyDescent="0.3">
      <c r="A505" s="73">
        <v>32</v>
      </c>
      <c r="B505" s="16" t="s">
        <v>361</v>
      </c>
      <c r="D505" s="244"/>
      <c r="E505" s="29"/>
    </row>
    <row r="506" spans="1:75" x14ac:dyDescent="0.3">
      <c r="A506" s="3">
        <f>A496+1</f>
        <v>10</v>
      </c>
      <c r="B506" s="7" t="s">
        <v>61</v>
      </c>
      <c r="D506" s="327" t="s">
        <v>235</v>
      </c>
      <c r="E506" s="88">
        <f>HLOOKUP(A505,$F$305:$BK$372,A505+2)</f>
        <v>1.0033089679249128</v>
      </c>
      <c r="BS506" s="20"/>
      <c r="BT506" s="20"/>
      <c r="BU506" s="20"/>
      <c r="BV506" s="20"/>
      <c r="BW506" s="20"/>
    </row>
    <row r="507" spans="1:75" x14ac:dyDescent="0.3">
      <c r="D507" s="327" t="s">
        <v>60</v>
      </c>
      <c r="E507" s="88">
        <f>HLOOKUP(A505,$F$305:$BK$372,68)-E506</f>
        <v>0.74219492063692316</v>
      </c>
      <c r="F507" s="32"/>
    </row>
    <row r="508" spans="1:75" x14ac:dyDescent="0.3">
      <c r="C508" s="29"/>
      <c r="D508" s="327" t="s">
        <v>201</v>
      </c>
      <c r="E508" s="30">
        <f>E507+E506</f>
        <v>1.7455038885618359</v>
      </c>
      <c r="F508" s="95">
        <f t="shared" ref="F508:BQ508" si="525">HLOOKUP($A505,$F$305:$BK$372,F$305+2)</f>
        <v>2.2916250893460833E-3</v>
      </c>
      <c r="G508" s="95">
        <f t="shared" si="525"/>
        <v>1.8876603253176333E-3</v>
      </c>
      <c r="H508" s="95">
        <f t="shared" si="525"/>
        <v>1.2951200832982736E-4</v>
      </c>
      <c r="I508" s="95">
        <f t="shared" si="525"/>
        <v>1.9575946923632067E-2</v>
      </c>
      <c r="J508" s="95">
        <f t="shared" si="525"/>
        <v>5.4563137553193131E-3</v>
      </c>
      <c r="K508" s="95">
        <f t="shared" si="525"/>
        <v>4.0649087468686129E-3</v>
      </c>
      <c r="L508" s="95">
        <f t="shared" si="525"/>
        <v>6.6846985981729497E-3</v>
      </c>
      <c r="M508" s="95">
        <f t="shared" si="525"/>
        <v>8.4451926622225518E-3</v>
      </c>
      <c r="N508" s="95">
        <f t="shared" si="525"/>
        <v>5.6927296150152823E-3</v>
      </c>
      <c r="O508" s="95">
        <f t="shared" si="525"/>
        <v>1.1994333915787095E-2</v>
      </c>
      <c r="P508" s="95">
        <f t="shared" si="525"/>
        <v>1.0211644325786671E-2</v>
      </c>
      <c r="Q508" s="95">
        <f t="shared" si="525"/>
        <v>7.5386668715649941E-4</v>
      </c>
      <c r="R508" s="95">
        <f t="shared" si="525"/>
        <v>1.5367113426225636E-2</v>
      </c>
      <c r="S508" s="95">
        <f t="shared" si="525"/>
        <v>3.7171533122709898E-3</v>
      </c>
      <c r="T508" s="95">
        <f t="shared" si="525"/>
        <v>4.1814369104992231E-3</v>
      </c>
      <c r="U508" s="95">
        <f t="shared" si="525"/>
        <v>7.3452584197607577E-3</v>
      </c>
      <c r="V508" s="95">
        <f t="shared" si="525"/>
        <v>5.2382079178936369E-3</v>
      </c>
      <c r="W508" s="95">
        <f t="shared" si="525"/>
        <v>4.3612096105815944E-3</v>
      </c>
      <c r="X508" s="95">
        <f t="shared" si="525"/>
        <v>5.9684413846713196E-3</v>
      </c>
      <c r="Y508" s="95">
        <f t="shared" si="525"/>
        <v>2.5742612889343435E-3</v>
      </c>
      <c r="Z508" s="95">
        <f t="shared" si="525"/>
        <v>2.1354638398376596E-4</v>
      </c>
      <c r="AA508" s="95">
        <f t="shared" si="525"/>
        <v>2.6204276314066993E-3</v>
      </c>
      <c r="AB508" s="95">
        <f t="shared" si="525"/>
        <v>8.7929522242911548E-3</v>
      </c>
      <c r="AC508" s="95">
        <f t="shared" si="525"/>
        <v>4.3707433946436676E-2</v>
      </c>
      <c r="AD508" s="95">
        <f t="shared" si="525"/>
        <v>6.4056963675631993E-3</v>
      </c>
      <c r="AE508" s="95">
        <f t="shared" si="525"/>
        <v>1.0467167624926152E-2</v>
      </c>
      <c r="AF508" s="95">
        <f t="shared" si="525"/>
        <v>3.2532706777530056E-3</v>
      </c>
      <c r="AG508" s="95">
        <f t="shared" si="525"/>
        <v>4.0366875488968054E-3</v>
      </c>
      <c r="AH508" s="95">
        <f t="shared" si="525"/>
        <v>1.8953671447122865E-2</v>
      </c>
      <c r="AI508" s="95">
        <f t="shared" si="525"/>
        <v>5.8632565779700059E-3</v>
      </c>
      <c r="AJ508" s="95">
        <f t="shared" si="525"/>
        <v>9.3786337653586106E-3</v>
      </c>
      <c r="AK508" s="95">
        <f t="shared" si="525"/>
        <v>1.0033089679249128</v>
      </c>
      <c r="AL508" s="95">
        <f t="shared" si="525"/>
        <v>3.6086270952325555E-2</v>
      </c>
      <c r="AM508" s="95">
        <f t="shared" si="525"/>
        <v>1.5936769721429014E-3</v>
      </c>
      <c r="AN508" s="95">
        <f t="shared" si="525"/>
        <v>2.8504418797764153E-3</v>
      </c>
      <c r="AO508" s="95">
        <f t="shared" si="525"/>
        <v>1.27496688903928E-2</v>
      </c>
      <c r="AP508" s="95">
        <f t="shared" si="525"/>
        <v>7.4885005836944985E-3</v>
      </c>
      <c r="AQ508" s="95">
        <f t="shared" si="525"/>
        <v>2.8570842733785708E-3</v>
      </c>
      <c r="AR508" s="95">
        <f t="shared" si="525"/>
        <v>8.8249283773088778E-3</v>
      </c>
      <c r="AS508" s="95">
        <f t="shared" si="525"/>
        <v>2.0510033066251437E-3</v>
      </c>
      <c r="AT508" s="95">
        <f t="shared" si="525"/>
        <v>1.7542185311711384E-2</v>
      </c>
      <c r="AU508" s="95">
        <f t="shared" si="525"/>
        <v>1.3143702458405271E-2</v>
      </c>
      <c r="AV508" s="95">
        <f t="shared" si="525"/>
        <v>4.5599565998359487E-2</v>
      </c>
      <c r="AW508" s="95">
        <f t="shared" si="525"/>
        <v>3.344905687491392E-3</v>
      </c>
      <c r="AX508" s="95">
        <f t="shared" si="525"/>
        <v>1.053638600671389E-2</v>
      </c>
      <c r="AY508" s="95">
        <f t="shared" si="525"/>
        <v>0.19086550742864936</v>
      </c>
      <c r="AZ508" s="95">
        <f t="shared" si="525"/>
        <v>4.7014145374572144E-2</v>
      </c>
      <c r="BA508" s="95">
        <f t="shared" si="525"/>
        <v>3.4653084422759939E-3</v>
      </c>
      <c r="BB508" s="95">
        <f t="shared" si="525"/>
        <v>6.5857764248362309E-4</v>
      </c>
      <c r="BC508" s="95">
        <f t="shared" si="525"/>
        <v>3.2770926276937493E-2</v>
      </c>
      <c r="BD508" s="95">
        <f t="shared" si="525"/>
        <v>2.5609942277836245E-3</v>
      </c>
      <c r="BE508" s="95">
        <f t="shared" si="525"/>
        <v>1.223595136256201E-2</v>
      </c>
      <c r="BF508" s="95">
        <f t="shared" si="525"/>
        <v>2.1826855490051662E-3</v>
      </c>
      <c r="BG508" s="95">
        <f t="shared" si="525"/>
        <v>6.5985306184642453E-4</v>
      </c>
      <c r="BH508" s="95">
        <f t="shared" si="525"/>
        <v>3.3922490819387578E-2</v>
      </c>
      <c r="BI508" s="95">
        <f t="shared" si="525"/>
        <v>2.1197786163730625E-3</v>
      </c>
      <c r="BJ508" s="95">
        <f t="shared" si="525"/>
        <v>2.2835006755710504E-3</v>
      </c>
      <c r="BK508" s="95">
        <f t="shared" si="525"/>
        <v>1.2645053654998326E-3</v>
      </c>
      <c r="BL508" s="95">
        <f t="shared" si="525"/>
        <v>2.868365622860668E-6</v>
      </c>
      <c r="BM508" s="95">
        <f t="shared" si="525"/>
        <v>2.0199750657624759E-4</v>
      </c>
      <c r="BN508" s="95">
        <f t="shared" si="525"/>
        <v>7.3976974140631149E-4</v>
      </c>
      <c r="BO508" s="95">
        <f t="shared" si="525"/>
        <v>2.8129563785511675E-3</v>
      </c>
      <c r="BP508" s="95">
        <f t="shared" si="525"/>
        <v>1.6484289537038429E-3</v>
      </c>
      <c r="BQ508" s="95">
        <f t="shared" si="525"/>
        <v>4.8209503028794347E-4</v>
      </c>
      <c r="BR508" s="95">
        <f t="shared" ref="BR508" si="526">HLOOKUP($A505,$F$305:$BK$372,BR$305+2)</f>
        <v>0</v>
      </c>
    </row>
    <row r="509" spans="1:75" x14ac:dyDescent="0.3">
      <c r="B509" s="3" t="s">
        <v>110</v>
      </c>
      <c r="C509" s="29"/>
      <c r="D509" s="327"/>
      <c r="E509" s="30">
        <f>SUM(F509:BR509)</f>
        <v>1.666484866098383E-2</v>
      </c>
      <c r="F509" s="28">
        <f>F508*F$155</f>
        <v>5.2743461782855701E-5</v>
      </c>
      <c r="G509" s="28">
        <f t="shared" ref="G509:BR509" si="527">G508*G$155</f>
        <v>2.2787109949747021E-5</v>
      </c>
      <c r="H509" s="28">
        <f t="shared" si="527"/>
        <v>2.5968343263929395E-6</v>
      </c>
      <c r="I509" s="28">
        <f t="shared" si="527"/>
        <v>3.3151069454134114E-4</v>
      </c>
      <c r="J509" s="28">
        <f t="shared" si="527"/>
        <v>5.7034047136462082E-6</v>
      </c>
      <c r="K509" s="28">
        <f t="shared" si="527"/>
        <v>1.7123908665967707E-5</v>
      </c>
      <c r="L509" s="28">
        <f t="shared" si="527"/>
        <v>2.1101371517135622E-5</v>
      </c>
      <c r="M509" s="28">
        <f t="shared" si="527"/>
        <v>4.3794158415292238E-5</v>
      </c>
      <c r="N509" s="28">
        <f t="shared" si="527"/>
        <v>1.1824944644618839E-5</v>
      </c>
      <c r="O509" s="28">
        <f t="shared" si="527"/>
        <v>1.3961071078866987E-4</v>
      </c>
      <c r="P509" s="28">
        <f t="shared" si="527"/>
        <v>1.1469186797287241E-5</v>
      </c>
      <c r="Q509" s="28">
        <f t="shared" si="527"/>
        <v>1.3485417857244041E-7</v>
      </c>
      <c r="R509" s="28">
        <f t="shared" si="527"/>
        <v>2.6560948646911347E-5</v>
      </c>
      <c r="S509" s="28">
        <f t="shared" si="527"/>
        <v>1.1338343886750221E-5</v>
      </c>
      <c r="T509" s="28">
        <f t="shared" si="527"/>
        <v>2.7704234933150308E-6</v>
      </c>
      <c r="U509" s="28">
        <f t="shared" si="527"/>
        <v>1.7058669893247544E-5</v>
      </c>
      <c r="V509" s="28">
        <f t="shared" si="527"/>
        <v>3.6479592231072831E-6</v>
      </c>
      <c r="W509" s="28">
        <f t="shared" si="527"/>
        <v>3.8530277296243559E-6</v>
      </c>
      <c r="X509" s="28">
        <f t="shared" si="527"/>
        <v>5.1986667167858296E-6</v>
      </c>
      <c r="Y509" s="28">
        <f t="shared" si="527"/>
        <v>1.9335713539753099E-6</v>
      </c>
      <c r="Z509" s="28">
        <f t="shared" si="527"/>
        <v>1.3611613766974405E-7</v>
      </c>
      <c r="AA509" s="28">
        <f t="shared" si="527"/>
        <v>1.1379722460666889E-5</v>
      </c>
      <c r="AB509" s="28">
        <f t="shared" si="527"/>
        <v>4.0302321783857686E-5</v>
      </c>
      <c r="AC509" s="28">
        <f t="shared" si="527"/>
        <v>7.9172827094510956E-5</v>
      </c>
      <c r="AD509" s="28">
        <f t="shared" si="527"/>
        <v>6.2471200809046457E-7</v>
      </c>
      <c r="AE509" s="28">
        <f t="shared" si="527"/>
        <v>3.309258220990931E-4</v>
      </c>
      <c r="AF509" s="28">
        <f t="shared" si="527"/>
        <v>2.3018448355121481E-5</v>
      </c>
      <c r="AG509" s="28">
        <f t="shared" si="527"/>
        <v>1.920148829194836E-5</v>
      </c>
      <c r="AH509" s="28">
        <f t="shared" si="527"/>
        <v>2.194498416983369E-4</v>
      </c>
      <c r="AI509" s="28">
        <f t="shared" si="527"/>
        <v>3.6985340871426801E-5</v>
      </c>
      <c r="AJ509" s="28">
        <f t="shared" si="527"/>
        <v>5.2114125332639445E-5</v>
      </c>
      <c r="AK509" s="28">
        <f t="shared" si="527"/>
        <v>5.4189805562182376E-3</v>
      </c>
      <c r="AL509" s="28">
        <f t="shared" si="527"/>
        <v>3.0607675674909035E-3</v>
      </c>
      <c r="AM509" s="28">
        <f t="shared" si="527"/>
        <v>0</v>
      </c>
      <c r="AN509" s="28">
        <f t="shared" si="527"/>
        <v>2.5290391438379261E-6</v>
      </c>
      <c r="AO509" s="28">
        <f t="shared" si="527"/>
        <v>3.2083485388290519E-5</v>
      </c>
      <c r="AP509" s="28">
        <f t="shared" si="527"/>
        <v>1.5037439657345481E-4</v>
      </c>
      <c r="AQ509" s="28">
        <f t="shared" si="527"/>
        <v>1.1478058008442455E-5</v>
      </c>
      <c r="AR509" s="28">
        <f t="shared" si="527"/>
        <v>1.7058488677114668E-5</v>
      </c>
      <c r="AS509" s="28">
        <f t="shared" si="527"/>
        <v>1.7099914357240208E-5</v>
      </c>
      <c r="AT509" s="28">
        <f t="shared" si="527"/>
        <v>1.9806583681902242E-5</v>
      </c>
      <c r="AU509" s="28">
        <f t="shared" si="527"/>
        <v>4.4401485301600844E-5</v>
      </c>
      <c r="AV509" s="28">
        <f t="shared" si="527"/>
        <v>1.3570263096965587E-3</v>
      </c>
      <c r="AW509" s="28">
        <f t="shared" si="527"/>
        <v>1.2899757709347514E-4</v>
      </c>
      <c r="AX509" s="28">
        <f t="shared" si="527"/>
        <v>2.9740163869366483E-4</v>
      </c>
      <c r="AY509" s="28">
        <f t="shared" si="527"/>
        <v>3.2886497016554523E-3</v>
      </c>
      <c r="AZ509" s="28">
        <f t="shared" si="527"/>
        <v>1.7905309766945581E-4</v>
      </c>
      <c r="BA509" s="28">
        <f t="shared" si="527"/>
        <v>3.3363828757080715E-5</v>
      </c>
      <c r="BB509" s="28">
        <f t="shared" si="527"/>
        <v>1.7977502935182782E-5</v>
      </c>
      <c r="BC509" s="28">
        <f t="shared" si="527"/>
        <v>1.2725810957433519E-4</v>
      </c>
      <c r="BD509" s="28">
        <f t="shared" si="527"/>
        <v>2.1268197812801933E-5</v>
      </c>
      <c r="BE509" s="28">
        <f t="shared" si="527"/>
        <v>2.2070605569994937E-5</v>
      </c>
      <c r="BF509" s="28">
        <f t="shared" si="527"/>
        <v>4.3238400019859825E-6</v>
      </c>
      <c r="BG509" s="28">
        <f t="shared" si="527"/>
        <v>1.0763036911620589E-6</v>
      </c>
      <c r="BH509" s="28">
        <f t="shared" si="527"/>
        <v>3.306730651925615E-4</v>
      </c>
      <c r="BI509" s="28">
        <f t="shared" si="527"/>
        <v>1.0556850375567387E-4</v>
      </c>
      <c r="BJ509" s="28">
        <f t="shared" si="527"/>
        <v>9.3837271378076779E-5</v>
      </c>
      <c r="BK509" s="28">
        <f t="shared" si="527"/>
        <v>5.926457160901083E-5</v>
      </c>
      <c r="BL509" s="28">
        <f t="shared" si="527"/>
        <v>1.634892239580782E-7</v>
      </c>
      <c r="BM509" s="28">
        <f t="shared" si="527"/>
        <v>9.1533474980431549E-6</v>
      </c>
      <c r="BN509" s="28">
        <f t="shared" si="527"/>
        <v>3.84142849249152E-5</v>
      </c>
      <c r="BO509" s="28">
        <f t="shared" si="527"/>
        <v>1.7085677500057895E-4</v>
      </c>
      <c r="BP509" s="28">
        <f t="shared" si="527"/>
        <v>4.4700029016972888E-5</v>
      </c>
      <c r="BQ509" s="28">
        <f t="shared" si="527"/>
        <v>1.3098017993267821E-5</v>
      </c>
      <c r="BR509" s="28">
        <f t="shared" si="527"/>
        <v>0</v>
      </c>
    </row>
    <row r="510" spans="1:75" x14ac:dyDescent="0.3">
      <c r="B510" s="3" t="s">
        <v>56</v>
      </c>
      <c r="C510" s="28"/>
      <c r="D510" s="328"/>
      <c r="E510" s="30">
        <f t="shared" ref="E510" si="528">SUM(F510:BR510)</f>
        <v>0.5128503777516179</v>
      </c>
      <c r="F510" s="28">
        <f>F508*F$157</f>
        <v>2.8478099647340422E-4</v>
      </c>
      <c r="G510" s="28">
        <f t="shared" ref="G510:BR510" si="529">G508*G$157</f>
        <v>2.2449351634888279E-4</v>
      </c>
      <c r="H510" s="28">
        <f t="shared" si="529"/>
        <v>9.0003958053826253E-6</v>
      </c>
      <c r="I510" s="28">
        <f t="shared" si="529"/>
        <v>5.0704275442418623E-3</v>
      </c>
      <c r="J510" s="28">
        <f t="shared" si="529"/>
        <v>4.1738738236290812E-4</v>
      </c>
      <c r="K510" s="28">
        <f t="shared" si="529"/>
        <v>4.3279432056840653E-4</v>
      </c>
      <c r="L510" s="28">
        <f t="shared" si="529"/>
        <v>7.4872867103253471E-4</v>
      </c>
      <c r="M510" s="28">
        <f t="shared" si="529"/>
        <v>3.9569487680761928E-4</v>
      </c>
      <c r="N510" s="28">
        <f t="shared" si="529"/>
        <v>1.0644988101892511E-3</v>
      </c>
      <c r="O510" s="28">
        <f t="shared" si="529"/>
        <v>1.1867685027971593E-3</v>
      </c>
      <c r="P510" s="28">
        <f t="shared" si="529"/>
        <v>2.9853258260681106E-4</v>
      </c>
      <c r="Q510" s="28">
        <f t="shared" si="529"/>
        <v>1.5156437026511239E-5</v>
      </c>
      <c r="R510" s="28">
        <f t="shared" si="529"/>
        <v>1.1807107781465328E-3</v>
      </c>
      <c r="S510" s="28">
        <f t="shared" si="529"/>
        <v>4.4528116900298002E-4</v>
      </c>
      <c r="T510" s="28">
        <f t="shared" si="529"/>
        <v>7.2488221239303246E-5</v>
      </c>
      <c r="U510" s="28">
        <f t="shared" si="529"/>
        <v>8.5114148915565655E-4</v>
      </c>
      <c r="V510" s="28">
        <f t="shared" si="529"/>
        <v>1.3491880389790317E-4</v>
      </c>
      <c r="W510" s="28">
        <f t="shared" si="529"/>
        <v>2.7052444179891935E-4</v>
      </c>
      <c r="X510" s="28">
        <f t="shared" si="529"/>
        <v>4.5903821685764419E-4</v>
      </c>
      <c r="Y510" s="28">
        <f t="shared" si="529"/>
        <v>1.2307384209111038E-4</v>
      </c>
      <c r="Z510" s="28">
        <f t="shared" si="529"/>
        <v>1.2912793060177475E-5</v>
      </c>
      <c r="AA510" s="28">
        <f t="shared" si="529"/>
        <v>3.7886060049807511E-4</v>
      </c>
      <c r="AB510" s="28">
        <f t="shared" si="529"/>
        <v>2.5297835692747444E-3</v>
      </c>
      <c r="AC510" s="28">
        <f t="shared" si="529"/>
        <v>3.811486680489615E-3</v>
      </c>
      <c r="AD510" s="28">
        <f t="shared" si="529"/>
        <v>1.7316102651572911E-4</v>
      </c>
      <c r="AE510" s="28">
        <f t="shared" si="529"/>
        <v>1.0919532266136362E-3</v>
      </c>
      <c r="AF510" s="28">
        <f t="shared" si="529"/>
        <v>6.904695397162169E-4</v>
      </c>
      <c r="AG510" s="28">
        <f t="shared" si="529"/>
        <v>3.3749191656625831E-4</v>
      </c>
      <c r="AH510" s="28">
        <f t="shared" si="529"/>
        <v>4.9069814681042432E-3</v>
      </c>
      <c r="AI510" s="28">
        <f t="shared" si="529"/>
        <v>1.8611266200670503E-3</v>
      </c>
      <c r="AJ510" s="28">
        <f t="shared" si="529"/>
        <v>2.4263630848366958E-3</v>
      </c>
      <c r="AK510" s="28">
        <f t="shared" si="529"/>
        <v>0.39304454740066924</v>
      </c>
      <c r="AL510" s="28">
        <f t="shared" si="529"/>
        <v>6.5095712367788383E-3</v>
      </c>
      <c r="AM510" s="28">
        <f t="shared" si="529"/>
        <v>3.1393404609027186E-5</v>
      </c>
      <c r="AN510" s="28">
        <f t="shared" si="529"/>
        <v>2.0316923025427708E-4</v>
      </c>
      <c r="AO510" s="28">
        <f t="shared" si="529"/>
        <v>1.3552798878654038E-3</v>
      </c>
      <c r="AP510" s="28">
        <f t="shared" si="529"/>
        <v>3.0066685587840816E-3</v>
      </c>
      <c r="AQ510" s="28">
        <f t="shared" si="529"/>
        <v>7.6374293861926725E-4</v>
      </c>
      <c r="AR510" s="28">
        <f t="shared" si="529"/>
        <v>2.3174762422471479E-3</v>
      </c>
      <c r="AS510" s="28">
        <f t="shared" si="529"/>
        <v>4.7175699889094499E-4</v>
      </c>
      <c r="AT510" s="28">
        <f t="shared" si="529"/>
        <v>1.5459690439175E-3</v>
      </c>
      <c r="AU510" s="28">
        <f t="shared" si="529"/>
        <v>5.2301802644287212E-3</v>
      </c>
      <c r="AV510" s="28">
        <f t="shared" si="529"/>
        <v>9.7084629073086147E-3</v>
      </c>
      <c r="AW510" s="28">
        <f t="shared" si="529"/>
        <v>7.7064188561358265E-4</v>
      </c>
      <c r="AX510" s="28">
        <f t="shared" si="529"/>
        <v>2.4621056187495677E-3</v>
      </c>
      <c r="AY510" s="28">
        <f t="shared" si="529"/>
        <v>1.2610305378878353E-2</v>
      </c>
      <c r="AZ510" s="28">
        <f t="shared" si="529"/>
        <v>9.9509929597876735E-3</v>
      </c>
      <c r="BA510" s="28">
        <f t="shared" si="529"/>
        <v>1.0417461864428885E-3</v>
      </c>
      <c r="BB510" s="28">
        <f t="shared" si="529"/>
        <v>3.9105010666479792E-4</v>
      </c>
      <c r="BC510" s="28">
        <f t="shared" si="529"/>
        <v>6.3898005973853436E-3</v>
      </c>
      <c r="BD510" s="28">
        <f t="shared" si="529"/>
        <v>8.2965148307016323E-4</v>
      </c>
      <c r="BE510" s="28">
        <f t="shared" si="529"/>
        <v>7.9945935329205184E-4</v>
      </c>
      <c r="BF510" s="28">
        <f t="shared" si="529"/>
        <v>1.6099107108251433E-3</v>
      </c>
      <c r="BG510" s="28">
        <f t="shared" si="529"/>
        <v>1.437237593569662E-4</v>
      </c>
      <c r="BH510" s="28">
        <f t="shared" si="529"/>
        <v>1.4506067070620087E-2</v>
      </c>
      <c r="BI510" s="28">
        <f t="shared" si="529"/>
        <v>1.1139157627110001E-3</v>
      </c>
      <c r="BJ510" s="28">
        <f t="shared" si="529"/>
        <v>1.4631989043863772E-3</v>
      </c>
      <c r="BK510" s="28">
        <f t="shared" si="529"/>
        <v>6.5696408592094051E-4</v>
      </c>
      <c r="BL510" s="28">
        <f t="shared" si="529"/>
        <v>1.6704905609821074E-6</v>
      </c>
      <c r="BM510" s="28">
        <f t="shared" si="529"/>
        <v>7.6623814320178076E-5</v>
      </c>
      <c r="BN510" s="28">
        <f t="shared" si="529"/>
        <v>2.0817621025115646E-4</v>
      </c>
      <c r="BO510" s="28">
        <f t="shared" si="529"/>
        <v>1.1200490280611555E-3</v>
      </c>
      <c r="BP510" s="28">
        <f t="shared" si="529"/>
        <v>4.6814419436874433E-4</v>
      </c>
      <c r="BQ510" s="28">
        <f t="shared" si="529"/>
        <v>1.4193051178448962E-4</v>
      </c>
      <c r="BR510" s="28">
        <f t="shared" si="529"/>
        <v>0</v>
      </c>
    </row>
    <row r="511" spans="1:75" x14ac:dyDescent="0.3">
      <c r="B511" s="2" t="s">
        <v>22</v>
      </c>
      <c r="C511" s="28"/>
      <c r="D511" s="328"/>
      <c r="E511" s="30">
        <f>SUM(F511:BR511)</f>
        <v>0.22315362169525593</v>
      </c>
      <c r="F511" s="28">
        <f t="shared" ref="F511:AK511" si="530">F508*F$161</f>
        <v>5.9285307425162455E-4</v>
      </c>
      <c r="G511" s="28">
        <f t="shared" si="530"/>
        <v>3.1032854536214554E-4</v>
      </c>
      <c r="H511" s="28">
        <f t="shared" si="530"/>
        <v>1.6290465287684553E-5</v>
      </c>
      <c r="I511" s="28">
        <f t="shared" si="530"/>
        <v>3.8221304669603276E-3</v>
      </c>
      <c r="J511" s="28">
        <f t="shared" si="530"/>
        <v>1.1685345923267291E-4</v>
      </c>
      <c r="K511" s="28">
        <f t="shared" si="530"/>
        <v>5.3673559027798566E-5</v>
      </c>
      <c r="L511" s="28">
        <f t="shared" si="530"/>
        <v>4.0124076340641071E-4</v>
      </c>
      <c r="M511" s="28">
        <f t="shared" si="530"/>
        <v>6.2154298972577323E-4</v>
      </c>
      <c r="N511" s="28">
        <f t="shared" si="530"/>
        <v>4.8983955246477352E-4</v>
      </c>
      <c r="O511" s="28">
        <f t="shared" si="530"/>
        <v>3.1115088430367028E-3</v>
      </c>
      <c r="P511" s="28">
        <f t="shared" si="530"/>
        <v>4.8388140025608356E-4</v>
      </c>
      <c r="Q511" s="28">
        <f t="shared" si="530"/>
        <v>4.3496754616564174E-6</v>
      </c>
      <c r="R511" s="28">
        <f t="shared" si="530"/>
        <v>2.345738577717658E-4</v>
      </c>
      <c r="S511" s="28">
        <f t="shared" si="530"/>
        <v>8.5953303777907731E-5</v>
      </c>
      <c r="T511" s="28">
        <f t="shared" si="530"/>
        <v>2.565487170945392E-5</v>
      </c>
      <c r="U511" s="28">
        <f t="shared" si="530"/>
        <v>2.465601227873597E-4</v>
      </c>
      <c r="V511" s="28">
        <f t="shared" si="530"/>
        <v>9.8703070609997863E-5</v>
      </c>
      <c r="W511" s="28">
        <f t="shared" si="530"/>
        <v>1.4607035644836181E-4</v>
      </c>
      <c r="X511" s="28">
        <f t="shared" si="530"/>
        <v>1.0448473690369702E-4</v>
      </c>
      <c r="Y511" s="28">
        <f t="shared" si="530"/>
        <v>1.0905212562765117E-4</v>
      </c>
      <c r="Z511" s="28">
        <f t="shared" si="530"/>
        <v>8.1836122770186308E-6</v>
      </c>
      <c r="AA511" s="28">
        <f t="shared" si="530"/>
        <v>9.1432155995091222E-5</v>
      </c>
      <c r="AB511" s="28">
        <f t="shared" si="530"/>
        <v>5.588224305921746E-4</v>
      </c>
      <c r="AC511" s="28">
        <f t="shared" si="530"/>
        <v>1.0887828876181171E-2</v>
      </c>
      <c r="AD511" s="28">
        <f t="shared" si="530"/>
        <v>4.1651835111128187E-4</v>
      </c>
      <c r="AE511" s="28">
        <f t="shared" si="530"/>
        <v>1.544586668959862E-3</v>
      </c>
      <c r="AF511" s="28">
        <f t="shared" si="530"/>
        <v>6.5728444218237519E-4</v>
      </c>
      <c r="AG511" s="28">
        <f t="shared" si="530"/>
        <v>3.3948369320529174E-4</v>
      </c>
      <c r="AH511" s="28">
        <f t="shared" si="530"/>
        <v>1.0711894994748633E-3</v>
      </c>
      <c r="AI511" s="28">
        <f t="shared" si="530"/>
        <v>2.7310131490285801E-4</v>
      </c>
      <c r="AJ511" s="28">
        <f t="shared" si="530"/>
        <v>1.8784460286891372E-3</v>
      </c>
      <c r="AK511" s="28">
        <f t="shared" si="530"/>
        <v>8.6520533527891394E-2</v>
      </c>
      <c r="AL511" s="28">
        <f t="shared" ref="AL511:BR511" si="531">AL508*AL$161</f>
        <v>1.3830304885662698E-3</v>
      </c>
      <c r="AM511" s="28">
        <f t="shared" si="531"/>
        <v>8.0805731831502933E-5</v>
      </c>
      <c r="AN511" s="28">
        <f t="shared" si="531"/>
        <v>0</v>
      </c>
      <c r="AO511" s="28">
        <f t="shared" si="531"/>
        <v>2.064962944246971E-3</v>
      </c>
      <c r="AP511" s="28">
        <f t="shared" si="531"/>
        <v>3.9917105971580937E-4</v>
      </c>
      <c r="AQ511" s="28">
        <f t="shared" si="531"/>
        <v>1.7526142426101177E-5</v>
      </c>
      <c r="AR511" s="28">
        <f t="shared" si="531"/>
        <v>1.1247790431781853E-4</v>
      </c>
      <c r="AS511" s="28">
        <f t="shared" si="531"/>
        <v>2.8433791259141401E-6</v>
      </c>
      <c r="AT511" s="28">
        <f t="shared" si="531"/>
        <v>3.648848322534932E-3</v>
      </c>
      <c r="AU511" s="28">
        <f t="shared" si="531"/>
        <v>1.8037052546499893E-3</v>
      </c>
      <c r="AV511" s="28">
        <f t="shared" si="531"/>
        <v>8.7360333804806824E-3</v>
      </c>
      <c r="AW511" s="28">
        <f t="shared" si="531"/>
        <v>7.0766280081613342E-4</v>
      </c>
      <c r="AX511" s="28">
        <f t="shared" si="531"/>
        <v>1.5484854715177594E-3</v>
      </c>
      <c r="AY511" s="28">
        <f t="shared" si="531"/>
        <v>7.0808603775946846E-2</v>
      </c>
      <c r="AZ511" s="28">
        <f t="shared" si="531"/>
        <v>8.3732988022043979E-3</v>
      </c>
      <c r="BA511" s="28">
        <f t="shared" si="531"/>
        <v>4.2064691687985074E-4</v>
      </c>
      <c r="BB511" s="28">
        <f t="shared" si="531"/>
        <v>2.562902329746809E-6</v>
      </c>
      <c r="BC511" s="28">
        <f t="shared" si="531"/>
        <v>3.0385371568528593E-3</v>
      </c>
      <c r="BD511" s="28">
        <f t="shared" si="531"/>
        <v>2.9571406445128896E-4</v>
      </c>
      <c r="BE511" s="28">
        <f t="shared" si="531"/>
        <v>1.719564913387467E-3</v>
      </c>
      <c r="BF511" s="28">
        <f t="shared" si="531"/>
        <v>0</v>
      </c>
      <c r="BG511" s="28">
        <f t="shared" si="531"/>
        <v>3.29590092978257E-5</v>
      </c>
      <c r="BH511" s="28">
        <f t="shared" si="531"/>
        <v>2.4768260647446438E-3</v>
      </c>
      <c r="BI511" s="28">
        <f t="shared" si="531"/>
        <v>0</v>
      </c>
      <c r="BJ511" s="28">
        <f t="shared" si="531"/>
        <v>1.975027788263586E-5</v>
      </c>
      <c r="BK511" s="28">
        <f t="shared" si="531"/>
        <v>1.996608183408552E-5</v>
      </c>
      <c r="BL511" s="28">
        <f t="shared" si="531"/>
        <v>3.7223069709668663E-9</v>
      </c>
      <c r="BM511" s="28">
        <f t="shared" si="531"/>
        <v>7.4485099203960687E-6</v>
      </c>
      <c r="BN511" s="28">
        <f t="shared" si="531"/>
        <v>0</v>
      </c>
      <c r="BO511" s="28">
        <f t="shared" si="531"/>
        <v>0</v>
      </c>
      <c r="BP511" s="28">
        <f t="shared" si="531"/>
        <v>8.4539917970833961E-5</v>
      </c>
      <c r="BQ511" s="28">
        <f t="shared" si="531"/>
        <v>2.4690857443858448E-5</v>
      </c>
      <c r="BR511" s="28">
        <f t="shared" si="531"/>
        <v>0</v>
      </c>
    </row>
    <row r="512" spans="1:75" x14ac:dyDescent="0.3">
      <c r="B512" s="2" t="s">
        <v>21</v>
      </c>
      <c r="C512" s="28"/>
      <c r="D512" s="328"/>
      <c r="E512" s="30">
        <f t="shared" ref="E512:E514" si="532">SUM(F512:BR512)</f>
        <v>0.1457405748997373</v>
      </c>
      <c r="F512" s="28">
        <f>F508*F$160</f>
        <v>2.4911866952232852E-4</v>
      </c>
      <c r="G512" s="28">
        <f t="shared" ref="G512:BR512" si="533">G508*G$160</f>
        <v>1.4900028458706481E-4</v>
      </c>
      <c r="H512" s="28">
        <f t="shared" si="533"/>
        <v>1.5714515111495551E-5</v>
      </c>
      <c r="I512" s="28">
        <f t="shared" si="533"/>
        <v>1.3209204218524941E-3</v>
      </c>
      <c r="J512" s="28">
        <f t="shared" si="533"/>
        <v>1.1339934885302496E-4</v>
      </c>
      <c r="K512" s="28">
        <f t="shared" si="533"/>
        <v>6.151319167196452E-5</v>
      </c>
      <c r="L512" s="28">
        <f t="shared" si="533"/>
        <v>2.1416884328032682E-4</v>
      </c>
      <c r="M512" s="28">
        <f t="shared" si="533"/>
        <v>2.237122856056759E-4</v>
      </c>
      <c r="N512" s="28">
        <f t="shared" si="533"/>
        <v>2.9130029594966948E-4</v>
      </c>
      <c r="O512" s="28">
        <f t="shared" si="533"/>
        <v>4.6621250120218666E-4</v>
      </c>
      <c r="P512" s="28">
        <f t="shared" si="533"/>
        <v>7.1648622457491559E-5</v>
      </c>
      <c r="Q512" s="28">
        <f t="shared" si="533"/>
        <v>1.2374197089711304E-6</v>
      </c>
      <c r="R512" s="28">
        <f t="shared" si="533"/>
        <v>2.3934583343032312E-4</v>
      </c>
      <c r="S512" s="28">
        <f t="shared" si="533"/>
        <v>1.8276606596807649E-4</v>
      </c>
      <c r="T512" s="28">
        <f t="shared" si="533"/>
        <v>8.9780087202830485E-6</v>
      </c>
      <c r="U512" s="28">
        <f t="shared" si="533"/>
        <v>1.0748664843408448E-4</v>
      </c>
      <c r="V512" s="28">
        <f t="shared" si="533"/>
        <v>1.3936417108737864E-5</v>
      </c>
      <c r="W512" s="28">
        <f t="shared" si="533"/>
        <v>1.9652434568606385E-5</v>
      </c>
      <c r="X512" s="28">
        <f t="shared" si="533"/>
        <v>5.3928432133903621E-5</v>
      </c>
      <c r="Y512" s="28">
        <f t="shared" si="533"/>
        <v>1.3741560434880667E-5</v>
      </c>
      <c r="Z512" s="28">
        <f t="shared" si="533"/>
        <v>2.0125580355290296E-6</v>
      </c>
      <c r="AA512" s="28">
        <f t="shared" si="533"/>
        <v>5.9635019930947423E-5</v>
      </c>
      <c r="AB512" s="28">
        <f t="shared" si="533"/>
        <v>3.066562679121748E-4</v>
      </c>
      <c r="AC512" s="28">
        <f t="shared" si="533"/>
        <v>6.4885899759306699E-3</v>
      </c>
      <c r="AD512" s="28">
        <f t="shared" si="533"/>
        <v>6.8974300444485731E-5</v>
      </c>
      <c r="AE512" s="28">
        <f t="shared" si="533"/>
        <v>5.7065690584678279E-4</v>
      </c>
      <c r="AF512" s="28">
        <f t="shared" si="533"/>
        <v>8.0768640642748949E-4</v>
      </c>
      <c r="AG512" s="28">
        <f t="shared" si="533"/>
        <v>1.3273751603976695E-4</v>
      </c>
      <c r="AH512" s="28">
        <f t="shared" si="533"/>
        <v>8.3086516738196991E-4</v>
      </c>
      <c r="AI512" s="28">
        <f t="shared" si="533"/>
        <v>3.7385453651773423E-4</v>
      </c>
      <c r="AJ512" s="28">
        <f t="shared" si="533"/>
        <v>6.2585707041250336E-4</v>
      </c>
      <c r="AK512" s="28">
        <f t="shared" si="533"/>
        <v>6.1621931557414279E-2</v>
      </c>
      <c r="AL512" s="28">
        <f t="shared" si="533"/>
        <v>4.0917830844308329E-3</v>
      </c>
      <c r="AM512" s="28">
        <f t="shared" si="533"/>
        <v>4.159624366501789E-5</v>
      </c>
      <c r="AN512" s="28">
        <f t="shared" si="533"/>
        <v>3.9840697903549287E-5</v>
      </c>
      <c r="AO512" s="28">
        <f t="shared" si="533"/>
        <v>5.0916229913541453E-4</v>
      </c>
      <c r="AP512" s="28">
        <f t="shared" si="533"/>
        <v>1.1113229762333745E-4</v>
      </c>
      <c r="AQ512" s="28">
        <f t="shared" si="533"/>
        <v>1.3478066608702297E-4</v>
      </c>
      <c r="AR512" s="28">
        <f t="shared" si="533"/>
        <v>4.8955775019609009E-4</v>
      </c>
      <c r="AS512" s="28">
        <f t="shared" si="533"/>
        <v>4.13646867317638E-4</v>
      </c>
      <c r="AT512" s="28">
        <f t="shared" si="533"/>
        <v>1.0681307798385464E-3</v>
      </c>
      <c r="AU512" s="28">
        <f t="shared" si="533"/>
        <v>3.8430127104556331E-4</v>
      </c>
      <c r="AV512" s="28">
        <f t="shared" si="533"/>
        <v>4.6565804846676181E-3</v>
      </c>
      <c r="AW512" s="28">
        <f t="shared" si="533"/>
        <v>1.4529236898765135E-4</v>
      </c>
      <c r="AX512" s="28">
        <f t="shared" si="533"/>
        <v>7.0397112477922673E-4</v>
      </c>
      <c r="AY512" s="28">
        <f t="shared" si="533"/>
        <v>5.0466190605778415E-2</v>
      </c>
      <c r="AZ512" s="28">
        <f t="shared" si="533"/>
        <v>1.2176474483205223E-3</v>
      </c>
      <c r="BA512" s="28">
        <f t="shared" si="533"/>
        <v>1.5439066089890355E-4</v>
      </c>
      <c r="BB512" s="28">
        <f t="shared" si="533"/>
        <v>5.1823283324653989E-5</v>
      </c>
      <c r="BC512" s="28">
        <f t="shared" si="533"/>
        <v>8.3608789577810274E-4</v>
      </c>
      <c r="BD512" s="28">
        <f t="shared" si="533"/>
        <v>8.3252800863348018E-5</v>
      </c>
      <c r="BE512" s="28">
        <f t="shared" si="533"/>
        <v>2.3153230635567976E-3</v>
      </c>
      <c r="BF512" s="28">
        <f t="shared" si="533"/>
        <v>2.1431083042144103E-5</v>
      </c>
      <c r="BG512" s="28">
        <f t="shared" si="533"/>
        <v>1.7764221226330357E-5</v>
      </c>
      <c r="BH512" s="28">
        <f t="shared" si="533"/>
        <v>1.2464655897773953E-3</v>
      </c>
      <c r="BI512" s="28">
        <f t="shared" si="533"/>
        <v>2.311825274011663E-4</v>
      </c>
      <c r="BJ512" s="28">
        <f t="shared" si="533"/>
        <v>1.4442879273251566E-4</v>
      </c>
      <c r="BK512" s="28">
        <f t="shared" si="533"/>
        <v>7.7216348230116577E-5</v>
      </c>
      <c r="BL512" s="28">
        <f t="shared" si="533"/>
        <v>1.4792946502632295E-7</v>
      </c>
      <c r="BM512" s="28">
        <f t="shared" si="533"/>
        <v>1.7124871323652404E-5</v>
      </c>
      <c r="BN512" s="28">
        <f t="shared" si="533"/>
        <v>9.425845209260633E-5</v>
      </c>
      <c r="BO512" s="28">
        <f t="shared" si="533"/>
        <v>8.6409685085926918E-5</v>
      </c>
      <c r="BP512" s="28">
        <f t="shared" si="533"/>
        <v>1.3168276659980115E-4</v>
      </c>
      <c r="BQ512" s="28">
        <f t="shared" si="533"/>
        <v>5.0731855666392138E-5</v>
      </c>
      <c r="BR512" s="28">
        <f t="shared" si="533"/>
        <v>0</v>
      </c>
    </row>
    <row r="513" spans="1:75" x14ac:dyDescent="0.3">
      <c r="B513" s="3" t="s">
        <v>44</v>
      </c>
      <c r="C513" s="28"/>
      <c r="D513" s="328"/>
      <c r="E513" s="30">
        <f t="shared" si="532"/>
        <v>0.88615114481053181</v>
      </c>
      <c r="F513" s="28">
        <f>F508*F$162</f>
        <v>6.4746797392788288E-4</v>
      </c>
      <c r="G513" s="28">
        <f t="shared" ref="G513:BR513" si="534">G508*G$162</f>
        <v>7.0285423835350364E-4</v>
      </c>
      <c r="H513" s="28">
        <f t="shared" si="534"/>
        <v>4.353952084741189E-5</v>
      </c>
      <c r="I513" s="28">
        <f t="shared" si="534"/>
        <v>1.0854696150272444E-2</v>
      </c>
      <c r="J513" s="28">
        <f t="shared" si="534"/>
        <v>6.464990260754527E-4</v>
      </c>
      <c r="K513" s="28">
        <f t="shared" si="534"/>
        <v>5.4795729646692193E-4</v>
      </c>
      <c r="L513" s="28">
        <f t="shared" si="534"/>
        <v>1.3615817450008125E-3</v>
      </c>
      <c r="M513" s="28">
        <f t="shared" si="534"/>
        <v>1.2554397253194823E-3</v>
      </c>
      <c r="N513" s="28">
        <f t="shared" si="534"/>
        <v>1.8401821268722489E-3</v>
      </c>
      <c r="O513" s="28">
        <f t="shared" si="534"/>
        <v>4.8799714272103273E-3</v>
      </c>
      <c r="P513" s="28">
        <f t="shared" si="534"/>
        <v>8.5292730368069145E-4</v>
      </c>
      <c r="Q513" s="28">
        <f t="shared" si="534"/>
        <v>2.0742136191149425E-5</v>
      </c>
      <c r="R513" s="28">
        <f t="shared" si="534"/>
        <v>1.6482754581015231E-3</v>
      </c>
      <c r="S513" s="28">
        <f t="shared" si="534"/>
        <v>7.1691988125333625E-4</v>
      </c>
      <c r="T513" s="28">
        <f t="shared" si="534"/>
        <v>1.0731446222564648E-4</v>
      </c>
      <c r="U513" s="28">
        <f t="shared" si="534"/>
        <v>1.2050878382098254E-3</v>
      </c>
      <c r="V513" s="28">
        <f t="shared" si="534"/>
        <v>2.459780535260665E-4</v>
      </c>
      <c r="W513" s="28">
        <f t="shared" si="534"/>
        <v>4.3628006112801746E-4</v>
      </c>
      <c r="X513" s="28">
        <f t="shared" si="534"/>
        <v>6.1160119657446734E-4</v>
      </c>
      <c r="Y513" s="28">
        <f t="shared" si="534"/>
        <v>2.4591762227795758E-4</v>
      </c>
      <c r="Z513" s="28">
        <f t="shared" si="534"/>
        <v>2.2799795060028027E-5</v>
      </c>
      <c r="AA513" s="28">
        <f t="shared" si="534"/>
        <v>5.2862629488627819E-4</v>
      </c>
      <c r="AB513" s="28">
        <f t="shared" si="534"/>
        <v>3.3932881371018849E-3</v>
      </c>
      <c r="AC513" s="28">
        <f t="shared" si="534"/>
        <v>2.2209793330727905E-2</v>
      </c>
      <c r="AD513" s="28">
        <f t="shared" si="534"/>
        <v>6.593606692221162E-4</v>
      </c>
      <c r="AE513" s="28">
        <f t="shared" si="534"/>
        <v>3.2905251535853258E-3</v>
      </c>
      <c r="AF513" s="28">
        <f t="shared" si="534"/>
        <v>2.3386683112928477E-3</v>
      </c>
      <c r="AG513" s="28">
        <f t="shared" si="534"/>
        <v>8.2041684304234722E-4</v>
      </c>
      <c r="AH513" s="28">
        <f t="shared" si="534"/>
        <v>6.829185413509937E-3</v>
      </c>
      <c r="AI513" s="28">
        <f t="shared" si="534"/>
        <v>2.5103549203374588E-3</v>
      </c>
      <c r="AJ513" s="28">
        <f t="shared" si="534"/>
        <v>4.9276617660279111E-3</v>
      </c>
      <c r="AK513" s="28">
        <f t="shared" si="534"/>
        <v>0.54200188188825182</v>
      </c>
      <c r="AL513" s="28">
        <f t="shared" si="534"/>
        <v>1.1982620541814584E-2</v>
      </c>
      <c r="AM513" s="28">
        <f t="shared" si="534"/>
        <v>1.541100327596954E-4</v>
      </c>
      <c r="AN513" s="28">
        <f t="shared" si="534"/>
        <v>2.4284330039578728E-4</v>
      </c>
      <c r="AO513" s="28">
        <f t="shared" si="534"/>
        <v>3.9414951158879864E-3</v>
      </c>
      <c r="AP513" s="28">
        <f t="shared" si="534"/>
        <v>3.5205615488385269E-3</v>
      </c>
      <c r="AQ513" s="28">
        <f t="shared" si="534"/>
        <v>9.1260262906633189E-4</v>
      </c>
      <c r="AR513" s="28">
        <f t="shared" si="534"/>
        <v>2.8959340358816438E-3</v>
      </c>
      <c r="AS513" s="28">
        <f t="shared" si="534"/>
        <v>8.6289772001193728E-4</v>
      </c>
      <c r="AT513" s="28">
        <f t="shared" si="534"/>
        <v>6.2608391988341686E-3</v>
      </c>
      <c r="AU513" s="28">
        <f t="shared" si="534"/>
        <v>7.2998243105282462E-3</v>
      </c>
      <c r="AV513" s="28">
        <f t="shared" si="534"/>
        <v>2.3129691933766527E-2</v>
      </c>
      <c r="AW513" s="28">
        <f t="shared" si="534"/>
        <v>1.6254586639228917E-3</v>
      </c>
      <c r="AX513" s="28">
        <f t="shared" si="534"/>
        <v>4.7055740930381255E-3</v>
      </c>
      <c r="AY513" s="28">
        <f t="shared" si="534"/>
        <v>0.13632854623825993</v>
      </c>
      <c r="AZ513" s="28">
        <f t="shared" si="534"/>
        <v>1.949454685251454E-2</v>
      </c>
      <c r="BA513" s="28">
        <f t="shared" si="534"/>
        <v>1.6107094154694873E-3</v>
      </c>
      <c r="BB513" s="28">
        <f t="shared" si="534"/>
        <v>3.8604032428140428E-4</v>
      </c>
      <c r="BC513" s="28">
        <f t="shared" si="534"/>
        <v>1.0150556325478472E-2</v>
      </c>
      <c r="BD513" s="28">
        <f t="shared" si="534"/>
        <v>1.1217653677283697E-3</v>
      </c>
      <c r="BE513" s="28">
        <f t="shared" si="534"/>
        <v>4.8432101525157714E-3</v>
      </c>
      <c r="BF513" s="28">
        <f t="shared" si="534"/>
        <v>1.6317351293453851E-3</v>
      </c>
      <c r="BG513" s="28">
        <f t="shared" si="534"/>
        <v>1.9452142305478491E-4</v>
      </c>
      <c r="BH513" s="28">
        <f t="shared" si="534"/>
        <v>1.8211090640239961E-2</v>
      </c>
      <c r="BI513" s="28">
        <f t="shared" si="534"/>
        <v>1.3511064773112848E-3</v>
      </c>
      <c r="BJ513" s="28">
        <f t="shared" si="534"/>
        <v>1.6268284296949893E-3</v>
      </c>
      <c r="BK513" s="28">
        <f t="shared" si="534"/>
        <v>7.5427839830742496E-4</v>
      </c>
      <c r="BL513" s="28">
        <f t="shared" si="534"/>
        <v>1.8183741777316517E-6</v>
      </c>
      <c r="BM513" s="28">
        <f t="shared" si="534"/>
        <v>1.0119319883454393E-4</v>
      </c>
      <c r="BN513" s="28">
        <f t="shared" si="534"/>
        <v>2.9839789219807762E-4</v>
      </c>
      <c r="BO513" s="28">
        <f t="shared" si="534"/>
        <v>1.2037897855234206E-3</v>
      </c>
      <c r="BP513" s="28">
        <f t="shared" si="534"/>
        <v>6.8532564738834581E-4</v>
      </c>
      <c r="BQ513" s="28">
        <f t="shared" si="534"/>
        <v>2.1743584690063464E-4</v>
      </c>
      <c r="BR513" s="28">
        <f t="shared" si="534"/>
        <v>0</v>
      </c>
    </row>
    <row r="514" spans="1:75" x14ac:dyDescent="0.3">
      <c r="B514" s="3" t="s">
        <v>25</v>
      </c>
      <c r="C514" s="28"/>
      <c r="D514" s="328"/>
      <c r="E514" s="30">
        <f t="shared" si="532"/>
        <v>9.7184006528483996E-2</v>
      </c>
      <c r="F514" s="28">
        <f>F508*F$164</f>
        <v>4.7002516808196317E-4</v>
      </c>
      <c r="G514" s="28">
        <f t="shared" ref="G514:BR514" si="535">G508*G$164</f>
        <v>1.0691199304297429E-4</v>
      </c>
      <c r="H514" s="28">
        <f t="shared" si="535"/>
        <v>2.7777672314912091E-5</v>
      </c>
      <c r="I514" s="28">
        <f t="shared" si="535"/>
        <v>0</v>
      </c>
      <c r="J514" s="28">
        <f t="shared" si="535"/>
        <v>2.2165918772478138E-3</v>
      </c>
      <c r="K514" s="28">
        <f t="shared" si="535"/>
        <v>2.2975483784414843E-3</v>
      </c>
      <c r="L514" s="28">
        <f t="shared" si="535"/>
        <v>1.1272354381942733E-3</v>
      </c>
      <c r="M514" s="28">
        <f t="shared" si="535"/>
        <v>4.4745733062118995E-3</v>
      </c>
      <c r="N514" s="28">
        <f t="shared" si="535"/>
        <v>6.9052128709617226E-5</v>
      </c>
      <c r="O514" s="28">
        <f t="shared" si="535"/>
        <v>0</v>
      </c>
      <c r="P514" s="28">
        <f t="shared" si="535"/>
        <v>6.8927510365580473E-3</v>
      </c>
      <c r="Q514" s="28">
        <f t="shared" si="535"/>
        <v>6.6810054638921884E-4</v>
      </c>
      <c r="R514" s="28">
        <f t="shared" si="535"/>
        <v>8.8983827975382609E-3</v>
      </c>
      <c r="S514" s="28">
        <f t="shared" si="535"/>
        <v>1.3755945421344217E-3</v>
      </c>
      <c r="T514" s="28">
        <f t="shared" si="535"/>
        <v>3.7368078673826774E-3</v>
      </c>
      <c r="U514" s="28">
        <f t="shared" si="535"/>
        <v>2.4265538457880704E-3</v>
      </c>
      <c r="V514" s="28">
        <f t="shared" si="535"/>
        <v>2.9560411875469705E-3</v>
      </c>
      <c r="W514" s="28">
        <f t="shared" si="535"/>
        <v>2.4193070836452976E-3</v>
      </c>
      <c r="X514" s="28">
        <f t="shared" si="535"/>
        <v>4.0930904706184875E-3</v>
      </c>
      <c r="Y514" s="28">
        <f t="shared" si="535"/>
        <v>1.760053965590582E-3</v>
      </c>
      <c r="Z514" s="28">
        <f t="shared" si="535"/>
        <v>1.474699791531763E-4</v>
      </c>
      <c r="AA514" s="28">
        <f t="shared" si="535"/>
        <v>9.1621202443675244E-4</v>
      </c>
      <c r="AB514" s="28">
        <f t="shared" si="535"/>
        <v>2.7120730199737322E-4</v>
      </c>
      <c r="AC514" s="28">
        <f t="shared" si="535"/>
        <v>3.3357052797795416E-3</v>
      </c>
      <c r="AD514" s="28">
        <f t="shared" si="535"/>
        <v>0</v>
      </c>
      <c r="AE514" s="28">
        <f t="shared" si="535"/>
        <v>0</v>
      </c>
      <c r="AF514" s="28">
        <f t="shared" si="535"/>
        <v>0</v>
      </c>
      <c r="AG514" s="28">
        <f t="shared" si="535"/>
        <v>7.1053002613796692E-4</v>
      </c>
      <c r="AH514" s="28">
        <f t="shared" si="535"/>
        <v>6.2767131319303E-4</v>
      </c>
      <c r="AI514" s="28">
        <f t="shared" si="535"/>
        <v>3.0106576785497605E-5</v>
      </c>
      <c r="AJ514" s="28">
        <f t="shared" si="535"/>
        <v>0</v>
      </c>
      <c r="AK514" s="28">
        <f t="shared" si="535"/>
        <v>0</v>
      </c>
      <c r="AL514" s="28">
        <f t="shared" si="535"/>
        <v>2.3143398125569734E-3</v>
      </c>
      <c r="AM514" s="28">
        <f t="shared" si="535"/>
        <v>2.3913671482976123E-4</v>
      </c>
      <c r="AN514" s="28">
        <f t="shared" si="535"/>
        <v>1.091532183628702E-3</v>
      </c>
      <c r="AO514" s="28">
        <f t="shared" si="535"/>
        <v>1.6727897906861219E-3</v>
      </c>
      <c r="AP514" s="28">
        <f t="shared" si="535"/>
        <v>7.6731325620509039E-4</v>
      </c>
      <c r="AQ514" s="28">
        <f t="shared" si="535"/>
        <v>2.7136465550876376E-4</v>
      </c>
      <c r="AR514" s="28">
        <f t="shared" si="535"/>
        <v>1.8458066216898773E-3</v>
      </c>
      <c r="AS514" s="28">
        <f t="shared" si="535"/>
        <v>3.7237441888995882E-4</v>
      </c>
      <c r="AT514" s="28">
        <f t="shared" si="535"/>
        <v>3.0459688740805944E-3</v>
      </c>
      <c r="AU514" s="28">
        <f t="shared" si="535"/>
        <v>2.0051545943535532E-3</v>
      </c>
      <c r="AV514" s="28">
        <f t="shared" si="535"/>
        <v>5.8876310645229251E-3</v>
      </c>
      <c r="AW514" s="28">
        <f t="shared" si="535"/>
        <v>5.7972867329890979E-5</v>
      </c>
      <c r="AX514" s="28">
        <f t="shared" si="535"/>
        <v>3.5019839644611679E-4</v>
      </c>
      <c r="AY514" s="28">
        <f t="shared" si="535"/>
        <v>6.2687534757092521E-4</v>
      </c>
      <c r="AZ514" s="28">
        <f t="shared" si="535"/>
        <v>1.555758212604842E-2</v>
      </c>
      <c r="BA514" s="28">
        <f t="shared" si="535"/>
        <v>4.4066891377551659E-4</v>
      </c>
      <c r="BB514" s="28">
        <f t="shared" si="535"/>
        <v>4.0251300837913654E-5</v>
      </c>
      <c r="BC514" s="28">
        <f t="shared" si="535"/>
        <v>4.4958693802684656E-3</v>
      </c>
      <c r="BD514" s="28">
        <f t="shared" si="535"/>
        <v>1.4213292726820103E-4</v>
      </c>
      <c r="BE514" s="28">
        <f t="shared" si="535"/>
        <v>3.5974054168463787E-3</v>
      </c>
      <c r="BF514" s="28">
        <f t="shared" si="535"/>
        <v>9.320340676660624E-6</v>
      </c>
      <c r="BG514" s="28">
        <f t="shared" si="535"/>
        <v>0</v>
      </c>
      <c r="BH514" s="28">
        <f t="shared" si="535"/>
        <v>2.3987338320474277E-4</v>
      </c>
      <c r="BI514" s="28">
        <f t="shared" si="535"/>
        <v>7.0366884211438467E-6</v>
      </c>
      <c r="BJ514" s="28">
        <f t="shared" si="535"/>
        <v>3.6315069102186288E-5</v>
      </c>
      <c r="BK514" s="28">
        <f t="shared" si="535"/>
        <v>7.1785689697043779E-6</v>
      </c>
      <c r="BL514" s="28">
        <f t="shared" si="535"/>
        <v>0</v>
      </c>
      <c r="BM514" s="28">
        <f t="shared" si="535"/>
        <v>5.7824313259503116E-6</v>
      </c>
      <c r="BN514" s="28">
        <f t="shared" si="535"/>
        <v>7.9749974038217809E-7</v>
      </c>
      <c r="BO514" s="28">
        <f t="shared" si="535"/>
        <v>0</v>
      </c>
      <c r="BP514" s="28">
        <f t="shared" si="535"/>
        <v>0</v>
      </c>
      <c r="BQ514" s="28">
        <f t="shared" si="535"/>
        <v>3.2076778759023232E-8</v>
      </c>
      <c r="BR514" s="28">
        <f t="shared" si="535"/>
        <v>0</v>
      </c>
    </row>
    <row r="515" spans="1:75" x14ac:dyDescent="0.3">
      <c r="A515" s="73">
        <v>33</v>
      </c>
      <c r="B515" s="16" t="s">
        <v>362</v>
      </c>
      <c r="D515" s="244"/>
      <c r="E515" s="29"/>
    </row>
    <row r="516" spans="1:75" x14ac:dyDescent="0.3">
      <c r="A516" s="3">
        <f>A506+1</f>
        <v>11</v>
      </c>
      <c r="B516" s="7" t="s">
        <v>61</v>
      </c>
      <c r="D516" s="327" t="s">
        <v>235</v>
      </c>
      <c r="E516" s="88">
        <f>HLOOKUP(A515,$F$305:$BK$372,A515+2)</f>
        <v>1.0852538946956047</v>
      </c>
      <c r="BS516" s="20"/>
      <c r="BT516" s="20"/>
      <c r="BU516" s="20"/>
      <c r="BV516" s="20"/>
      <c r="BW516" s="20"/>
    </row>
    <row r="517" spans="1:75" x14ac:dyDescent="0.3">
      <c r="D517" s="327" t="s">
        <v>60</v>
      </c>
      <c r="E517" s="88">
        <f>HLOOKUP(A515,$F$305:$BK$372,68)-E516</f>
        <v>0.90173266682955289</v>
      </c>
      <c r="F517" s="32"/>
    </row>
    <row r="518" spans="1:75" x14ac:dyDescent="0.3">
      <c r="C518" s="29"/>
      <c r="D518" s="327" t="s">
        <v>201</v>
      </c>
      <c r="E518" s="30">
        <f>E517+E516</f>
        <v>1.9869865615251576</v>
      </c>
      <c r="F518" s="95">
        <f t="shared" ref="F518:BQ518" si="536">HLOOKUP($A515,$F$305:$BK$372,F$305+2)</f>
        <v>8.1357447250376329E-4</v>
      </c>
      <c r="G518" s="95">
        <f t="shared" si="536"/>
        <v>1.2283704078932757E-3</v>
      </c>
      <c r="H518" s="95">
        <f t="shared" si="536"/>
        <v>1.1782956853664749E-4</v>
      </c>
      <c r="I518" s="95">
        <f t="shared" si="536"/>
        <v>4.6503000483421521E-2</v>
      </c>
      <c r="J518" s="95">
        <f t="shared" si="536"/>
        <v>2.1712933965006356E-3</v>
      </c>
      <c r="K518" s="95">
        <f t="shared" si="536"/>
        <v>2.6764624203288578E-3</v>
      </c>
      <c r="L518" s="95">
        <f t="shared" si="536"/>
        <v>4.672612254169416E-3</v>
      </c>
      <c r="M518" s="95">
        <f t="shared" si="536"/>
        <v>2.1760864962042954E-3</v>
      </c>
      <c r="N518" s="95">
        <f t="shared" si="536"/>
        <v>2.0273679612128116E-3</v>
      </c>
      <c r="O518" s="95">
        <f t="shared" si="536"/>
        <v>0.11272929329329921</v>
      </c>
      <c r="P518" s="95">
        <f t="shared" si="536"/>
        <v>1.1170998694014592E-2</v>
      </c>
      <c r="Q518" s="95">
        <f t="shared" si="536"/>
        <v>2.0056196774253081E-4</v>
      </c>
      <c r="R518" s="95">
        <f t="shared" si="536"/>
        <v>1.4614376158215691E-2</v>
      </c>
      <c r="S518" s="95">
        <f t="shared" si="536"/>
        <v>3.5201881158817587E-3</v>
      </c>
      <c r="T518" s="95">
        <f t="shared" si="536"/>
        <v>7.6775336296871334E-3</v>
      </c>
      <c r="U518" s="95">
        <f t="shared" si="536"/>
        <v>1.2966747001780268E-2</v>
      </c>
      <c r="V518" s="95">
        <f t="shared" si="536"/>
        <v>3.5889638616373475E-3</v>
      </c>
      <c r="W518" s="95">
        <f t="shared" si="536"/>
        <v>7.9675050306570669E-3</v>
      </c>
      <c r="X518" s="95">
        <f t="shared" si="536"/>
        <v>1.1363466868762741E-2</v>
      </c>
      <c r="Y518" s="95">
        <f t="shared" si="536"/>
        <v>4.7610558213578555E-2</v>
      </c>
      <c r="Z518" s="95">
        <f t="shared" si="536"/>
        <v>1.7691146317446004E-3</v>
      </c>
      <c r="AA518" s="95">
        <f t="shared" si="536"/>
        <v>1.0564782560139219E-3</v>
      </c>
      <c r="AB518" s="95">
        <f t="shared" si="536"/>
        <v>2.0496384864777898E-2</v>
      </c>
      <c r="AC518" s="95">
        <f t="shared" si="536"/>
        <v>1.640874729791331E-2</v>
      </c>
      <c r="AD518" s="95">
        <f t="shared" si="536"/>
        <v>5.9974882000620221E-3</v>
      </c>
      <c r="AE518" s="95">
        <f t="shared" si="536"/>
        <v>3.8456627615386227E-3</v>
      </c>
      <c r="AF518" s="95">
        <f t="shared" si="536"/>
        <v>1.8318051825881477E-3</v>
      </c>
      <c r="AG518" s="95">
        <f t="shared" si="536"/>
        <v>3.0730943819662687E-3</v>
      </c>
      <c r="AH518" s="95">
        <f t="shared" si="536"/>
        <v>6.0477090035433133E-3</v>
      </c>
      <c r="AI518" s="95">
        <f t="shared" si="536"/>
        <v>7.9532356236226218E-2</v>
      </c>
      <c r="AJ518" s="95">
        <f t="shared" si="536"/>
        <v>2.6711335978606764E-2</v>
      </c>
      <c r="AK518" s="95">
        <f t="shared" si="536"/>
        <v>1.121679786185934E-2</v>
      </c>
      <c r="AL518" s="95">
        <f t="shared" si="536"/>
        <v>1.0852538946956047</v>
      </c>
      <c r="AM518" s="95">
        <f t="shared" si="536"/>
        <v>1.4784256713792075E-2</v>
      </c>
      <c r="AN518" s="95">
        <f t="shared" si="536"/>
        <v>3.7573816187172543E-3</v>
      </c>
      <c r="AO518" s="95">
        <f t="shared" si="536"/>
        <v>0.21328967280075917</v>
      </c>
      <c r="AP518" s="95">
        <f t="shared" si="536"/>
        <v>1.5025581964689429E-3</v>
      </c>
      <c r="AQ518" s="95">
        <f t="shared" si="536"/>
        <v>5.598337983022888E-3</v>
      </c>
      <c r="AR518" s="95">
        <f t="shared" si="536"/>
        <v>2.9181182147702068E-3</v>
      </c>
      <c r="AS518" s="95">
        <f t="shared" si="536"/>
        <v>1.3208686273293495E-3</v>
      </c>
      <c r="AT518" s="95">
        <f t="shared" si="536"/>
        <v>1.4931399890134011E-2</v>
      </c>
      <c r="AU518" s="95">
        <f t="shared" si="536"/>
        <v>8.4071497387378652E-3</v>
      </c>
      <c r="AV518" s="95">
        <f t="shared" si="536"/>
        <v>1.2835710044296176E-2</v>
      </c>
      <c r="AW518" s="95">
        <f t="shared" si="536"/>
        <v>1.129403488593405E-2</v>
      </c>
      <c r="AX518" s="95">
        <f t="shared" si="536"/>
        <v>4.3491361376721029E-3</v>
      </c>
      <c r="AY518" s="95">
        <f t="shared" si="536"/>
        <v>2.8001892581081114E-2</v>
      </c>
      <c r="AZ518" s="95">
        <f t="shared" si="536"/>
        <v>2.8832389665981784E-2</v>
      </c>
      <c r="BA518" s="95">
        <f t="shared" si="536"/>
        <v>8.6838627103833412E-3</v>
      </c>
      <c r="BB518" s="95">
        <f t="shared" si="536"/>
        <v>1.6452161118608291E-3</v>
      </c>
      <c r="BC518" s="95">
        <f t="shared" si="536"/>
        <v>6.9665973386510765E-3</v>
      </c>
      <c r="BD518" s="95">
        <f t="shared" si="536"/>
        <v>1.5823997595879385E-3</v>
      </c>
      <c r="BE518" s="95">
        <f t="shared" si="536"/>
        <v>3.3861587171773518E-2</v>
      </c>
      <c r="BF518" s="95">
        <f t="shared" si="536"/>
        <v>3.6521617816469313E-3</v>
      </c>
      <c r="BG518" s="95">
        <f t="shared" si="536"/>
        <v>7.4041976851637497E-4</v>
      </c>
      <c r="BH518" s="95">
        <f t="shared" si="536"/>
        <v>9.7168010054538723E-3</v>
      </c>
      <c r="BI518" s="95">
        <f t="shared" si="536"/>
        <v>1.936506167541372E-3</v>
      </c>
      <c r="BJ518" s="95">
        <f t="shared" si="536"/>
        <v>2.1933394525213983E-3</v>
      </c>
      <c r="BK518" s="95">
        <f t="shared" si="536"/>
        <v>5.1679350338043628E-4</v>
      </c>
      <c r="BL518" s="95">
        <f t="shared" si="536"/>
        <v>2.6267959255272407E-6</v>
      </c>
      <c r="BM518" s="95">
        <f t="shared" si="536"/>
        <v>1.1778929593466906E-4</v>
      </c>
      <c r="BN518" s="95">
        <f t="shared" si="536"/>
        <v>3.5367329017966576E-4</v>
      </c>
      <c r="BO518" s="95">
        <f t="shared" si="536"/>
        <v>3.129356809021564E-3</v>
      </c>
      <c r="BP518" s="95">
        <f t="shared" si="536"/>
        <v>7.5530185065282021E-4</v>
      </c>
      <c r="BQ518" s="95">
        <f t="shared" si="536"/>
        <v>2.7156196495608696E-4</v>
      </c>
      <c r="BR518" s="95">
        <f t="shared" ref="BR518" si="537">HLOOKUP($A515,$F$305:$BK$372,BR$305+2)</f>
        <v>0</v>
      </c>
    </row>
    <row r="519" spans="1:75" x14ac:dyDescent="0.3">
      <c r="B519" s="3" t="s">
        <v>110</v>
      </c>
      <c r="C519" s="29"/>
      <c r="D519" s="327"/>
      <c r="E519" s="30">
        <f>SUM(F519:BR519)</f>
        <v>9.8400072336509353E-2</v>
      </c>
      <c r="F519" s="28">
        <f>F518*F$155</f>
        <v>1.8725023694977012E-5</v>
      </c>
      <c r="G519" s="28">
        <f t="shared" ref="G519:BR519" si="538">G518*G$155</f>
        <v>1.4828415456032679E-5</v>
      </c>
      <c r="H519" s="28">
        <f t="shared" si="538"/>
        <v>2.3625907140655913E-6</v>
      </c>
      <c r="I519" s="28">
        <f t="shared" si="538"/>
        <v>7.8750938836603186E-4</v>
      </c>
      <c r="J519" s="28">
        <f t="shared" si="538"/>
        <v>2.2696211302434331E-6</v>
      </c>
      <c r="K519" s="28">
        <f t="shared" si="538"/>
        <v>1.1274914367736385E-5</v>
      </c>
      <c r="L519" s="28">
        <f t="shared" si="538"/>
        <v>1.4749883735625442E-5</v>
      </c>
      <c r="M519" s="28">
        <f t="shared" si="538"/>
        <v>1.1284511858024176E-5</v>
      </c>
      <c r="N519" s="28">
        <f t="shared" si="538"/>
        <v>4.2112511109577602E-6</v>
      </c>
      <c r="O519" s="28">
        <f t="shared" si="538"/>
        <v>1.31213762046987E-3</v>
      </c>
      <c r="P519" s="28">
        <f t="shared" si="538"/>
        <v>1.2546683633542541E-5</v>
      </c>
      <c r="Q519" s="28">
        <f t="shared" si="538"/>
        <v>3.5877191383543026E-8</v>
      </c>
      <c r="R519" s="28">
        <f t="shared" si="538"/>
        <v>2.5259896499661128E-5</v>
      </c>
      <c r="S519" s="28">
        <f t="shared" si="538"/>
        <v>1.0737545656822495E-5</v>
      </c>
      <c r="T519" s="28">
        <f t="shared" si="538"/>
        <v>5.0867727993203236E-6</v>
      </c>
      <c r="U519" s="28">
        <f t="shared" si="538"/>
        <v>3.0114046920058052E-5</v>
      </c>
      <c r="V519" s="28">
        <f t="shared" si="538"/>
        <v>2.4994032359302274E-6</v>
      </c>
      <c r="W519" s="28">
        <f t="shared" si="538"/>
        <v>7.0391062480827033E-6</v>
      </c>
      <c r="X519" s="28">
        <f t="shared" si="538"/>
        <v>9.8978733626599211E-6</v>
      </c>
      <c r="Y519" s="28">
        <f t="shared" si="538"/>
        <v>3.5761098496205277E-5</v>
      </c>
      <c r="Z519" s="28">
        <f t="shared" si="538"/>
        <v>1.1276475221721048E-6</v>
      </c>
      <c r="AA519" s="28">
        <f t="shared" si="538"/>
        <v>4.5879646493858421E-6</v>
      </c>
      <c r="AB519" s="28">
        <f t="shared" si="538"/>
        <v>9.3944772717409095E-5</v>
      </c>
      <c r="AC519" s="28">
        <f t="shared" si="538"/>
        <v>2.9723248320807174E-5</v>
      </c>
      <c r="AD519" s="28">
        <f t="shared" si="538"/>
        <v>5.8490173151695938E-7</v>
      </c>
      <c r="AE519" s="28">
        <f t="shared" si="538"/>
        <v>1.2158294932121296E-4</v>
      </c>
      <c r="AF519" s="28">
        <f t="shared" si="538"/>
        <v>1.2960899097757282E-5</v>
      </c>
      <c r="AG519" s="28">
        <f t="shared" si="538"/>
        <v>1.46179225121112E-5</v>
      </c>
      <c r="AH519" s="28">
        <f t="shared" si="538"/>
        <v>7.0021725720409114E-5</v>
      </c>
      <c r="AI519" s="28">
        <f t="shared" si="538"/>
        <v>5.0168899596800514E-4</v>
      </c>
      <c r="AJ519" s="28">
        <f t="shared" si="538"/>
        <v>1.4842651347929322E-4</v>
      </c>
      <c r="AK519" s="28">
        <f t="shared" si="538"/>
        <v>6.0583141843296161E-5</v>
      </c>
      <c r="AL519" s="28">
        <f t="shared" si="538"/>
        <v>9.2049132141303447E-2</v>
      </c>
      <c r="AM519" s="28">
        <f t="shared" si="538"/>
        <v>0</v>
      </c>
      <c r="AN519" s="28">
        <f t="shared" si="538"/>
        <v>3.3337165228636106E-6</v>
      </c>
      <c r="AO519" s="28">
        <f t="shared" si="538"/>
        <v>5.3672578947778441E-4</v>
      </c>
      <c r="AP519" s="28">
        <f t="shared" si="538"/>
        <v>3.0172432997133295E-5</v>
      </c>
      <c r="AQ519" s="28">
        <f t="shared" si="538"/>
        <v>2.2490778000054144E-5</v>
      </c>
      <c r="AR519" s="28">
        <f t="shared" si="538"/>
        <v>5.6406901446512844E-6</v>
      </c>
      <c r="AS519" s="28">
        <f t="shared" si="538"/>
        <v>1.1012532418420635E-5</v>
      </c>
      <c r="AT519" s="28">
        <f t="shared" si="538"/>
        <v>1.6858790176754402E-5</v>
      </c>
      <c r="AU519" s="28">
        <f t="shared" si="538"/>
        <v>2.8400668436785207E-5</v>
      </c>
      <c r="AV519" s="28">
        <f t="shared" si="538"/>
        <v>3.8198600912940585E-4</v>
      </c>
      <c r="AW519" s="28">
        <f t="shared" si="538"/>
        <v>4.355588085317053E-4</v>
      </c>
      <c r="AX519" s="28">
        <f t="shared" si="538"/>
        <v>1.2275938005890509E-4</v>
      </c>
      <c r="AY519" s="28">
        <f t="shared" si="538"/>
        <v>4.8247803871522232E-4</v>
      </c>
      <c r="AZ519" s="28">
        <f t="shared" si="538"/>
        <v>1.0980798739987363E-4</v>
      </c>
      <c r="BA519" s="28">
        <f t="shared" si="538"/>
        <v>8.360782690643772E-5</v>
      </c>
      <c r="BB519" s="28">
        <f t="shared" si="538"/>
        <v>4.4910236200014261E-5</v>
      </c>
      <c r="BC519" s="28">
        <f t="shared" si="538"/>
        <v>2.7053126298301905E-5</v>
      </c>
      <c r="BD519" s="28">
        <f t="shared" si="538"/>
        <v>1.3141299086399173E-5</v>
      </c>
      <c r="BE519" s="28">
        <f t="shared" si="538"/>
        <v>6.1077860829755011E-5</v>
      </c>
      <c r="BF519" s="28">
        <f t="shared" si="538"/>
        <v>7.2348319767851357E-6</v>
      </c>
      <c r="BG519" s="28">
        <f t="shared" si="538"/>
        <v>1.2077181662741265E-6</v>
      </c>
      <c r="BH519" s="28">
        <f t="shared" si="538"/>
        <v>9.4718409371732663E-5</v>
      </c>
      <c r="BI519" s="28">
        <f t="shared" si="538"/>
        <v>9.6441230721896443E-5</v>
      </c>
      <c r="BJ519" s="28">
        <f t="shared" si="538"/>
        <v>9.0132221826044685E-5</v>
      </c>
      <c r="BK519" s="28">
        <f t="shared" si="538"/>
        <v>2.4220969261016156E-5</v>
      </c>
      <c r="BL519" s="28">
        <f t="shared" si="538"/>
        <v>1.4972039266472243E-7</v>
      </c>
      <c r="BM519" s="28">
        <f t="shared" si="538"/>
        <v>5.3375230987462435E-6</v>
      </c>
      <c r="BN519" s="28">
        <f t="shared" si="538"/>
        <v>1.8365317988630535E-5</v>
      </c>
      <c r="BO519" s="28">
        <f t="shared" si="538"/>
        <v>1.900746902057946E-4</v>
      </c>
      <c r="BP519" s="28">
        <f t="shared" si="538"/>
        <v>2.0481328336835364E-5</v>
      </c>
      <c r="BQ519" s="28">
        <f t="shared" si="538"/>
        <v>7.3780546983807933E-6</v>
      </c>
      <c r="BR519" s="28">
        <f t="shared" si="538"/>
        <v>0</v>
      </c>
    </row>
    <row r="520" spans="1:75" x14ac:dyDescent="0.3">
      <c r="B520" s="3" t="s">
        <v>56</v>
      </c>
      <c r="C520" s="28"/>
      <c r="D520" s="328"/>
      <c r="E520" s="30">
        <f t="shared" ref="E520" si="539">SUM(F520:BR520)</f>
        <v>0.33926311580584606</v>
      </c>
      <c r="F520" s="28">
        <f>F518*F$157</f>
        <v>1.0110316476376987E-4</v>
      </c>
      <c r="G520" s="28">
        <f t="shared" ref="G520:BR520" si="540">G518*G$157</f>
        <v>1.4608623625146704E-4</v>
      </c>
      <c r="H520" s="28">
        <f t="shared" si="540"/>
        <v>8.188528369558489E-6</v>
      </c>
      <c r="I520" s="28">
        <f t="shared" si="540"/>
        <v>1.2044888324476786E-2</v>
      </c>
      <c r="J520" s="28">
        <f t="shared" si="540"/>
        <v>1.6609573931186656E-4</v>
      </c>
      <c r="K520" s="28">
        <f t="shared" si="540"/>
        <v>2.8496524937378668E-4</v>
      </c>
      <c r="L520" s="28">
        <f t="shared" si="540"/>
        <v>5.2336222971531012E-4</v>
      </c>
      <c r="M520" s="28">
        <f t="shared" si="540"/>
        <v>1.0195934095027178E-4</v>
      </c>
      <c r="N520" s="28">
        <f t="shared" si="540"/>
        <v>3.7910298371356116E-4</v>
      </c>
      <c r="O520" s="28">
        <f t="shared" si="540"/>
        <v>1.1153897795606884E-2</v>
      </c>
      <c r="P520" s="28">
        <f t="shared" si="540"/>
        <v>3.2657885292774135E-4</v>
      </c>
      <c r="Q520" s="28">
        <f t="shared" si="540"/>
        <v>4.0322843359329881E-6</v>
      </c>
      <c r="R520" s="28">
        <f t="shared" si="540"/>
        <v>1.1228752575252595E-3</v>
      </c>
      <c r="S520" s="28">
        <f t="shared" si="540"/>
        <v>4.2168652935990454E-4</v>
      </c>
      <c r="T520" s="28">
        <f t="shared" si="540"/>
        <v>1.3309557652862146E-4</v>
      </c>
      <c r="U520" s="28">
        <f t="shared" si="540"/>
        <v>1.5025388790826739E-3</v>
      </c>
      <c r="V520" s="28">
        <f t="shared" si="540"/>
        <v>9.2439765476056619E-5</v>
      </c>
      <c r="W520" s="28">
        <f t="shared" si="540"/>
        <v>4.9422179702597417E-4</v>
      </c>
      <c r="X520" s="28">
        <f t="shared" si="540"/>
        <v>8.7397449896293566E-4</v>
      </c>
      <c r="Y520" s="28">
        <f t="shared" si="540"/>
        <v>2.2762313789340578E-3</v>
      </c>
      <c r="Z520" s="28">
        <f t="shared" si="540"/>
        <v>1.0697540606066526E-4</v>
      </c>
      <c r="AA520" s="28">
        <f t="shared" si="540"/>
        <v>1.5274529305422065E-4</v>
      </c>
      <c r="AB520" s="28">
        <f t="shared" si="540"/>
        <v>5.8969293063146026E-3</v>
      </c>
      <c r="AC520" s="28">
        <f t="shared" si="540"/>
        <v>1.4309172633232422E-3</v>
      </c>
      <c r="AD520" s="28">
        <f t="shared" si="540"/>
        <v>1.6212620043896671E-4</v>
      </c>
      <c r="AE520" s="28">
        <f t="shared" si="540"/>
        <v>4.0118626274121913E-4</v>
      </c>
      <c r="AF520" s="28">
        <f t="shared" si="540"/>
        <v>3.8877972556067937E-4</v>
      </c>
      <c r="AG520" s="28">
        <f t="shared" si="540"/>
        <v>2.5692959888417433E-4</v>
      </c>
      <c r="AH520" s="28">
        <f t="shared" si="540"/>
        <v>1.565712273089918E-3</v>
      </c>
      <c r="AI520" s="28">
        <f t="shared" si="540"/>
        <v>2.5245319453364966E-2</v>
      </c>
      <c r="AJ520" s="28">
        <f t="shared" si="540"/>
        <v>6.9105374179928361E-3</v>
      </c>
      <c r="AK520" s="28">
        <f t="shared" si="540"/>
        <v>4.3941611007599843E-3</v>
      </c>
      <c r="AL520" s="28">
        <f t="shared" si="540"/>
        <v>0.19576801235145216</v>
      </c>
      <c r="AM520" s="28">
        <f t="shared" si="540"/>
        <v>2.9123100915220095E-4</v>
      </c>
      <c r="AN520" s="28">
        <f t="shared" si="540"/>
        <v>2.6781262816214061E-4</v>
      </c>
      <c r="AO520" s="28">
        <f t="shared" si="540"/>
        <v>2.2672526347259189E-2</v>
      </c>
      <c r="AP520" s="28">
        <f t="shared" si="540"/>
        <v>6.0328425384693668E-4</v>
      </c>
      <c r="AQ520" s="28">
        <f t="shared" si="540"/>
        <v>1.4965225710621599E-3</v>
      </c>
      <c r="AR520" s="28">
        <f t="shared" si="540"/>
        <v>7.6631439323486734E-4</v>
      </c>
      <c r="AS520" s="28">
        <f t="shared" si="540"/>
        <v>3.0381668208201657E-4</v>
      </c>
      <c r="AT520" s="28">
        <f t="shared" si="540"/>
        <v>1.3158840590453413E-3</v>
      </c>
      <c r="AU520" s="28">
        <f t="shared" si="540"/>
        <v>3.3453974466323144E-3</v>
      </c>
      <c r="AV520" s="28">
        <f t="shared" si="540"/>
        <v>2.7328114232162051E-3</v>
      </c>
      <c r="AW520" s="28">
        <f t="shared" si="540"/>
        <v>2.6020633027801022E-3</v>
      </c>
      <c r="AX520" s="28">
        <f t="shared" si="540"/>
        <v>1.0162908339202848E-3</v>
      </c>
      <c r="AY520" s="28">
        <f t="shared" si="540"/>
        <v>1.8500588261919661E-3</v>
      </c>
      <c r="AZ520" s="28">
        <f t="shared" si="540"/>
        <v>6.1026506872379925E-3</v>
      </c>
      <c r="BA520" s="28">
        <f t="shared" si="540"/>
        <v>2.6105557449869724E-3</v>
      </c>
      <c r="BB520" s="28">
        <f t="shared" si="540"/>
        <v>9.7689610841263856E-4</v>
      </c>
      <c r="BC520" s="28">
        <f t="shared" si="540"/>
        <v>1.3583738054906095E-3</v>
      </c>
      <c r="BD520" s="28">
        <f t="shared" si="540"/>
        <v>5.1262915515751933E-4</v>
      </c>
      <c r="BE520" s="28">
        <f t="shared" si="540"/>
        <v>2.212411751211822E-3</v>
      </c>
      <c r="BF520" s="28">
        <f t="shared" si="540"/>
        <v>2.6937706957465713E-3</v>
      </c>
      <c r="BG520" s="28">
        <f t="shared" si="540"/>
        <v>1.6127213585341449E-4</v>
      </c>
      <c r="BH520" s="28">
        <f t="shared" si="540"/>
        <v>4.1551361262783379E-3</v>
      </c>
      <c r="BI520" s="28">
        <f t="shared" si="540"/>
        <v>1.0176085030531186E-3</v>
      </c>
      <c r="BJ520" s="28">
        <f t="shared" si="540"/>
        <v>1.4054262905239374E-3</v>
      </c>
      <c r="BK520" s="28">
        <f t="shared" si="540"/>
        <v>2.6849610987930104E-4</v>
      </c>
      <c r="BL520" s="28">
        <f t="shared" si="540"/>
        <v>1.5298042077506326E-6</v>
      </c>
      <c r="BM520" s="28">
        <f t="shared" si="540"/>
        <v>4.4681072026974569E-5</v>
      </c>
      <c r="BN520" s="28">
        <f t="shared" si="540"/>
        <v>9.9526056684470129E-5</v>
      </c>
      <c r="BO520" s="28">
        <f t="shared" si="540"/>
        <v>1.2460317831897744E-3</v>
      </c>
      <c r="BP520" s="28">
        <f t="shared" si="540"/>
        <v>2.1450131386287959E-4</v>
      </c>
      <c r="BQ520" s="28">
        <f t="shared" si="540"/>
        <v>7.9948819726265004E-5</v>
      </c>
      <c r="BR520" s="28">
        <f t="shared" si="540"/>
        <v>0</v>
      </c>
    </row>
    <row r="521" spans="1:75" x14ac:dyDescent="0.3">
      <c r="B521" s="2" t="s">
        <v>22</v>
      </c>
      <c r="C521" s="28"/>
      <c r="D521" s="328"/>
      <c r="E521" s="30">
        <f>SUM(F521:BR521)</f>
        <v>0.17054945526884346</v>
      </c>
      <c r="F521" s="28">
        <f t="shared" ref="F521:AK521" si="541">F518*F$161</f>
        <v>2.104751468287219E-4</v>
      </c>
      <c r="G521" s="28">
        <f t="shared" si="541"/>
        <v>2.0194226510708807E-4</v>
      </c>
      <c r="H521" s="28">
        <f t="shared" si="541"/>
        <v>1.482100788075751E-5</v>
      </c>
      <c r="I521" s="28">
        <f t="shared" si="541"/>
        <v>9.0795370280754087E-3</v>
      </c>
      <c r="J521" s="28">
        <f t="shared" si="541"/>
        <v>4.6500834770142461E-5</v>
      </c>
      <c r="K521" s="28">
        <f t="shared" si="541"/>
        <v>3.5340341603946177E-5</v>
      </c>
      <c r="L521" s="28">
        <f t="shared" si="541"/>
        <v>2.8046776985240812E-4</v>
      </c>
      <c r="M521" s="28">
        <f t="shared" si="541"/>
        <v>1.6015399066061681E-4</v>
      </c>
      <c r="N521" s="28">
        <f t="shared" si="541"/>
        <v>1.7444795062504262E-4</v>
      </c>
      <c r="O521" s="28">
        <f t="shared" si="541"/>
        <v>2.9243657498121356E-2</v>
      </c>
      <c r="P521" s="28">
        <f t="shared" si="541"/>
        <v>5.2934065443982687E-4</v>
      </c>
      <c r="Q521" s="28">
        <f t="shared" si="541"/>
        <v>1.1572065518927885E-6</v>
      </c>
      <c r="R521" s="28">
        <f t="shared" si="541"/>
        <v>2.230835745970264E-4</v>
      </c>
      <c r="S521" s="28">
        <f t="shared" si="541"/>
        <v>8.139879447019892E-5</v>
      </c>
      <c r="T521" s="28">
        <f t="shared" si="541"/>
        <v>4.7104893492492187E-5</v>
      </c>
      <c r="U521" s="28">
        <f t="shared" si="541"/>
        <v>4.3525803317015271E-4</v>
      </c>
      <c r="V521" s="28">
        <f t="shared" si="541"/>
        <v>6.7626516359123014E-5</v>
      </c>
      <c r="W521" s="28">
        <f t="shared" si="541"/>
        <v>2.6685630908645814E-4</v>
      </c>
      <c r="X521" s="28">
        <f t="shared" si="541"/>
        <v>1.9893113956784508E-4</v>
      </c>
      <c r="Y521" s="28">
        <f t="shared" si="541"/>
        <v>2.016901935257354E-3</v>
      </c>
      <c r="Z521" s="28">
        <f t="shared" si="541"/>
        <v>6.7796737878263589E-5</v>
      </c>
      <c r="AA521" s="28">
        <f t="shared" si="541"/>
        <v>3.6862717959294325E-5</v>
      </c>
      <c r="AB521" s="28">
        <f t="shared" si="541"/>
        <v>1.3026159265196278E-3</v>
      </c>
      <c r="AC521" s="28">
        <f t="shared" si="541"/>
        <v>4.0875342366500454E-3</v>
      </c>
      <c r="AD521" s="28">
        <f t="shared" si="541"/>
        <v>3.8997538324619274E-4</v>
      </c>
      <c r="AE521" s="28">
        <f t="shared" si="541"/>
        <v>5.6748488680382942E-4</v>
      </c>
      <c r="AF521" s="28">
        <f t="shared" si="541"/>
        <v>3.7009433486666859E-4</v>
      </c>
      <c r="AG521" s="28">
        <f t="shared" si="541"/>
        <v>2.5844592075090341E-4</v>
      </c>
      <c r="AH521" s="28">
        <f t="shared" si="541"/>
        <v>3.4179353580905154E-4</v>
      </c>
      <c r="AI521" s="28">
        <f t="shared" si="541"/>
        <v>3.7044926785305371E-3</v>
      </c>
      <c r="AJ521" s="28">
        <f t="shared" si="541"/>
        <v>5.350011978858476E-3</v>
      </c>
      <c r="AK521" s="28">
        <f t="shared" si="541"/>
        <v>9.6728262829124051E-4</v>
      </c>
      <c r="AL521" s="28">
        <f t="shared" ref="AL521:BR521" si="542">AL518*AL$161</f>
        <v>4.1593081928089394E-2</v>
      </c>
      <c r="AM521" s="28">
        <f t="shared" si="542"/>
        <v>7.4962034604567128E-4</v>
      </c>
      <c r="AN521" s="28">
        <f t="shared" si="542"/>
        <v>0</v>
      </c>
      <c r="AO521" s="28">
        <f t="shared" si="542"/>
        <v>3.4544839910000166E-2</v>
      </c>
      <c r="AP521" s="28">
        <f t="shared" si="542"/>
        <v>8.0093169636007302E-5</v>
      </c>
      <c r="AQ521" s="28">
        <f t="shared" si="542"/>
        <v>3.4341748248078489E-5</v>
      </c>
      <c r="AR521" s="28">
        <f t="shared" si="542"/>
        <v>3.7192802855256383E-5</v>
      </c>
      <c r="AS521" s="28">
        <f t="shared" si="542"/>
        <v>1.8311673466792517E-6</v>
      </c>
      <c r="AT521" s="28">
        <f t="shared" si="542"/>
        <v>3.1057939745876822E-3</v>
      </c>
      <c r="AU521" s="28">
        <f t="shared" si="542"/>
        <v>1.1537099389140179E-3</v>
      </c>
      <c r="AV521" s="28">
        <f t="shared" si="542"/>
        <v>2.4590846196469664E-3</v>
      </c>
      <c r="AW521" s="28">
        <f t="shared" si="542"/>
        <v>2.3894151604284294E-3</v>
      </c>
      <c r="AX521" s="28">
        <f t="shared" si="542"/>
        <v>6.3917306356722086E-4</v>
      </c>
      <c r="AY521" s="28">
        <f t="shared" si="542"/>
        <v>1.0388335448675096E-2</v>
      </c>
      <c r="AZ521" s="28">
        <f t="shared" si="542"/>
        <v>5.1350973612599212E-3</v>
      </c>
      <c r="BA521" s="28">
        <f t="shared" si="542"/>
        <v>1.0541168662410593E-3</v>
      </c>
      <c r="BB521" s="28">
        <f t="shared" si="542"/>
        <v>6.402476995914659E-6</v>
      </c>
      <c r="BC521" s="28">
        <f t="shared" si="542"/>
        <v>6.459464920654588E-4</v>
      </c>
      <c r="BD521" s="28">
        <f t="shared" si="542"/>
        <v>1.8271726637176448E-4</v>
      </c>
      <c r="BE521" s="28">
        <f t="shared" si="542"/>
        <v>4.7586979946936522E-3</v>
      </c>
      <c r="BF521" s="28">
        <f t="shared" si="542"/>
        <v>0</v>
      </c>
      <c r="BG521" s="28">
        <f t="shared" si="542"/>
        <v>3.6983236792958723E-5</v>
      </c>
      <c r="BH521" s="28">
        <f t="shared" si="542"/>
        <v>7.0946517826132925E-4</v>
      </c>
      <c r="BI521" s="28">
        <f t="shared" si="542"/>
        <v>0</v>
      </c>
      <c r="BJ521" s="28">
        <f t="shared" si="542"/>
        <v>1.8970462387716582E-5</v>
      </c>
      <c r="BK521" s="28">
        <f t="shared" si="542"/>
        <v>8.1599822834590495E-6</v>
      </c>
      <c r="BL521" s="28">
        <f t="shared" si="542"/>
        <v>3.4088195406364926E-9</v>
      </c>
      <c r="BM521" s="28">
        <f t="shared" si="542"/>
        <v>4.3433939069672501E-6</v>
      </c>
      <c r="BN521" s="28">
        <f t="shared" si="542"/>
        <v>0</v>
      </c>
      <c r="BO521" s="28">
        <f t="shared" si="542"/>
        <v>0</v>
      </c>
      <c r="BP521" s="28">
        <f t="shared" si="542"/>
        <v>3.8735764956043341E-5</v>
      </c>
      <c r="BQ521" s="28">
        <f t="shared" si="542"/>
        <v>1.3908249085040427E-5</v>
      </c>
      <c r="BR521" s="28">
        <f t="shared" si="542"/>
        <v>0</v>
      </c>
    </row>
    <row r="522" spans="1:75" x14ac:dyDescent="0.3">
      <c r="B522" s="2" t="s">
        <v>21</v>
      </c>
      <c r="C522" s="28"/>
      <c r="D522" s="328"/>
      <c r="E522" s="30">
        <f t="shared" ref="E522:E524" si="543">SUM(F522:BR522)</f>
        <v>0.17334483031221562</v>
      </c>
      <c r="F522" s="28">
        <f>F518*F$160</f>
        <v>8.8442298476188201E-5</v>
      </c>
      <c r="G522" s="28">
        <f t="shared" ref="G522:BR522" si="544">G518*G$160</f>
        <v>9.6959997463330307E-5</v>
      </c>
      <c r="H522" s="28">
        <f t="shared" si="544"/>
        <v>1.4297010441183202E-5</v>
      </c>
      <c r="I522" s="28">
        <f t="shared" si="544"/>
        <v>3.1378693074516641E-3</v>
      </c>
      <c r="J522" s="28">
        <f t="shared" si="544"/>
        <v>4.5126301084134703E-5</v>
      </c>
      <c r="K522" s="28">
        <f t="shared" si="544"/>
        <v>4.0502199708991538E-5</v>
      </c>
      <c r="L522" s="28">
        <f t="shared" si="544"/>
        <v>1.4970427564923593E-4</v>
      </c>
      <c r="M522" s="28">
        <f t="shared" si="544"/>
        <v>5.764430762120617E-5</v>
      </c>
      <c r="N522" s="28">
        <f t="shared" si="544"/>
        <v>1.0374160148805604E-4</v>
      </c>
      <c r="O522" s="28">
        <f t="shared" si="544"/>
        <v>4.3817194146854033E-3</v>
      </c>
      <c r="P522" s="28">
        <f t="shared" si="544"/>
        <v>7.8379802739449961E-5</v>
      </c>
      <c r="Q522" s="28">
        <f t="shared" si="544"/>
        <v>3.2920851389619604E-7</v>
      </c>
      <c r="R522" s="28">
        <f t="shared" si="544"/>
        <v>2.2762180148178327E-4</v>
      </c>
      <c r="S522" s="28">
        <f t="shared" si="544"/>
        <v>1.7308162439343074E-4</v>
      </c>
      <c r="T522" s="28">
        <f t="shared" si="544"/>
        <v>1.6484516053446324E-5</v>
      </c>
      <c r="U522" s="28">
        <f t="shared" si="544"/>
        <v>1.8974855568927289E-4</v>
      </c>
      <c r="V522" s="28">
        <f t="shared" si="544"/>
        <v>9.5485513648868974E-6</v>
      </c>
      <c r="W522" s="28">
        <f t="shared" si="544"/>
        <v>3.5903083151545469E-5</v>
      </c>
      <c r="X522" s="28">
        <f t="shared" si="544"/>
        <v>1.0267570917456222E-4</v>
      </c>
      <c r="Y522" s="28">
        <f t="shared" si="544"/>
        <v>2.5414800193073188E-4</v>
      </c>
      <c r="Z522" s="28">
        <f t="shared" si="544"/>
        <v>1.6672939159486046E-5</v>
      </c>
      <c r="AA522" s="28">
        <f t="shared" si="544"/>
        <v>2.4043061177835869E-5</v>
      </c>
      <c r="AB522" s="28">
        <f t="shared" si="544"/>
        <v>7.1481622190106584E-4</v>
      </c>
      <c r="AC522" s="28">
        <f t="shared" si="544"/>
        <v>2.4359616573532542E-3</v>
      </c>
      <c r="AD522" s="28">
        <f t="shared" si="544"/>
        <v>6.4578857517828559E-5</v>
      </c>
      <c r="AE522" s="28">
        <f t="shared" si="544"/>
        <v>2.0966073068360818E-4</v>
      </c>
      <c r="AF522" s="28">
        <f t="shared" si="544"/>
        <v>4.5478052450949503E-4</v>
      </c>
      <c r="AG522" s="28">
        <f t="shared" si="544"/>
        <v>1.0105189214593664E-4</v>
      </c>
      <c r="AH522" s="28">
        <f t="shared" si="544"/>
        <v>2.6511120906177901E-4</v>
      </c>
      <c r="AI522" s="28">
        <f t="shared" si="544"/>
        <v>5.071163402702754E-3</v>
      </c>
      <c r="AJ522" s="28">
        <f t="shared" si="544"/>
        <v>1.7825068022299198E-3</v>
      </c>
      <c r="AK522" s="28">
        <f t="shared" si="544"/>
        <v>6.8892113220757757E-4</v>
      </c>
      <c r="AL522" s="28">
        <f t="shared" si="544"/>
        <v>0.1230557608597123</v>
      </c>
      <c r="AM522" s="28">
        <f t="shared" si="544"/>
        <v>3.8588092532087413E-4</v>
      </c>
      <c r="AN522" s="28">
        <f t="shared" si="544"/>
        <v>5.25170174637643E-5</v>
      </c>
      <c r="AO522" s="28">
        <f t="shared" si="544"/>
        <v>8.5177945497005789E-3</v>
      </c>
      <c r="AP522" s="28">
        <f t="shared" si="544"/>
        <v>2.22985553409665E-5</v>
      </c>
      <c r="AQ522" s="28">
        <f t="shared" si="544"/>
        <v>2.6409711794739423E-4</v>
      </c>
      <c r="AR522" s="28">
        <f t="shared" si="544"/>
        <v>1.6188090451843128E-4</v>
      </c>
      <c r="AS522" s="28">
        <f t="shared" si="544"/>
        <v>2.6639311992722849E-4</v>
      </c>
      <c r="AT522" s="28">
        <f t="shared" si="544"/>
        <v>9.0916197300016462E-4</v>
      </c>
      <c r="AU522" s="28">
        <f t="shared" si="544"/>
        <v>2.4581188905423081E-4</v>
      </c>
      <c r="AV522" s="28">
        <f t="shared" si="544"/>
        <v>1.3107694248947904E-3</v>
      </c>
      <c r="AW522" s="28">
        <f t="shared" si="544"/>
        <v>4.9057798255507904E-4</v>
      </c>
      <c r="AX522" s="28">
        <f t="shared" si="544"/>
        <v>2.9058030492657425E-4</v>
      </c>
      <c r="AY522" s="28">
        <f t="shared" si="544"/>
        <v>7.4038985218303262E-3</v>
      </c>
      <c r="AZ522" s="28">
        <f t="shared" si="544"/>
        <v>7.4674729118342966E-4</v>
      </c>
      <c r="BA522" s="28">
        <f t="shared" si="544"/>
        <v>3.868940746096643E-4</v>
      </c>
      <c r="BB522" s="28">
        <f t="shared" si="544"/>
        <v>1.294615777931902E-4</v>
      </c>
      <c r="BC522" s="28">
        <f t="shared" si="544"/>
        <v>1.7773948958242378E-4</v>
      </c>
      <c r="BD522" s="28">
        <f t="shared" si="544"/>
        <v>5.1440651697679242E-5</v>
      </c>
      <c r="BE522" s="28">
        <f t="shared" si="544"/>
        <v>6.4073901100429364E-3</v>
      </c>
      <c r="BF522" s="28">
        <f t="shared" si="544"/>
        <v>3.5859394616643009E-5</v>
      </c>
      <c r="BG522" s="28">
        <f t="shared" si="544"/>
        <v>1.9933196235337689E-5</v>
      </c>
      <c r="BH522" s="28">
        <f t="shared" si="544"/>
        <v>3.5703917381828943E-4</v>
      </c>
      <c r="BI522" s="28">
        <f t="shared" si="544"/>
        <v>2.1119487982483351E-4</v>
      </c>
      <c r="BJ522" s="28">
        <f t="shared" si="544"/>
        <v>1.3872619901942563E-4</v>
      </c>
      <c r="BK522" s="28">
        <f t="shared" si="544"/>
        <v>3.1557720677849486E-5</v>
      </c>
      <c r="BL522" s="28">
        <f t="shared" si="544"/>
        <v>1.3547105463111495E-7</v>
      </c>
      <c r="BM522" s="28">
        <f t="shared" si="544"/>
        <v>9.9858981943592466E-6</v>
      </c>
      <c r="BN522" s="28">
        <f t="shared" si="544"/>
        <v>4.5063612382227208E-5</v>
      </c>
      <c r="BO522" s="28">
        <f t="shared" si="544"/>
        <v>9.612901872596025E-5</v>
      </c>
      <c r="BP522" s="28">
        <f t="shared" si="544"/>
        <v>6.0336380945285339E-5</v>
      </c>
      <c r="BQ522" s="28">
        <f t="shared" si="544"/>
        <v>2.8577026405780361E-5</v>
      </c>
      <c r="BR522" s="28">
        <f t="shared" si="544"/>
        <v>0</v>
      </c>
    </row>
    <row r="523" spans="1:75" x14ac:dyDescent="0.3">
      <c r="B523" s="3" t="s">
        <v>44</v>
      </c>
      <c r="C523" s="28"/>
      <c r="D523" s="328"/>
      <c r="E523" s="30">
        <f t="shared" si="543"/>
        <v>0.68631426530162276</v>
      </c>
      <c r="F523" s="28">
        <f>F518*F$162</f>
        <v>2.2986456982008777E-4</v>
      </c>
      <c r="G523" s="28">
        <f t="shared" ref="G523:BR523" si="545">G518*G$162</f>
        <v>4.5737325506935893E-4</v>
      </c>
      <c r="H523" s="28">
        <f t="shared" si="545"/>
        <v>3.9612102552512007E-5</v>
      </c>
      <c r="I523" s="28">
        <f t="shared" si="545"/>
        <v>2.5785518437125926E-2</v>
      </c>
      <c r="J523" s="28">
        <f t="shared" si="545"/>
        <v>2.5726875856309212E-4</v>
      </c>
      <c r="K523" s="28">
        <f t="shared" si="545"/>
        <v>3.6079213661770269E-4</v>
      </c>
      <c r="L523" s="28">
        <f t="shared" si="545"/>
        <v>9.5174725581241072E-4</v>
      </c>
      <c r="M523" s="28">
        <f t="shared" si="545"/>
        <v>3.2349119106386132E-4</v>
      </c>
      <c r="N523" s="28">
        <f t="shared" si="545"/>
        <v>6.5534928568836159E-4</v>
      </c>
      <c r="O523" s="28">
        <f t="shared" si="545"/>
        <v>4.5864633596438699E-2</v>
      </c>
      <c r="P523" s="28">
        <f t="shared" si="545"/>
        <v>9.3305735017091705E-4</v>
      </c>
      <c r="Q523" s="28">
        <f t="shared" si="545"/>
        <v>5.518328002225248E-6</v>
      </c>
      <c r="R523" s="28">
        <f t="shared" si="545"/>
        <v>1.5675369139881074E-3</v>
      </c>
      <c r="S523" s="28">
        <f t="shared" si="545"/>
        <v>6.7893160007584114E-4</v>
      </c>
      <c r="T523" s="28">
        <f t="shared" si="545"/>
        <v>1.9704001526853684E-4</v>
      </c>
      <c r="U523" s="28">
        <f t="shared" si="545"/>
        <v>2.1273681904711086E-3</v>
      </c>
      <c r="V523" s="28">
        <f t="shared" si="545"/>
        <v>1.685321313507425E-4</v>
      </c>
      <c r="W523" s="28">
        <f t="shared" si="545"/>
        <v>7.9704116339166214E-4</v>
      </c>
      <c r="X523" s="28">
        <f t="shared" si="545"/>
        <v>1.1644430239390444E-3</v>
      </c>
      <c r="Y523" s="28">
        <f t="shared" si="545"/>
        <v>4.5482077990833441E-3</v>
      </c>
      <c r="Z523" s="28">
        <f t="shared" si="545"/>
        <v>1.8888379324905915E-4</v>
      </c>
      <c r="AA523" s="28">
        <f t="shared" si="545"/>
        <v>2.1312635365730427E-4</v>
      </c>
      <c r="AB523" s="28">
        <f t="shared" si="545"/>
        <v>7.9097597531564267E-3</v>
      </c>
      <c r="AC523" s="28">
        <f t="shared" si="545"/>
        <v>8.3380526696993553E-3</v>
      </c>
      <c r="AD523" s="28">
        <f t="shared" si="545"/>
        <v>6.1734237877231451E-4</v>
      </c>
      <c r="AE523" s="28">
        <f t="shared" si="545"/>
        <v>1.2089469188316857E-3</v>
      </c>
      <c r="AF523" s="28">
        <f t="shared" si="545"/>
        <v>1.316823946521353E-3</v>
      </c>
      <c r="AG523" s="28">
        <f t="shared" si="545"/>
        <v>6.2457605665144141E-4</v>
      </c>
      <c r="AH523" s="28">
        <f t="shared" si="545"/>
        <v>2.1790462194816677E-3</v>
      </c>
      <c r="AI523" s="28">
        <f t="shared" si="545"/>
        <v>3.405180024933635E-2</v>
      </c>
      <c r="AJ523" s="28">
        <f t="shared" si="545"/>
        <v>1.4034499300685016E-2</v>
      </c>
      <c r="AK523" s="28">
        <f t="shared" si="545"/>
        <v>6.0594749416641022E-3</v>
      </c>
      <c r="AL523" s="28">
        <f t="shared" si="545"/>
        <v>0.36036379677035563</v>
      </c>
      <c r="AM523" s="28">
        <f t="shared" si="545"/>
        <v>1.4296512570089043E-3</v>
      </c>
      <c r="AN523" s="28">
        <f t="shared" si="545"/>
        <v>3.201100010526562E-4</v>
      </c>
      <c r="AO523" s="28">
        <f t="shared" si="545"/>
        <v>6.5937414598038147E-2</v>
      </c>
      <c r="AP523" s="28">
        <f t="shared" si="545"/>
        <v>7.0639623410043801E-4</v>
      </c>
      <c r="AQ523" s="28">
        <f t="shared" si="545"/>
        <v>1.788206952561119E-3</v>
      </c>
      <c r="AR523" s="28">
        <f t="shared" si="545"/>
        <v>9.5759166506190023E-4</v>
      </c>
      <c r="AS523" s="28">
        <f t="shared" si="545"/>
        <v>5.557155969842161E-4</v>
      </c>
      <c r="AT523" s="28">
        <f t="shared" si="545"/>
        <v>5.3290449316601811E-3</v>
      </c>
      <c r="AU523" s="28">
        <f t="shared" si="545"/>
        <v>4.6692106915311284E-3</v>
      </c>
      <c r="AV523" s="28">
        <f t="shared" si="545"/>
        <v>6.5107202793641536E-3</v>
      </c>
      <c r="AW523" s="28">
        <f t="shared" si="545"/>
        <v>5.4883421450836146E-3</v>
      </c>
      <c r="AX523" s="28">
        <f t="shared" si="545"/>
        <v>1.9423341479217946E-3</v>
      </c>
      <c r="AY523" s="28">
        <f t="shared" si="545"/>
        <v>2.0000771008484981E-2</v>
      </c>
      <c r="AZ523" s="28">
        <f t="shared" si="545"/>
        <v>1.195543100348345E-2</v>
      </c>
      <c r="BA523" s="28">
        <f t="shared" si="545"/>
        <v>4.0363447188764912E-3</v>
      </c>
      <c r="BB523" s="28">
        <f t="shared" si="545"/>
        <v>9.6438099377407749E-4</v>
      </c>
      <c r="BC523" s="28">
        <f t="shared" si="545"/>
        <v>2.157852911611829E-3</v>
      </c>
      <c r="BD523" s="28">
        <f t="shared" si="545"/>
        <v>6.9312192466113693E-4</v>
      </c>
      <c r="BE523" s="28">
        <f t="shared" si="545"/>
        <v>1.3403026696592935E-2</v>
      </c>
      <c r="BF523" s="28">
        <f t="shared" si="545"/>
        <v>2.7302882359220783E-3</v>
      </c>
      <c r="BG523" s="28">
        <f t="shared" si="545"/>
        <v>2.1827209019334811E-4</v>
      </c>
      <c r="BH523" s="28">
        <f t="shared" si="545"/>
        <v>5.2164077451046656E-3</v>
      </c>
      <c r="BI523" s="28">
        <f t="shared" si="545"/>
        <v>1.2342921124447893E-3</v>
      </c>
      <c r="BJ523" s="28">
        <f t="shared" si="545"/>
        <v>1.5625951047468524E-3</v>
      </c>
      <c r="BK523" s="28">
        <f t="shared" si="545"/>
        <v>3.082677121195101E-4</v>
      </c>
      <c r="BL523" s="28">
        <f t="shared" si="545"/>
        <v>1.6652332753820168E-6</v>
      </c>
      <c r="BM523" s="28">
        <f t="shared" si="545"/>
        <v>5.900803354519964E-5</v>
      </c>
      <c r="BN523" s="28">
        <f t="shared" si="545"/>
        <v>1.4265974722857316E-4</v>
      </c>
      <c r="BO523" s="28">
        <f t="shared" si="545"/>
        <v>1.3391916741697177E-3</v>
      </c>
      <c r="BP523" s="28">
        <f t="shared" si="545"/>
        <v>3.1401276264239706E-4</v>
      </c>
      <c r="BQ523" s="28">
        <f t="shared" si="545"/>
        <v>1.2248063582186221E-4</v>
      </c>
      <c r="BR523" s="28">
        <f t="shared" si="545"/>
        <v>0</v>
      </c>
    </row>
    <row r="524" spans="1:75" x14ac:dyDescent="0.3">
      <c r="B524" s="3" t="s">
        <v>25</v>
      </c>
      <c r="C524" s="28"/>
      <c r="D524" s="328"/>
      <c r="E524" s="30">
        <f t="shared" si="543"/>
        <v>0.2152856623618675</v>
      </c>
      <c r="F524" s="28">
        <f>F518*F$164</f>
        <v>1.6686869067875936E-4</v>
      </c>
      <c r="G524" s="28">
        <f t="shared" ref="G524:BR524" si="546">G518*G$164</f>
        <v>6.9571589094443218E-5</v>
      </c>
      <c r="H524" s="28">
        <f t="shared" si="546"/>
        <v>2.5272028331790389E-5</v>
      </c>
      <c r="I524" s="28">
        <f t="shared" si="546"/>
        <v>0</v>
      </c>
      <c r="J524" s="28">
        <f t="shared" si="546"/>
        <v>8.8207378124344465E-4</v>
      </c>
      <c r="K524" s="28">
        <f t="shared" si="546"/>
        <v>1.5127773528798719E-3</v>
      </c>
      <c r="L524" s="28">
        <f t="shared" si="546"/>
        <v>7.8793890920978804E-4</v>
      </c>
      <c r="M524" s="28">
        <f t="shared" si="546"/>
        <v>1.1529705641269983E-3</v>
      </c>
      <c r="N524" s="28">
        <f t="shared" si="546"/>
        <v>2.4591730657674232E-5</v>
      </c>
      <c r="O524" s="28">
        <f t="shared" si="546"/>
        <v>0</v>
      </c>
      <c r="P524" s="28">
        <f t="shared" si="546"/>
        <v>7.5403050058371413E-3</v>
      </c>
      <c r="Q524" s="28">
        <f t="shared" si="546"/>
        <v>1.7774437114219483E-4</v>
      </c>
      <c r="R524" s="28">
        <f t="shared" si="546"/>
        <v>8.4625075507730133E-3</v>
      </c>
      <c r="S524" s="28">
        <f t="shared" si="546"/>
        <v>1.302704288119602E-3</v>
      </c>
      <c r="T524" s="28">
        <f t="shared" si="546"/>
        <v>6.8611505287747409E-3</v>
      </c>
      <c r="U524" s="28">
        <f t="shared" si="546"/>
        <v>4.283649125248294E-3</v>
      </c>
      <c r="V524" s="28">
        <f t="shared" si="546"/>
        <v>2.0253348400656301E-3</v>
      </c>
      <c r="W524" s="28">
        <f t="shared" si="546"/>
        <v>4.4198383202860162E-3</v>
      </c>
      <c r="X524" s="28">
        <f t="shared" si="546"/>
        <v>7.7929387181680538E-3</v>
      </c>
      <c r="Y524" s="28">
        <f t="shared" si="546"/>
        <v>3.2551921651465053E-2</v>
      </c>
      <c r="Z524" s="28">
        <f t="shared" si="546"/>
        <v>1.2217078697187805E-3</v>
      </c>
      <c r="AA524" s="28">
        <f t="shared" si="546"/>
        <v>3.6938935848280043E-4</v>
      </c>
      <c r="AB524" s="28">
        <f t="shared" si="546"/>
        <v>6.3218462901682944E-4</v>
      </c>
      <c r="AC524" s="28">
        <f t="shared" si="546"/>
        <v>1.2522982946858645E-3</v>
      </c>
      <c r="AD524" s="28">
        <f t="shared" si="546"/>
        <v>0</v>
      </c>
      <c r="AE524" s="28">
        <f t="shared" si="546"/>
        <v>0</v>
      </c>
      <c r="AF524" s="28">
        <f t="shared" si="546"/>
        <v>0</v>
      </c>
      <c r="AG524" s="28">
        <f t="shared" si="546"/>
        <v>5.409201988248192E-4</v>
      </c>
      <c r="AH524" s="28">
        <f t="shared" si="546"/>
        <v>2.0027641940789073E-4</v>
      </c>
      <c r="AI524" s="28">
        <f t="shared" si="546"/>
        <v>4.0838175135540571E-4</v>
      </c>
      <c r="AJ524" s="28">
        <f t="shared" si="546"/>
        <v>0</v>
      </c>
      <c r="AK524" s="28">
        <f t="shared" si="546"/>
        <v>0</v>
      </c>
      <c r="AL524" s="28">
        <f t="shared" si="546"/>
        <v>6.960115935904676E-2</v>
      </c>
      <c r="AM524" s="28">
        <f t="shared" si="546"/>
        <v>2.2184286047518178E-3</v>
      </c>
      <c r="AN524" s="28">
        <f t="shared" si="546"/>
        <v>1.4388305869707794E-3</v>
      </c>
      <c r="AO524" s="28">
        <f t="shared" si="546"/>
        <v>2.7984161015251367E-2</v>
      </c>
      <c r="AP524" s="28">
        <f t="shared" si="546"/>
        <v>1.5396043700398912E-4</v>
      </c>
      <c r="AQ524" s="28">
        <f t="shared" si="546"/>
        <v>5.317277730797046E-4</v>
      </c>
      <c r="AR524" s="28">
        <f t="shared" si="546"/>
        <v>6.103485142775984E-4</v>
      </c>
      <c r="AS524" s="28">
        <f t="shared" si="546"/>
        <v>2.398132104141164E-4</v>
      </c>
      <c r="AT524" s="28">
        <f t="shared" si="546"/>
        <v>2.5926404552023058E-3</v>
      </c>
      <c r="AU524" s="28">
        <f t="shared" si="546"/>
        <v>1.2825636442544549E-3</v>
      </c>
      <c r="AV524" s="28">
        <f t="shared" si="546"/>
        <v>1.6572948346641264E-3</v>
      </c>
      <c r="AW524" s="28">
        <f t="shared" si="546"/>
        <v>1.9574470769382493E-4</v>
      </c>
      <c r="AX524" s="28">
        <f t="shared" si="546"/>
        <v>1.4455245853446514E-4</v>
      </c>
      <c r="AY524" s="28">
        <f t="shared" si="546"/>
        <v>9.1968928178240794E-5</v>
      </c>
      <c r="AZ524" s="28">
        <f t="shared" si="546"/>
        <v>9.5410065746159185E-3</v>
      </c>
      <c r="BA524" s="28">
        <f t="shared" si="546"/>
        <v>1.1042908334725266E-3</v>
      </c>
      <c r="BB524" s="28">
        <f t="shared" si="546"/>
        <v>1.0055319887896072E-4</v>
      </c>
      <c r="BC524" s="28">
        <f t="shared" si="546"/>
        <v>9.5575301701323028E-4</v>
      </c>
      <c r="BD524" s="28">
        <f t="shared" si="546"/>
        <v>8.7821794949290976E-5</v>
      </c>
      <c r="BE524" s="28">
        <f t="shared" si="546"/>
        <v>9.9554054691214505E-3</v>
      </c>
      <c r="BF524" s="28">
        <f t="shared" si="546"/>
        <v>1.5595188242641661E-5</v>
      </c>
      <c r="BG524" s="28">
        <f t="shared" si="546"/>
        <v>0</v>
      </c>
      <c r="BH524" s="28">
        <f t="shared" si="546"/>
        <v>6.870963407478772E-5</v>
      </c>
      <c r="BI524" s="28">
        <f t="shared" si="546"/>
        <v>6.4283083249170098E-6</v>
      </c>
      <c r="BJ524" s="28">
        <f t="shared" si="546"/>
        <v>3.488121314566596E-5</v>
      </c>
      <c r="BK524" s="28">
        <f t="shared" si="546"/>
        <v>2.9338252792981963E-6</v>
      </c>
      <c r="BL524" s="28">
        <f t="shared" si="546"/>
        <v>0</v>
      </c>
      <c r="BM524" s="28">
        <f t="shared" si="546"/>
        <v>3.3718659513114605E-6</v>
      </c>
      <c r="BN524" s="28">
        <f t="shared" si="546"/>
        <v>3.8127317367996877E-7</v>
      </c>
      <c r="BO524" s="28">
        <f t="shared" si="546"/>
        <v>0</v>
      </c>
      <c r="BP524" s="28">
        <f t="shared" si="546"/>
        <v>0</v>
      </c>
      <c r="BQ524" s="28">
        <f t="shared" si="546"/>
        <v>1.8068705383789698E-8</v>
      </c>
      <c r="BR524" s="28">
        <f t="shared" si="546"/>
        <v>0</v>
      </c>
    </row>
    <row r="525" spans="1:75" x14ac:dyDescent="0.3">
      <c r="A525" s="73">
        <v>55</v>
      </c>
      <c r="B525" s="16" t="s">
        <v>363</v>
      </c>
      <c r="D525" s="244"/>
      <c r="E525" s="29"/>
    </row>
    <row r="526" spans="1:75" x14ac:dyDescent="0.3">
      <c r="A526" s="3">
        <f>A516+1</f>
        <v>12</v>
      </c>
      <c r="B526" s="7" t="s">
        <v>61</v>
      </c>
      <c r="D526" s="327" t="s">
        <v>235</v>
      </c>
      <c r="E526" s="88">
        <f>HLOOKUP(A525,$F$305:$BK$372,A525+2)</f>
        <v>1.0678155177413691</v>
      </c>
      <c r="BS526" s="20"/>
      <c r="BT526" s="20"/>
      <c r="BU526" s="20"/>
      <c r="BV526" s="20"/>
      <c r="BW526" s="20"/>
    </row>
    <row r="527" spans="1:75" x14ac:dyDescent="0.3">
      <c r="D527" s="327" t="s">
        <v>60</v>
      </c>
      <c r="E527" s="88">
        <f>HLOOKUP(A525,$F$305:$BK$372,68)-E526</f>
        <v>0.67173239075001945</v>
      </c>
      <c r="F527" s="32"/>
    </row>
    <row r="528" spans="1:75" x14ac:dyDescent="0.3">
      <c r="C528" s="29"/>
      <c r="D528" s="327" t="s">
        <v>201</v>
      </c>
      <c r="E528" s="30">
        <f>E527+E526</f>
        <v>1.7395479084913885</v>
      </c>
      <c r="F528" s="95">
        <f t="shared" ref="F528:BQ528" si="547">HLOOKUP($A525,$F$305:$BK$372,F$305+2)</f>
        <v>6.6435460465983833E-3</v>
      </c>
      <c r="G528" s="95">
        <f t="shared" si="547"/>
        <v>1.9152801348665915E-3</v>
      </c>
      <c r="H528" s="95">
        <f t="shared" si="547"/>
        <v>2.0560517239671741E-4</v>
      </c>
      <c r="I528" s="95">
        <f t="shared" si="547"/>
        <v>1.8840855822562608E-2</v>
      </c>
      <c r="J528" s="95">
        <f t="shared" si="547"/>
        <v>9.2230886525913481E-3</v>
      </c>
      <c r="K528" s="95">
        <f t="shared" si="547"/>
        <v>6.439690196518133E-3</v>
      </c>
      <c r="L528" s="95">
        <f t="shared" si="547"/>
        <v>3.0233024685776019E-3</v>
      </c>
      <c r="M528" s="95">
        <f t="shared" si="547"/>
        <v>2.2066863560787082E-2</v>
      </c>
      <c r="N528" s="95">
        <f t="shared" si="547"/>
        <v>5.936697590070276E-3</v>
      </c>
      <c r="O528" s="95">
        <f t="shared" si="547"/>
        <v>1.810937766114936E-2</v>
      </c>
      <c r="P528" s="95">
        <f t="shared" si="547"/>
        <v>2.1362679361434749E-2</v>
      </c>
      <c r="Q528" s="95">
        <f t="shared" si="547"/>
        <v>5.0077871394041352E-4</v>
      </c>
      <c r="R528" s="95">
        <f t="shared" si="547"/>
        <v>4.9792500220405137E-3</v>
      </c>
      <c r="S528" s="95">
        <f t="shared" si="547"/>
        <v>5.3959706542336871E-3</v>
      </c>
      <c r="T528" s="95">
        <f t="shared" si="547"/>
        <v>5.7883674422336412E-3</v>
      </c>
      <c r="U528" s="95">
        <f t="shared" si="547"/>
        <v>1.3394890456682108E-2</v>
      </c>
      <c r="V528" s="95">
        <f t="shared" si="547"/>
        <v>2.1804089467816958E-2</v>
      </c>
      <c r="W528" s="95">
        <f t="shared" si="547"/>
        <v>1.2705270191442283E-2</v>
      </c>
      <c r="X528" s="95">
        <f t="shared" si="547"/>
        <v>9.889618614267192E-3</v>
      </c>
      <c r="Y528" s="95">
        <f t="shared" si="547"/>
        <v>1.9768194289423902E-3</v>
      </c>
      <c r="Z528" s="95">
        <f t="shared" si="547"/>
        <v>1.4582141908521434E-4</v>
      </c>
      <c r="AA528" s="95">
        <f t="shared" si="547"/>
        <v>3.2558597680372187E-3</v>
      </c>
      <c r="AB528" s="95">
        <f t="shared" si="547"/>
        <v>4.0059892784046255E-3</v>
      </c>
      <c r="AC528" s="95">
        <f t="shared" si="547"/>
        <v>1.0136647396760366E-2</v>
      </c>
      <c r="AD528" s="95">
        <f t="shared" si="547"/>
        <v>8.6239195688253452E-3</v>
      </c>
      <c r="AE528" s="95">
        <f t="shared" si="547"/>
        <v>3.2714618569032738E-3</v>
      </c>
      <c r="AF528" s="95">
        <f t="shared" si="547"/>
        <v>1.2378392788453616E-3</v>
      </c>
      <c r="AG528" s="95">
        <f t="shared" si="547"/>
        <v>4.1046420736089145E-3</v>
      </c>
      <c r="AH528" s="95">
        <f t="shared" si="547"/>
        <v>1.2718890841712654E-2</v>
      </c>
      <c r="AI528" s="95">
        <f t="shared" si="547"/>
        <v>4.4157065895492698E-3</v>
      </c>
      <c r="AJ528" s="95">
        <f t="shared" si="547"/>
        <v>2.4687415421489882E-2</v>
      </c>
      <c r="AK528" s="95">
        <f t="shared" si="547"/>
        <v>8.181549543616301E-3</v>
      </c>
      <c r="AL528" s="95">
        <f t="shared" si="547"/>
        <v>1.4704508155619633E-2</v>
      </c>
      <c r="AM528" s="95">
        <f t="shared" si="547"/>
        <v>2.4151107050259246E-3</v>
      </c>
      <c r="AN528" s="95">
        <f t="shared" si="547"/>
        <v>4.3968294617972963E-3</v>
      </c>
      <c r="AO528" s="95">
        <f t="shared" si="547"/>
        <v>1.7799799736185045E-2</v>
      </c>
      <c r="AP528" s="95">
        <f t="shared" si="547"/>
        <v>2.5901468354572917E-2</v>
      </c>
      <c r="AQ528" s="95">
        <f t="shared" si="547"/>
        <v>4.9561446322129235E-3</v>
      </c>
      <c r="AR528" s="95">
        <f t="shared" si="547"/>
        <v>3.8505665483526477E-3</v>
      </c>
      <c r="AS528" s="95">
        <f t="shared" si="547"/>
        <v>5.0699429400136121E-3</v>
      </c>
      <c r="AT528" s="95">
        <f t="shared" si="547"/>
        <v>2.6377822003777512E-2</v>
      </c>
      <c r="AU528" s="95">
        <f t="shared" si="547"/>
        <v>1.4583971744688649E-2</v>
      </c>
      <c r="AV528" s="95">
        <f t="shared" si="547"/>
        <v>4.5824885014454073E-2</v>
      </c>
      <c r="AW528" s="95">
        <f t="shared" si="547"/>
        <v>4.8303072577843241E-3</v>
      </c>
      <c r="AX528" s="95">
        <f t="shared" si="547"/>
        <v>7.7169879960421583E-3</v>
      </c>
      <c r="AY528" s="95">
        <f t="shared" si="547"/>
        <v>4.3780908895669296E-2</v>
      </c>
      <c r="AZ528" s="95">
        <f t="shared" si="547"/>
        <v>9.9141494101948321E-2</v>
      </c>
      <c r="BA528" s="95">
        <f t="shared" si="547"/>
        <v>1.4274748406011128E-2</v>
      </c>
      <c r="BB528" s="95">
        <f t="shared" si="547"/>
        <v>9.5541172888050443E-4</v>
      </c>
      <c r="BC528" s="95">
        <f t="shared" si="547"/>
        <v>1.5572263125818777E-2</v>
      </c>
      <c r="BD528" s="95">
        <f t="shared" si="547"/>
        <v>3.7231387943198581E-3</v>
      </c>
      <c r="BE528" s="95">
        <f t="shared" si="547"/>
        <v>2.2870406581799486E-2</v>
      </c>
      <c r="BF528" s="95">
        <f t="shared" si="547"/>
        <v>4.4219317922236569E-3</v>
      </c>
      <c r="BG528" s="95">
        <f t="shared" si="547"/>
        <v>7.4937544177232146E-4</v>
      </c>
      <c r="BH528" s="95">
        <f t="shared" si="547"/>
        <v>1.0678155177413691</v>
      </c>
      <c r="BI528" s="95">
        <f t="shared" si="547"/>
        <v>4.0989397745618428E-3</v>
      </c>
      <c r="BJ528" s="95">
        <f t="shared" si="547"/>
        <v>1.9499718958370447E-3</v>
      </c>
      <c r="BK528" s="95">
        <f t="shared" si="547"/>
        <v>1.4785576979334382E-3</v>
      </c>
      <c r="BL528" s="95">
        <f t="shared" si="547"/>
        <v>5.4770622138117367E-6</v>
      </c>
      <c r="BM528" s="95">
        <f t="shared" si="547"/>
        <v>2.0108812365930611E-3</v>
      </c>
      <c r="BN528" s="95">
        <f t="shared" si="547"/>
        <v>1.2722219966511427E-4</v>
      </c>
      <c r="BO528" s="95">
        <f t="shared" si="547"/>
        <v>1.0173388598903122E-3</v>
      </c>
      <c r="BP528" s="95">
        <f t="shared" si="547"/>
        <v>1.6172181253685789E-3</v>
      </c>
      <c r="BQ528" s="95">
        <f t="shared" si="547"/>
        <v>5.2097578299537971E-4</v>
      </c>
      <c r="BR528" s="95">
        <f t="shared" ref="BR528" si="548">HLOOKUP($A525,$F$305:$BK$372,BR$305+2)</f>
        <v>0</v>
      </c>
    </row>
    <row r="529" spans="1:70" x14ac:dyDescent="0.3">
      <c r="B529" s="3" t="s">
        <v>110</v>
      </c>
      <c r="C529" s="29"/>
      <c r="D529" s="29"/>
      <c r="E529" s="30">
        <f>SUM(F529:BR529)</f>
        <v>1.7694637152190117E-2</v>
      </c>
      <c r="F529" s="28">
        <f>F528*F$155</f>
        <v>1.5290617066484981E-4</v>
      </c>
      <c r="G529" s="28">
        <f t="shared" ref="G529:BR529" si="549">G528*G$155</f>
        <v>2.3120525675310504E-5</v>
      </c>
      <c r="H529" s="28">
        <f t="shared" si="549"/>
        <v>4.1225719240180167E-6</v>
      </c>
      <c r="I529" s="28">
        <f t="shared" si="549"/>
        <v>3.190622258967663E-4</v>
      </c>
      <c r="J529" s="28">
        <f t="shared" si="549"/>
        <v>9.6407592478134398E-6</v>
      </c>
      <c r="K529" s="28">
        <f t="shared" si="549"/>
        <v>2.7127956278785416E-5</v>
      </c>
      <c r="L529" s="28">
        <f t="shared" si="549"/>
        <v>9.5435609640748488E-6</v>
      </c>
      <c r="M529" s="28">
        <f t="shared" si="549"/>
        <v>1.1443193271749687E-4</v>
      </c>
      <c r="N529" s="28">
        <f t="shared" si="549"/>
        <v>1.2331715209037664E-5</v>
      </c>
      <c r="O529" s="28">
        <f t="shared" si="549"/>
        <v>2.1078811920400097E-4</v>
      </c>
      <c r="P529" s="28">
        <f t="shared" si="549"/>
        <v>2.3993448290020924E-5</v>
      </c>
      <c r="Q529" s="28">
        <f t="shared" si="549"/>
        <v>8.9580960752783896E-8</v>
      </c>
      <c r="R529" s="28">
        <f t="shared" si="549"/>
        <v>8.6062750021643767E-6</v>
      </c>
      <c r="S529" s="28">
        <f t="shared" si="549"/>
        <v>1.6459200291401336E-5</v>
      </c>
      <c r="T529" s="28">
        <f t="shared" si="549"/>
        <v>3.8351001086823391E-6</v>
      </c>
      <c r="U529" s="28">
        <f t="shared" si="549"/>
        <v>3.1108369712633529E-5</v>
      </c>
      <c r="V529" s="28">
        <f t="shared" si="549"/>
        <v>1.5184664397125279E-5</v>
      </c>
      <c r="W529" s="28">
        <f t="shared" si="549"/>
        <v>1.1224812089109512E-5</v>
      </c>
      <c r="X529" s="28">
        <f t="shared" si="549"/>
        <v>8.6141134373438663E-6</v>
      </c>
      <c r="Y529" s="28">
        <f t="shared" si="549"/>
        <v>1.4848226309486819E-6</v>
      </c>
      <c r="Z529" s="28">
        <f t="shared" si="549"/>
        <v>9.2947714614120527E-8</v>
      </c>
      <c r="AA529" s="28">
        <f t="shared" si="549"/>
        <v>1.4139211511529209E-5</v>
      </c>
      <c r="AB529" s="28">
        <f t="shared" si="549"/>
        <v>1.8361372249348536E-5</v>
      </c>
      <c r="AC529" s="28">
        <f t="shared" si="549"/>
        <v>1.8361797049107297E-5</v>
      </c>
      <c r="AD529" s="28">
        <f t="shared" si="549"/>
        <v>8.410430033387595E-7</v>
      </c>
      <c r="AE529" s="28">
        <f t="shared" si="549"/>
        <v>1.0342924115244402E-4</v>
      </c>
      <c r="AF529" s="28">
        <f t="shared" si="549"/>
        <v>8.7583058203206867E-6</v>
      </c>
      <c r="AG529" s="28">
        <f t="shared" si="549"/>
        <v>1.9524730553044608E-5</v>
      </c>
      <c r="AH529" s="28">
        <f t="shared" si="549"/>
        <v>1.4726215918530985E-4</v>
      </c>
      <c r="AI529" s="28">
        <f t="shared" si="549"/>
        <v>2.7854215695815441E-5</v>
      </c>
      <c r="AJ529" s="28">
        <f t="shared" si="549"/>
        <v>1.3718022193878315E-4</v>
      </c>
      <c r="AK529" s="28">
        <f t="shared" si="549"/>
        <v>4.4189436468698044E-5</v>
      </c>
      <c r="AL529" s="28">
        <f t="shared" si="549"/>
        <v>1.2472078846297531E-3</v>
      </c>
      <c r="AM529" s="28">
        <f t="shared" si="549"/>
        <v>0</v>
      </c>
      <c r="AN529" s="28">
        <f t="shared" si="549"/>
        <v>3.9010631637707416E-6</v>
      </c>
      <c r="AO529" s="28">
        <f t="shared" si="549"/>
        <v>4.479172123291087E-5</v>
      </c>
      <c r="AP529" s="28">
        <f t="shared" si="549"/>
        <v>5.2011983315674063E-4</v>
      </c>
      <c r="AQ529" s="28">
        <f t="shared" si="549"/>
        <v>1.9910828713323351E-5</v>
      </c>
      <c r="AR529" s="28">
        <f t="shared" si="549"/>
        <v>7.4431024317933835E-6</v>
      </c>
      <c r="AS529" s="28">
        <f t="shared" si="549"/>
        <v>4.2269844124718676E-5</v>
      </c>
      <c r="AT529" s="28">
        <f t="shared" si="549"/>
        <v>2.97827510985957E-5</v>
      </c>
      <c r="AU529" s="28">
        <f t="shared" si="549"/>
        <v>4.9266940507060326E-5</v>
      </c>
      <c r="AV529" s="28">
        <f t="shared" si="549"/>
        <v>1.3637317207288982E-3</v>
      </c>
      <c r="AW529" s="28">
        <f t="shared" si="549"/>
        <v>1.8628266118274803E-4</v>
      </c>
      <c r="AX529" s="28">
        <f t="shared" si="549"/>
        <v>2.1782088036067143E-4</v>
      </c>
      <c r="AY529" s="28">
        <f t="shared" si="549"/>
        <v>7.5435354935344189E-4</v>
      </c>
      <c r="AZ529" s="28">
        <f t="shared" si="549"/>
        <v>3.7757980040051893E-4</v>
      </c>
      <c r="BA529" s="28">
        <f t="shared" si="549"/>
        <v>1.3743661474929526E-4</v>
      </c>
      <c r="BB529" s="28">
        <f t="shared" si="549"/>
        <v>2.6080322276783694E-5</v>
      </c>
      <c r="BC529" s="28">
        <f t="shared" si="549"/>
        <v>6.0471185661311091E-5</v>
      </c>
      <c r="BD529" s="28">
        <f t="shared" si="549"/>
        <v>3.0919418522329382E-5</v>
      </c>
      <c r="BE529" s="28">
        <f t="shared" si="549"/>
        <v>4.1252511385156671E-5</v>
      </c>
      <c r="BF529" s="28">
        <f t="shared" si="549"/>
        <v>8.7597251825782637E-6</v>
      </c>
      <c r="BG529" s="28">
        <f t="shared" si="549"/>
        <v>1.2223260005626334E-6</v>
      </c>
      <c r="BH529" s="28">
        <f t="shared" si="549"/>
        <v>1.0408959418449191E-2</v>
      </c>
      <c r="BI529" s="28">
        <f t="shared" si="549"/>
        <v>2.0413402401685428E-4</v>
      </c>
      <c r="BJ529" s="28">
        <f t="shared" si="549"/>
        <v>8.0131371944317287E-5</v>
      </c>
      <c r="BK529" s="28">
        <f t="shared" si="549"/>
        <v>6.9296731321178442E-5</v>
      </c>
      <c r="BL529" s="28">
        <f t="shared" si="549"/>
        <v>3.1217800261221825E-7</v>
      </c>
      <c r="BM529" s="28">
        <f t="shared" si="549"/>
        <v>9.1121395742987707E-5</v>
      </c>
      <c r="BN529" s="28">
        <f t="shared" si="549"/>
        <v>6.6063121443972794E-6</v>
      </c>
      <c r="BO529" s="28">
        <f t="shared" si="549"/>
        <v>6.1792368345630494E-5</v>
      </c>
      <c r="BP529" s="28">
        <f t="shared" si="549"/>
        <v>4.3853692916714907E-5</v>
      </c>
      <c r="BQ529" s="28">
        <f t="shared" si="549"/>
        <v>1.4154367398590724E-5</v>
      </c>
      <c r="BR529" s="28">
        <f t="shared" si="549"/>
        <v>0</v>
      </c>
    </row>
    <row r="530" spans="1:70" x14ac:dyDescent="0.3">
      <c r="B530" s="3" t="s">
        <v>56</v>
      </c>
      <c r="C530" s="28"/>
      <c r="D530" s="28"/>
      <c r="E530" s="30">
        <f t="shared" ref="E530" si="550">SUM(F530:BR530)</f>
        <v>0.57523644019845499</v>
      </c>
      <c r="F530" s="28">
        <f>F528*F$157</f>
        <v>8.2559563170392044E-4</v>
      </c>
      <c r="G530" s="28">
        <f t="shared" ref="G530:BR530" si="551">G528*G$157</f>
        <v>2.2777825358861301E-4</v>
      </c>
      <c r="H530" s="28">
        <f t="shared" si="551"/>
        <v>1.4288466027734355E-5</v>
      </c>
      <c r="I530" s="28">
        <f t="shared" si="551"/>
        <v>4.8800292875991582E-3</v>
      </c>
      <c r="J530" s="28">
        <f t="shared" si="551"/>
        <v>7.0553142701025974E-4</v>
      </c>
      <c r="K530" s="28">
        <f t="shared" si="551"/>
        <v>6.8563933825577163E-4</v>
      </c>
      <c r="L530" s="28">
        <f t="shared" si="551"/>
        <v>3.3862906549686202E-4</v>
      </c>
      <c r="M530" s="28">
        <f t="shared" si="551"/>
        <v>1.0339308062532967E-3</v>
      </c>
      <c r="N530" s="28">
        <f t="shared" si="551"/>
        <v>1.1101190375201473E-3</v>
      </c>
      <c r="O530" s="28">
        <f t="shared" si="551"/>
        <v>1.79181596613906E-3</v>
      </c>
      <c r="P530" s="28">
        <f t="shared" si="551"/>
        <v>6.2452780744290555E-4</v>
      </c>
      <c r="Q530" s="28">
        <f t="shared" si="551"/>
        <v>1.0068121023736797E-5</v>
      </c>
      <c r="R530" s="28">
        <f t="shared" si="551"/>
        <v>3.8257374726448991E-4</v>
      </c>
      <c r="S530" s="28">
        <f t="shared" si="551"/>
        <v>6.4638822210833424E-4</v>
      </c>
      <c r="T530" s="28">
        <f t="shared" si="551"/>
        <v>1.003455196737423E-4</v>
      </c>
      <c r="U530" s="28">
        <f t="shared" si="551"/>
        <v>1.55215056555473E-3</v>
      </c>
      <c r="V530" s="28">
        <f t="shared" si="551"/>
        <v>5.6160078354882629E-4</v>
      </c>
      <c r="W530" s="28">
        <f t="shared" si="551"/>
        <v>7.8810385955881991E-4</v>
      </c>
      <c r="X530" s="28">
        <f t="shared" si="551"/>
        <v>7.6061949871111595E-4</v>
      </c>
      <c r="Y530" s="28">
        <f t="shared" si="551"/>
        <v>9.4510515807434025E-5</v>
      </c>
      <c r="Z530" s="28">
        <f t="shared" si="551"/>
        <v>8.817577583200528E-6</v>
      </c>
      <c r="AA530" s="28">
        <f t="shared" si="551"/>
        <v>4.7073117840462051E-4</v>
      </c>
      <c r="AB530" s="28">
        <f t="shared" si="551"/>
        <v>1.1525464481885988E-3</v>
      </c>
      <c r="AC530" s="28">
        <f t="shared" si="551"/>
        <v>8.8396167537357125E-4</v>
      </c>
      <c r="AD530" s="28">
        <f t="shared" si="551"/>
        <v>2.3312481257911378E-4</v>
      </c>
      <c r="AE530" s="28">
        <f t="shared" si="551"/>
        <v>3.412846204814811E-4</v>
      </c>
      <c r="AF530" s="28">
        <f t="shared" si="551"/>
        <v>2.6271724727723388E-4</v>
      </c>
      <c r="AG530" s="28">
        <f t="shared" si="551"/>
        <v>3.4317333295200424E-4</v>
      </c>
      <c r="AH530" s="28">
        <f t="shared" si="551"/>
        <v>3.2928375818500701E-3</v>
      </c>
      <c r="AI530" s="28">
        <f t="shared" si="551"/>
        <v>1.4016424099695395E-3</v>
      </c>
      <c r="AJ530" s="28">
        <f t="shared" si="551"/>
        <v>6.3869253174149068E-3</v>
      </c>
      <c r="AK530" s="28">
        <f t="shared" si="551"/>
        <v>3.2051078383737558E-3</v>
      </c>
      <c r="AL530" s="28">
        <f t="shared" si="551"/>
        <v>2.6525335207746867E-3</v>
      </c>
      <c r="AM530" s="28">
        <f t="shared" si="551"/>
        <v>4.7574601919813196E-5</v>
      </c>
      <c r="AN530" s="28">
        <f t="shared" si="551"/>
        <v>3.1339016720549774E-4</v>
      </c>
      <c r="AO530" s="28">
        <f t="shared" si="551"/>
        <v>1.8921048693791055E-3</v>
      </c>
      <c r="AP530" s="28">
        <f t="shared" si="551"/>
        <v>1.0399562590354247E-2</v>
      </c>
      <c r="AQ530" s="28">
        <f t="shared" si="551"/>
        <v>1.324854328203729E-3</v>
      </c>
      <c r="AR530" s="28">
        <f t="shared" si="551"/>
        <v>1.011180613991575E-3</v>
      </c>
      <c r="AS530" s="28">
        <f t="shared" si="551"/>
        <v>1.1661517356911289E-3</v>
      </c>
      <c r="AT530" s="28">
        <f t="shared" si="551"/>
        <v>2.324641744411464E-3</v>
      </c>
      <c r="AU530" s="28">
        <f t="shared" si="551"/>
        <v>5.8032964027786857E-3</v>
      </c>
      <c r="AV530" s="28">
        <f t="shared" si="551"/>
        <v>9.7564348838433106E-3</v>
      </c>
      <c r="AW530" s="28">
        <f t="shared" si="551"/>
        <v>1.1128675786442378E-3</v>
      </c>
      <c r="AX530" s="28">
        <f t="shared" si="551"/>
        <v>1.8032786092661518E-3</v>
      </c>
      <c r="AY530" s="28">
        <f t="shared" si="551"/>
        <v>2.892563661067089E-3</v>
      </c>
      <c r="AZ530" s="28">
        <f t="shared" si="551"/>
        <v>2.0984244251835388E-2</v>
      </c>
      <c r="BA530" s="28">
        <f t="shared" si="551"/>
        <v>4.2912961319618729E-3</v>
      </c>
      <c r="BB530" s="28">
        <f t="shared" si="551"/>
        <v>5.6730419374479595E-4</v>
      </c>
      <c r="BC530" s="28">
        <f t="shared" si="551"/>
        <v>3.036339448666246E-3</v>
      </c>
      <c r="BD530" s="28">
        <f t="shared" si="551"/>
        <v>1.2061361126365288E-3</v>
      </c>
      <c r="BE530" s="28">
        <f t="shared" si="551"/>
        <v>1.4942818840678472E-3</v>
      </c>
      <c r="BF530" s="28">
        <f t="shared" si="551"/>
        <v>3.2615396011046014E-3</v>
      </c>
      <c r="BG530" s="28">
        <f t="shared" si="551"/>
        <v>1.6322278684276589E-4</v>
      </c>
      <c r="BH530" s="28">
        <f t="shared" si="551"/>
        <v>0.45662341252819771</v>
      </c>
      <c r="BI530" s="28">
        <f t="shared" si="551"/>
        <v>2.1539389019310478E-3</v>
      </c>
      <c r="BJ530" s="28">
        <f t="shared" si="551"/>
        <v>1.249483642416472E-3</v>
      </c>
      <c r="BK530" s="28">
        <f t="shared" si="551"/>
        <v>7.6817333718489451E-4</v>
      </c>
      <c r="BL530" s="28">
        <f t="shared" si="551"/>
        <v>3.189754003870484E-6</v>
      </c>
      <c r="BM530" s="28">
        <f t="shared" si="551"/>
        <v>7.6278857647421507E-4</v>
      </c>
      <c r="BN530" s="28">
        <f t="shared" si="551"/>
        <v>3.580118772599676E-5</v>
      </c>
      <c r="BO530" s="28">
        <f t="shared" si="551"/>
        <v>4.050789446709727E-4</v>
      </c>
      <c r="BP530" s="28">
        <f t="shared" si="551"/>
        <v>4.5928050142416001E-4</v>
      </c>
      <c r="BQ530" s="28">
        <f t="shared" si="551"/>
        <v>1.5337714529787934E-4</v>
      </c>
      <c r="BR530" s="28">
        <f t="shared" si="551"/>
        <v>0</v>
      </c>
    </row>
    <row r="531" spans="1:70" x14ac:dyDescent="0.3">
      <c r="B531" s="2" t="s">
        <v>22</v>
      </c>
      <c r="C531" s="28"/>
      <c r="D531" s="28"/>
      <c r="E531" s="30">
        <f>SUM(F531:BR531)</f>
        <v>0.16935186753228718</v>
      </c>
      <c r="F531" s="28">
        <f t="shared" ref="F531:AK531" si="552">F528*F$161</f>
        <v>1.7187133776677115E-3</v>
      </c>
      <c r="G531" s="28">
        <f t="shared" si="552"/>
        <v>3.1486920090570338E-4</v>
      </c>
      <c r="H531" s="28">
        <f t="shared" si="552"/>
        <v>2.5861724847685307E-5</v>
      </c>
      <c r="I531" s="28">
        <f t="shared" si="552"/>
        <v>3.6786066770588938E-3</v>
      </c>
      <c r="J531" s="28">
        <f t="shared" si="552"/>
        <v>1.9752343105530217E-4</v>
      </c>
      <c r="K531" s="28">
        <f t="shared" si="552"/>
        <v>8.5030467694955034E-5</v>
      </c>
      <c r="L531" s="28">
        <f t="shared" si="552"/>
        <v>1.8146999040945808E-4</v>
      </c>
      <c r="M531" s="28">
        <f t="shared" si="552"/>
        <v>1.6240605632119192E-3</v>
      </c>
      <c r="N531" s="28">
        <f t="shared" si="552"/>
        <v>5.1083214684365726E-4</v>
      </c>
      <c r="O531" s="28">
        <f t="shared" si="552"/>
        <v>4.6978422587011914E-3</v>
      </c>
      <c r="P531" s="28">
        <f t="shared" si="552"/>
        <v>1.0122760715950078E-3</v>
      </c>
      <c r="Q531" s="28">
        <f t="shared" si="552"/>
        <v>2.8894032868894829E-6</v>
      </c>
      <c r="R531" s="28">
        <f t="shared" si="552"/>
        <v>7.6006589792385602E-5</v>
      </c>
      <c r="S531" s="28">
        <f t="shared" si="552"/>
        <v>1.2477330523035779E-4</v>
      </c>
      <c r="T531" s="28">
        <f t="shared" si="552"/>
        <v>3.5514065455540869E-5</v>
      </c>
      <c r="U531" s="28">
        <f t="shared" si="552"/>
        <v>4.4962963138747459E-4</v>
      </c>
      <c r="V531" s="28">
        <f t="shared" si="552"/>
        <v>4.1085245489721843E-4</v>
      </c>
      <c r="W531" s="28">
        <f t="shared" si="552"/>
        <v>4.2553867191658085E-4</v>
      </c>
      <c r="X531" s="28">
        <f t="shared" si="552"/>
        <v>1.7312965519665843E-4</v>
      </c>
      <c r="Y531" s="28">
        <f t="shared" si="552"/>
        <v>8.3742999063412266E-5</v>
      </c>
      <c r="Z531" s="28">
        <f t="shared" si="552"/>
        <v>5.5882283427883215E-6</v>
      </c>
      <c r="AA531" s="28">
        <f t="shared" si="552"/>
        <v>1.1360370141170976E-4</v>
      </c>
      <c r="AB531" s="28">
        <f t="shared" si="552"/>
        <v>2.5459443067367882E-4</v>
      </c>
      <c r="AC531" s="28">
        <f t="shared" si="552"/>
        <v>2.5251100846910277E-3</v>
      </c>
      <c r="AD531" s="28">
        <f t="shared" si="552"/>
        <v>5.6075414019192665E-4</v>
      </c>
      <c r="AE531" s="28">
        <f t="shared" si="552"/>
        <v>4.8275298086851101E-4</v>
      </c>
      <c r="AF531" s="28">
        <f t="shared" si="552"/>
        <v>2.5009062586494013E-4</v>
      </c>
      <c r="AG531" s="28">
        <f t="shared" si="552"/>
        <v>3.4519863961613833E-4</v>
      </c>
      <c r="AH531" s="28">
        <f t="shared" si="552"/>
        <v>7.1882338746975349E-4</v>
      </c>
      <c r="AI531" s="28">
        <f t="shared" si="552"/>
        <v>2.0567670198199696E-4</v>
      </c>
      <c r="AJ531" s="28">
        <f t="shared" si="552"/>
        <v>4.9446410444542429E-3</v>
      </c>
      <c r="AK531" s="28">
        <f t="shared" si="552"/>
        <v>7.0553743086998455E-4</v>
      </c>
      <c r="AL531" s="28">
        <f t="shared" ref="AL531:BR531" si="553">AL528*AL$161</f>
        <v>5.635601175156262E-4</v>
      </c>
      <c r="AM531" s="28">
        <f t="shared" si="553"/>
        <v>1.2245567413282407E-4</v>
      </c>
      <c r="AN531" s="28">
        <f t="shared" si="553"/>
        <v>0</v>
      </c>
      <c r="AO531" s="28">
        <f t="shared" si="553"/>
        <v>2.8828926606820084E-3</v>
      </c>
      <c r="AP531" s="28">
        <f t="shared" si="553"/>
        <v>1.3806657895978295E-3</v>
      </c>
      <c r="AQ531" s="28">
        <f t="shared" si="553"/>
        <v>3.0402357227567539E-5</v>
      </c>
      <c r="AR531" s="28">
        <f t="shared" si="553"/>
        <v>4.9077299812270528E-5</v>
      </c>
      <c r="AS531" s="28">
        <f t="shared" si="553"/>
        <v>7.0286429469151518E-6</v>
      </c>
      <c r="AT531" s="28">
        <f t="shared" si="553"/>
        <v>5.4866979147889725E-3</v>
      </c>
      <c r="AU531" s="28">
        <f t="shared" si="553"/>
        <v>2.0013528572187037E-3</v>
      </c>
      <c r="AV531" s="28">
        <f t="shared" si="553"/>
        <v>8.7792003361909666E-3</v>
      </c>
      <c r="AW531" s="28">
        <f t="shared" si="553"/>
        <v>1.0219208199588284E-3</v>
      </c>
      <c r="AX531" s="28">
        <f t="shared" si="553"/>
        <v>1.1341311706057275E-3</v>
      </c>
      <c r="AY531" s="28">
        <f t="shared" si="553"/>
        <v>1.6242143867210585E-2</v>
      </c>
      <c r="AZ531" s="28">
        <f t="shared" si="553"/>
        <v>1.7657267769065621E-2</v>
      </c>
      <c r="BA531" s="28">
        <f t="shared" si="553"/>
        <v>1.7327833889096292E-3</v>
      </c>
      <c r="BB531" s="28">
        <f t="shared" si="553"/>
        <v>3.7180535564205122E-6</v>
      </c>
      <c r="BC531" s="28">
        <f t="shared" si="553"/>
        <v>1.443868254568966E-3</v>
      </c>
      <c r="BD531" s="28">
        <f t="shared" si="553"/>
        <v>4.299051100702511E-4</v>
      </c>
      <c r="BE531" s="28">
        <f t="shared" si="553"/>
        <v>3.2140654655833582E-3</v>
      </c>
      <c r="BF531" s="28">
        <f t="shared" si="553"/>
        <v>0</v>
      </c>
      <c r="BG531" s="28">
        <f t="shared" si="553"/>
        <v>3.7430563834656575E-5</v>
      </c>
      <c r="BH531" s="28">
        <f t="shared" si="553"/>
        <v>7.7965775590071118E-2</v>
      </c>
      <c r="BI531" s="28">
        <f t="shared" si="553"/>
        <v>0</v>
      </c>
      <c r="BJ531" s="28">
        <f t="shared" si="553"/>
        <v>1.6865546491016836E-5</v>
      </c>
      <c r="BK531" s="28">
        <f t="shared" si="553"/>
        <v>2.3345890653209754E-5</v>
      </c>
      <c r="BL531" s="28">
        <f t="shared" si="553"/>
        <v>7.1076388227516306E-9</v>
      </c>
      <c r="BM531" s="28">
        <f t="shared" si="553"/>
        <v>7.4149770922286049E-5</v>
      </c>
      <c r="BN531" s="28">
        <f t="shared" si="553"/>
        <v>0</v>
      </c>
      <c r="BO531" s="28">
        <f t="shared" si="553"/>
        <v>0</v>
      </c>
      <c r="BP531" s="28">
        <f t="shared" si="553"/>
        <v>8.2939266112992942E-5</v>
      </c>
      <c r="BQ531" s="28">
        <f t="shared" si="553"/>
        <v>2.6682164265328559E-5</v>
      </c>
      <c r="BR531" s="28">
        <f t="shared" si="553"/>
        <v>0</v>
      </c>
    </row>
    <row r="532" spans="1:70" x14ac:dyDescent="0.3">
      <c r="B532" s="2" t="s">
        <v>21</v>
      </c>
      <c r="C532" s="28"/>
      <c r="D532" s="28"/>
      <c r="E532" s="30">
        <f t="shared" ref="E532:E534" si="554">SUM(F532:BR532)</f>
        <v>8.2345810154979021E-2</v>
      </c>
      <c r="F532" s="28">
        <f>F528*F$160</f>
        <v>7.2220860197999451E-4</v>
      </c>
      <c r="G532" s="28">
        <f t="shared" ref="G532:BR532" si="555">G528*G$160</f>
        <v>1.5118042230985286E-4</v>
      </c>
      <c r="H532" s="28">
        <f t="shared" si="555"/>
        <v>2.4947382333856906E-5</v>
      </c>
      <c r="I532" s="28">
        <f t="shared" si="555"/>
        <v>1.2713188954940171E-3</v>
      </c>
      <c r="J532" s="28">
        <f t="shared" si="555"/>
        <v>1.9168477006989396E-4</v>
      </c>
      <c r="K532" s="28">
        <f t="shared" si="555"/>
        <v>9.7450132840409974E-5</v>
      </c>
      <c r="L532" s="28">
        <f t="shared" si="555"/>
        <v>9.6862585959940571E-5</v>
      </c>
      <c r="M532" s="28">
        <f t="shared" si="555"/>
        <v>5.8454894764154396E-4</v>
      </c>
      <c r="N532" s="28">
        <f t="shared" si="555"/>
        <v>3.0378427958175887E-4</v>
      </c>
      <c r="O532" s="28">
        <f t="shared" si="555"/>
        <v>7.0390055120167234E-4</v>
      </c>
      <c r="P532" s="28">
        <f t="shared" si="555"/>
        <v>1.4988835288580934E-4</v>
      </c>
      <c r="Q532" s="28">
        <f t="shared" si="555"/>
        <v>8.2199341212492376E-7</v>
      </c>
      <c r="R532" s="28">
        <f t="shared" si="555"/>
        <v>7.7552804702369794E-5</v>
      </c>
      <c r="S532" s="28">
        <f t="shared" si="555"/>
        <v>2.6531064115592294E-4</v>
      </c>
      <c r="T532" s="28">
        <f t="shared" si="555"/>
        <v>1.2428266762100121E-5</v>
      </c>
      <c r="U532" s="28">
        <f t="shared" si="555"/>
        <v>1.9601378182380652E-4</v>
      </c>
      <c r="V532" s="28">
        <f t="shared" si="555"/>
        <v>5.8010466606664672E-5</v>
      </c>
      <c r="W532" s="28">
        <f t="shared" si="555"/>
        <v>5.7252348180643158E-5</v>
      </c>
      <c r="X532" s="28">
        <f t="shared" si="555"/>
        <v>8.9358610045069359E-5</v>
      </c>
      <c r="Y532" s="28">
        <f t="shared" si="555"/>
        <v>1.0552380121018466E-5</v>
      </c>
      <c r="Z532" s="28">
        <f t="shared" si="555"/>
        <v>1.3742872309863347E-6</v>
      </c>
      <c r="AA532" s="28">
        <f t="shared" si="555"/>
        <v>7.4096021516548651E-5</v>
      </c>
      <c r="AB532" s="28">
        <f t="shared" si="555"/>
        <v>1.3970981418709815E-4</v>
      </c>
      <c r="AC532" s="28">
        <f t="shared" si="555"/>
        <v>1.5048366547614552E-3</v>
      </c>
      <c r="AD532" s="28">
        <f t="shared" si="555"/>
        <v>9.2859352866192578E-5</v>
      </c>
      <c r="AE532" s="28">
        <f t="shared" si="555"/>
        <v>1.7835601451633045E-4</v>
      </c>
      <c r="AF532" s="28">
        <f t="shared" si="555"/>
        <v>3.0731717643486871E-4</v>
      </c>
      <c r="AG532" s="28">
        <f t="shared" si="555"/>
        <v>1.3497204985113748E-4</v>
      </c>
      <c r="AH532" s="28">
        <f t="shared" si="555"/>
        <v>5.5755336888657235E-4</v>
      </c>
      <c r="AI532" s="28">
        <f t="shared" si="555"/>
        <v>2.8155546640017641E-4</v>
      </c>
      <c r="AJ532" s="28">
        <f t="shared" si="555"/>
        <v>1.6474460863180238E-3</v>
      </c>
      <c r="AK532" s="28">
        <f t="shared" si="555"/>
        <v>5.0250012920052866E-4</v>
      </c>
      <c r="AL532" s="28">
        <f t="shared" si="555"/>
        <v>1.6673282150856926E-3</v>
      </c>
      <c r="AM532" s="28">
        <f t="shared" si="555"/>
        <v>6.3036321111655953E-5</v>
      </c>
      <c r="AN532" s="28">
        <f t="shared" si="555"/>
        <v>6.145459606235915E-5</v>
      </c>
      <c r="AO532" s="28">
        <f t="shared" si="555"/>
        <v>7.1084096659601202E-4</v>
      </c>
      <c r="AP532" s="28">
        <f t="shared" si="555"/>
        <v>3.8438799034475513E-4</v>
      </c>
      <c r="AQ532" s="28">
        <f t="shared" si="555"/>
        <v>2.3380216011737172E-4</v>
      </c>
      <c r="AR532" s="28">
        <f t="shared" si="555"/>
        <v>2.1360793150897972E-4</v>
      </c>
      <c r="AS532" s="28">
        <f t="shared" si="555"/>
        <v>1.0225073786285707E-3</v>
      </c>
      <c r="AT532" s="28">
        <f t="shared" si="555"/>
        <v>1.6061262087185503E-3</v>
      </c>
      <c r="AU532" s="28">
        <f t="shared" si="555"/>
        <v>4.2641248887921352E-4</v>
      </c>
      <c r="AV532" s="28">
        <f t="shared" si="555"/>
        <v>4.6795898293883181E-3</v>
      </c>
      <c r="AW532" s="28">
        <f t="shared" si="555"/>
        <v>2.0981362405708679E-4</v>
      </c>
      <c r="AX532" s="28">
        <f t="shared" si="555"/>
        <v>5.1559773114044248E-4</v>
      </c>
      <c r="AY532" s="28">
        <f t="shared" si="555"/>
        <v>1.157598207758424E-2</v>
      </c>
      <c r="AZ532" s="28">
        <f t="shared" si="555"/>
        <v>2.5677248061008726E-3</v>
      </c>
      <c r="BA532" s="28">
        <f t="shared" si="555"/>
        <v>6.3598605355952894E-4</v>
      </c>
      <c r="BB532" s="28">
        <f t="shared" si="555"/>
        <v>7.5181071332379942E-5</v>
      </c>
      <c r="BC532" s="28">
        <f t="shared" si="555"/>
        <v>3.972966952274224E-4</v>
      </c>
      <c r="BD532" s="28">
        <f t="shared" si="555"/>
        <v>1.2103179666217706E-4</v>
      </c>
      <c r="BE532" s="28">
        <f t="shared" si="555"/>
        <v>4.3276062696504672E-3</v>
      </c>
      <c r="BF532" s="28">
        <f t="shared" si="555"/>
        <v>4.3417517236523382E-5</v>
      </c>
      <c r="BG532" s="28">
        <f t="shared" si="555"/>
        <v>2.0174296216755054E-5</v>
      </c>
      <c r="BH532" s="28">
        <f t="shared" si="555"/>
        <v>3.9236366992669428E-2</v>
      </c>
      <c r="BI532" s="28">
        <f t="shared" si="555"/>
        <v>4.470293498713187E-4</v>
      </c>
      <c r="BJ532" s="28">
        <f t="shared" si="555"/>
        <v>1.2333348082222464E-4</v>
      </c>
      <c r="BK532" s="28">
        <f t="shared" si="555"/>
        <v>9.028734017021693E-5</v>
      </c>
      <c r="BL532" s="28">
        <f t="shared" si="555"/>
        <v>2.8246708744090085E-7</v>
      </c>
      <c r="BM532" s="28">
        <f t="shared" si="555"/>
        <v>1.7047775988662849E-4</v>
      </c>
      <c r="BN532" s="28">
        <f t="shared" si="555"/>
        <v>1.6210135317854001E-5</v>
      </c>
      <c r="BO532" s="28">
        <f t="shared" si="555"/>
        <v>3.1251082021426648E-5</v>
      </c>
      <c r="BP532" s="28">
        <f t="shared" si="555"/>
        <v>1.2918952707387287E-4</v>
      </c>
      <c r="BQ532" s="28">
        <f t="shared" si="555"/>
        <v>5.4823357570853216E-5</v>
      </c>
      <c r="BR532" s="28">
        <f t="shared" si="555"/>
        <v>0</v>
      </c>
    </row>
    <row r="533" spans="1:70" x14ac:dyDescent="0.3">
      <c r="B533" s="3" t="s">
        <v>44</v>
      </c>
      <c r="C533" s="28"/>
      <c r="D533" s="28"/>
      <c r="E533" s="30">
        <f t="shared" si="554"/>
        <v>0.82619033671401321</v>
      </c>
      <c r="F533" s="28">
        <f>F528*F$162</f>
        <v>1.8770449487944306E-3</v>
      </c>
      <c r="G533" s="28">
        <f t="shared" ref="G533:BR533" si="556">G528*G$162</f>
        <v>7.1313823910492877E-4</v>
      </c>
      <c r="H533" s="28">
        <f t="shared" si="556"/>
        <v>6.9120622908608757E-5</v>
      </c>
      <c r="I533" s="28">
        <f t="shared" si="556"/>
        <v>1.0447094383879947E-2</v>
      </c>
      <c r="J533" s="28">
        <f t="shared" si="556"/>
        <v>1.0928106591185055E-3</v>
      </c>
      <c r="K533" s="28">
        <f t="shared" si="556"/>
        <v>8.6808227438978037E-4</v>
      </c>
      <c r="L533" s="28">
        <f t="shared" si="556"/>
        <v>6.1580539352309213E-4</v>
      </c>
      <c r="M533" s="28">
        <f t="shared" si="556"/>
        <v>3.280400842877416E-3</v>
      </c>
      <c r="N533" s="28">
        <f t="shared" si="556"/>
        <v>1.9190450867502774E-3</v>
      </c>
      <c r="O533" s="28">
        <f t="shared" si="556"/>
        <v>7.3679160653224666E-3</v>
      </c>
      <c r="P533" s="28">
        <f t="shared" si="556"/>
        <v>1.7843171898508153E-3</v>
      </c>
      <c r="Q533" s="28">
        <f t="shared" si="556"/>
        <v>1.3778590383612977E-5</v>
      </c>
      <c r="R533" s="28">
        <f t="shared" si="556"/>
        <v>5.340739918711355E-4</v>
      </c>
      <c r="S533" s="28">
        <f t="shared" si="556"/>
        <v>1.040710004591191E-3</v>
      </c>
      <c r="T533" s="28">
        <f t="shared" si="556"/>
        <v>1.4855552110998649E-4</v>
      </c>
      <c r="U533" s="28">
        <f t="shared" si="556"/>
        <v>2.1976108478462797E-3</v>
      </c>
      <c r="V533" s="28">
        <f t="shared" si="556"/>
        <v>1.0238859492157192E-3</v>
      </c>
      <c r="W533" s="28">
        <f t="shared" si="556"/>
        <v>1.2709905165579089E-3</v>
      </c>
      <c r="X533" s="28">
        <f t="shared" si="556"/>
        <v>1.0134140872498541E-3</v>
      </c>
      <c r="Y533" s="28">
        <f t="shared" si="556"/>
        <v>1.8884436312975277E-4</v>
      </c>
      <c r="Z533" s="28">
        <f t="shared" si="556"/>
        <v>1.5568975734836577E-5</v>
      </c>
      <c r="AA533" s="28">
        <f t="shared" si="556"/>
        <v>6.5681382123225149E-4</v>
      </c>
      <c r="AB533" s="28">
        <f t="shared" si="556"/>
        <v>1.545951297018857E-3</v>
      </c>
      <c r="AC533" s="28">
        <f t="shared" si="556"/>
        <v>5.1509050845768784E-3</v>
      </c>
      <c r="AD533" s="28">
        <f t="shared" si="556"/>
        <v>8.8769012015808466E-4</v>
      </c>
      <c r="AE533" s="28">
        <f t="shared" si="556"/>
        <v>1.0284374832691312E-3</v>
      </c>
      <c r="AF533" s="28">
        <f t="shared" si="556"/>
        <v>8.8984157257664999E-4</v>
      </c>
      <c r="AG533" s="28">
        <f t="shared" si="556"/>
        <v>8.342279284829304E-4</v>
      </c>
      <c r="AH533" s="28">
        <f t="shared" si="556"/>
        <v>4.5827355430619922E-3</v>
      </c>
      <c r="AI533" s="28">
        <f t="shared" si="556"/>
        <v>1.8905859937105851E-3</v>
      </c>
      <c r="AJ533" s="28">
        <f t="shared" si="556"/>
        <v>1.2971103906824957E-2</v>
      </c>
      <c r="AK533" s="28">
        <f t="shared" si="556"/>
        <v>4.4197903050477595E-3</v>
      </c>
      <c r="AL533" s="28">
        <f t="shared" si="556"/>
        <v>4.8827029458263513E-3</v>
      </c>
      <c r="AM533" s="28">
        <f t="shared" si="556"/>
        <v>2.3354343218586875E-4</v>
      </c>
      <c r="AN533" s="28">
        <f t="shared" si="556"/>
        <v>3.7458773860845766E-4</v>
      </c>
      <c r="AO533" s="28">
        <f t="shared" si="556"/>
        <v>5.5027173118843377E-3</v>
      </c>
      <c r="AP533" s="28">
        <f t="shared" si="556"/>
        <v>1.2177032308192635E-2</v>
      </c>
      <c r="AQ533" s="28">
        <f t="shared" si="556"/>
        <v>1.5830791774447581E-3</v>
      </c>
      <c r="AR533" s="28">
        <f t="shared" si="556"/>
        <v>1.2635781558832523E-3</v>
      </c>
      <c r="AS533" s="28">
        <f t="shared" si="556"/>
        <v>2.1330254268224552E-3</v>
      </c>
      <c r="AT533" s="28">
        <f t="shared" si="556"/>
        <v>9.4142946871543006E-3</v>
      </c>
      <c r="AU533" s="28">
        <f t="shared" si="556"/>
        <v>8.0997292675211788E-3</v>
      </c>
      <c r="AV533" s="28">
        <f t="shared" si="556"/>
        <v>2.3243981605498811E-2</v>
      </c>
      <c r="AW533" s="28">
        <f t="shared" si="556"/>
        <v>2.3472903319625691E-3</v>
      </c>
      <c r="AX533" s="28">
        <f t="shared" si="556"/>
        <v>3.4464244919769709E-3</v>
      </c>
      <c r="AY533" s="28">
        <f t="shared" si="556"/>
        <v>3.1271169647913023E-2</v>
      </c>
      <c r="AZ533" s="28">
        <f t="shared" si="556"/>
        <v>4.1109297774113041E-2</v>
      </c>
      <c r="BA533" s="28">
        <f t="shared" si="556"/>
        <v>6.6350433284717535E-3</v>
      </c>
      <c r="BB533" s="28">
        <f t="shared" si="556"/>
        <v>5.6003640246329606E-4</v>
      </c>
      <c r="BC533" s="28">
        <f t="shared" si="556"/>
        <v>4.8233953669181004E-3</v>
      </c>
      <c r="BD533" s="28">
        <f t="shared" si="556"/>
        <v>1.6308073299831122E-3</v>
      </c>
      <c r="BE533" s="28">
        <f t="shared" si="556"/>
        <v>9.0525192579665632E-3</v>
      </c>
      <c r="BF533" s="28">
        <f t="shared" si="556"/>
        <v>3.3057539819371672E-3</v>
      </c>
      <c r="BG533" s="28">
        <f t="shared" si="556"/>
        <v>2.2091217842948611E-4</v>
      </c>
      <c r="BH533" s="28">
        <f t="shared" si="556"/>
        <v>0.57325051052940068</v>
      </c>
      <c r="BI533" s="28">
        <f t="shared" si="556"/>
        <v>2.6125860675937237E-3</v>
      </c>
      <c r="BJ533" s="28">
        <f t="shared" si="556"/>
        <v>1.389213391172144E-3</v>
      </c>
      <c r="BK533" s="28">
        <f t="shared" si="556"/>
        <v>8.8196077504306553E-4</v>
      </c>
      <c r="BL533" s="28">
        <f t="shared" si="556"/>
        <v>3.4721335453366628E-6</v>
      </c>
      <c r="BM533" s="28">
        <f t="shared" si="556"/>
        <v>1.0073763199171233E-3</v>
      </c>
      <c r="BN533" s="28">
        <f t="shared" si="556"/>
        <v>5.1317097869811827E-5</v>
      </c>
      <c r="BO533" s="28">
        <f t="shared" si="556"/>
        <v>4.3536477753088043E-4</v>
      </c>
      <c r="BP533" s="28">
        <f t="shared" si="556"/>
        <v>6.7234991004380869E-4</v>
      </c>
      <c r="BQ533" s="28">
        <f t="shared" si="556"/>
        <v>2.3497195256848633E-4</v>
      </c>
      <c r="BR533" s="28">
        <f t="shared" si="556"/>
        <v>0</v>
      </c>
    </row>
    <row r="534" spans="1:70" x14ac:dyDescent="0.3">
      <c r="B534" s="3" t="s">
        <v>25</v>
      </c>
      <c r="C534" s="28"/>
      <c r="D534" s="28"/>
      <c r="E534" s="30">
        <f t="shared" si="554"/>
        <v>0.15611502613379696</v>
      </c>
      <c r="F534" s="28">
        <f>F528*F$164</f>
        <v>1.3626285825417074E-3</v>
      </c>
      <c r="G534" s="28">
        <f t="shared" ref="G534:BR534" si="557">G528*G$164</f>
        <v>1.0847630461256222E-4</v>
      </c>
      <c r="H534" s="28">
        <f t="shared" si="557"/>
        <v>4.4098096993000569E-5</v>
      </c>
      <c r="I534" s="28">
        <f t="shared" si="557"/>
        <v>0</v>
      </c>
      <c r="J534" s="28">
        <f t="shared" si="557"/>
        <v>3.7468196125158598E-3</v>
      </c>
      <c r="K534" s="28">
        <f t="shared" si="557"/>
        <v>3.6398110486670623E-3</v>
      </c>
      <c r="L534" s="28">
        <f t="shared" si="557"/>
        <v>5.0981710437810357E-4</v>
      </c>
      <c r="M534" s="28">
        <f t="shared" si="557"/>
        <v>1.1691834939729159E-2</v>
      </c>
      <c r="N534" s="28">
        <f t="shared" si="557"/>
        <v>7.2011431039748516E-5</v>
      </c>
      <c r="O534" s="28">
        <f t="shared" si="557"/>
        <v>0</v>
      </c>
      <c r="P534" s="28">
        <f t="shared" si="557"/>
        <v>1.4419580785863605E-2</v>
      </c>
      <c r="Q534" s="28">
        <f t="shared" si="557"/>
        <v>4.4380596477295355E-4</v>
      </c>
      <c r="R534" s="28">
        <f t="shared" si="557"/>
        <v>2.8832527952290746E-3</v>
      </c>
      <c r="S534" s="28">
        <f t="shared" si="557"/>
        <v>1.9968688826952083E-3</v>
      </c>
      <c r="T534" s="28">
        <f t="shared" si="557"/>
        <v>5.1728669977369095E-3</v>
      </c>
      <c r="U534" s="28">
        <f t="shared" si="557"/>
        <v>4.4250890974957095E-3</v>
      </c>
      <c r="V534" s="28">
        <f t="shared" si="557"/>
        <v>1.2304549100399948E-2</v>
      </c>
      <c r="W534" s="28">
        <f t="shared" si="557"/>
        <v>7.0480332106038508E-3</v>
      </c>
      <c r="X534" s="28">
        <f t="shared" si="557"/>
        <v>6.7821900391064035E-3</v>
      </c>
      <c r="Y534" s="28">
        <f t="shared" si="557"/>
        <v>1.3515756501185935E-3</v>
      </c>
      <c r="Z534" s="28">
        <f t="shared" si="557"/>
        <v>1.0070075283605797E-4</v>
      </c>
      <c r="AA534" s="28">
        <f t="shared" si="557"/>
        <v>1.1383859006837706E-3</v>
      </c>
      <c r="AB534" s="28">
        <f t="shared" si="557"/>
        <v>1.2355958685014999E-4</v>
      </c>
      <c r="AC534" s="28">
        <f t="shared" si="557"/>
        <v>7.7361824265580691E-4</v>
      </c>
      <c r="AD534" s="28">
        <f t="shared" si="557"/>
        <v>0</v>
      </c>
      <c r="AE534" s="28">
        <f t="shared" si="557"/>
        <v>0</v>
      </c>
      <c r="AF534" s="28">
        <f t="shared" si="557"/>
        <v>0</v>
      </c>
      <c r="AG534" s="28">
        <f t="shared" si="557"/>
        <v>7.2249125168119327E-4</v>
      </c>
      <c r="AH534" s="28">
        <f t="shared" si="557"/>
        <v>4.2119981552114712E-4</v>
      </c>
      <c r="AI534" s="28">
        <f t="shared" si="557"/>
        <v>2.2673715150040449E-5</v>
      </c>
      <c r="AJ534" s="28">
        <f t="shared" si="557"/>
        <v>0</v>
      </c>
      <c r="AK534" s="28">
        <f t="shared" si="557"/>
        <v>0</v>
      </c>
      <c r="AL534" s="28">
        <f t="shared" si="557"/>
        <v>9.430519627139836E-4</v>
      </c>
      <c r="AM534" s="28">
        <f t="shared" si="557"/>
        <v>3.6239567368129185E-4</v>
      </c>
      <c r="AN534" s="28">
        <f t="shared" si="557"/>
        <v>1.6836971479857227E-3</v>
      </c>
      <c r="AO534" s="28">
        <f t="shared" si="557"/>
        <v>2.3353801209209705E-3</v>
      </c>
      <c r="AP534" s="28">
        <f t="shared" si="557"/>
        <v>2.6540079421126547E-3</v>
      </c>
      <c r="AQ534" s="28">
        <f t="shared" si="557"/>
        <v>4.7073252031927835E-4</v>
      </c>
      <c r="AR534" s="28">
        <f t="shared" si="557"/>
        <v>8.0537778079670065E-4</v>
      </c>
      <c r="AS534" s="28">
        <f t="shared" si="557"/>
        <v>9.204846476816859E-4</v>
      </c>
      <c r="AT534" s="28">
        <f t="shared" si="557"/>
        <v>4.5801605308492836E-3</v>
      </c>
      <c r="AU534" s="28">
        <f t="shared" si="557"/>
        <v>2.2248767453712523E-3</v>
      </c>
      <c r="AV534" s="28">
        <f t="shared" si="557"/>
        <v>5.9167233422571901E-3</v>
      </c>
      <c r="AW534" s="28">
        <f t="shared" si="557"/>
        <v>8.3717386372156354E-5</v>
      </c>
      <c r="AX534" s="28">
        <f t="shared" si="557"/>
        <v>2.564899216757863E-4</v>
      </c>
      <c r="AY534" s="28">
        <f t="shared" si="557"/>
        <v>1.437932544789605E-4</v>
      </c>
      <c r="AZ534" s="28">
        <f t="shared" si="557"/>
        <v>3.2807188651448348E-2</v>
      </c>
      <c r="BA534" s="28">
        <f t="shared" si="557"/>
        <v>1.8152605978024249E-3</v>
      </c>
      <c r="BB534" s="28">
        <f t="shared" si="557"/>
        <v>5.8393365402161655E-5</v>
      </c>
      <c r="BC534" s="28">
        <f t="shared" si="557"/>
        <v>2.13637113510955E-3</v>
      </c>
      <c r="BD534" s="28">
        <f t="shared" si="557"/>
        <v>2.0663092861417879E-4</v>
      </c>
      <c r="BE534" s="28">
        <f t="shared" si="557"/>
        <v>6.7239662928520894E-3</v>
      </c>
      <c r="BF534" s="28">
        <f t="shared" si="557"/>
        <v>1.8882202601866134E-5</v>
      </c>
      <c r="BG534" s="28">
        <f t="shared" si="557"/>
        <v>0</v>
      </c>
      <c r="BH534" s="28">
        <f t="shared" si="557"/>
        <v>7.5507580573285996E-3</v>
      </c>
      <c r="BI534" s="28">
        <f t="shared" si="557"/>
        <v>1.3606591663791547E-5</v>
      </c>
      <c r="BJ534" s="28">
        <f t="shared" si="557"/>
        <v>3.101087943708828E-5</v>
      </c>
      <c r="BK534" s="28">
        <f t="shared" si="557"/>
        <v>8.3937393228118513E-6</v>
      </c>
      <c r="BL534" s="28">
        <f t="shared" si="557"/>
        <v>0</v>
      </c>
      <c r="BM534" s="28">
        <f t="shared" si="557"/>
        <v>5.7563991023088697E-5</v>
      </c>
      <c r="BN534" s="28">
        <f t="shared" si="557"/>
        <v>1.3715033952443385E-7</v>
      </c>
      <c r="BO534" s="28">
        <f t="shared" si="557"/>
        <v>0</v>
      </c>
      <c r="BP534" s="28">
        <f t="shared" si="557"/>
        <v>0</v>
      </c>
      <c r="BQ534" s="28">
        <f t="shared" si="557"/>
        <v>3.4663756894507893E-8</v>
      </c>
      <c r="BR534" s="28">
        <f t="shared" si="557"/>
        <v>0</v>
      </c>
    </row>
    <row r="539" spans="1:70" x14ac:dyDescent="0.3">
      <c r="A539" s="73">
        <v>1</v>
      </c>
      <c r="B539" s="16" t="s">
        <v>231</v>
      </c>
      <c r="C539" s="73"/>
      <c r="F539" s="3">
        <v>1</v>
      </c>
    </row>
    <row r="540" spans="1:70" x14ac:dyDescent="0.3">
      <c r="A540" s="73">
        <v>2</v>
      </c>
      <c r="B540" s="16" t="s">
        <v>37</v>
      </c>
      <c r="C540" s="73"/>
      <c r="F540" s="3">
        <v>2</v>
      </c>
    </row>
    <row r="541" spans="1:70" x14ac:dyDescent="0.3">
      <c r="A541" s="73">
        <v>23</v>
      </c>
      <c r="B541" s="16" t="s">
        <v>133</v>
      </c>
      <c r="C541" s="73"/>
      <c r="F541" s="3">
        <v>3</v>
      </c>
    </row>
    <row r="542" spans="1:70" x14ac:dyDescent="0.3">
      <c r="A542" s="73">
        <v>24</v>
      </c>
      <c r="B542" s="16" t="s">
        <v>285</v>
      </c>
      <c r="C542" s="73"/>
      <c r="F542" s="3">
        <v>4</v>
      </c>
    </row>
    <row r="543" spans="1:70" x14ac:dyDescent="0.3">
      <c r="A543" s="73">
        <v>26</v>
      </c>
      <c r="B543" s="16" t="s">
        <v>315</v>
      </c>
      <c r="C543" s="73"/>
      <c r="F543" s="3">
        <v>5</v>
      </c>
    </row>
    <row r="544" spans="1:70" x14ac:dyDescent="0.3">
      <c r="A544" s="73">
        <v>29</v>
      </c>
      <c r="B544" s="16" t="s">
        <v>38</v>
      </c>
      <c r="C544" s="73"/>
      <c r="F544" s="3">
        <v>6</v>
      </c>
    </row>
    <row r="545" spans="1:6" x14ac:dyDescent="0.3">
      <c r="A545" s="73">
        <v>30</v>
      </c>
      <c r="B545" s="16" t="s">
        <v>136</v>
      </c>
      <c r="C545" s="73"/>
      <c r="F545" s="3">
        <v>7</v>
      </c>
    </row>
    <row r="546" spans="1:6" x14ac:dyDescent="0.3">
      <c r="A546" s="73">
        <v>31</v>
      </c>
      <c r="B546" s="16" t="s">
        <v>360</v>
      </c>
      <c r="C546" s="73"/>
      <c r="F546" s="3">
        <v>8</v>
      </c>
    </row>
    <row r="547" spans="1:6" x14ac:dyDescent="0.3">
      <c r="A547" s="73">
        <v>32</v>
      </c>
      <c r="B547" s="16" t="s">
        <v>361</v>
      </c>
      <c r="C547" s="73"/>
      <c r="F547" s="3">
        <v>9</v>
      </c>
    </row>
    <row r="548" spans="1:6" x14ac:dyDescent="0.3">
      <c r="A548" s="73">
        <v>33</v>
      </c>
      <c r="B548" s="16" t="s">
        <v>362</v>
      </c>
      <c r="C548" s="73"/>
      <c r="F548" s="3">
        <v>10</v>
      </c>
    </row>
    <row r="549" spans="1:6" x14ac:dyDescent="0.3">
      <c r="A549" s="73">
        <v>55</v>
      </c>
      <c r="B549" s="16" t="s">
        <v>363</v>
      </c>
      <c r="C549" s="73"/>
      <c r="F549" s="3">
        <v>11</v>
      </c>
    </row>
  </sheetData>
  <hyperlinks>
    <hyperlink ref="A1" location="Tiitel!A1" display="Tiitel"/>
  </hyperlinks>
  <pageMargins left="0.7" right="0.7" top="0.75" bottom="0.75" header="0.3" footer="0.3"/>
  <ignoredErrors>
    <ignoredError sqref="E394:E397 F372:BR372 F154:BT165 E385:E392 E378:E383" unlockedFormula="1"/>
  </ignoredErrors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13"/>
  <dimension ref="A1:BQ128"/>
  <sheetViews>
    <sheetView zoomScaleNormal="100" workbookViewId="0">
      <pane ySplit="2" topLeftCell="A33" activePane="bottomLeft" state="frozen"/>
      <selection pane="bottomLeft"/>
    </sheetView>
  </sheetViews>
  <sheetFormatPr defaultColWidth="9.109375" defaultRowHeight="13.8" x14ac:dyDescent="0.3"/>
  <cols>
    <col min="1" max="1" width="3.44140625" style="122" customWidth="1"/>
    <col min="2" max="2" width="61.5546875" style="3" customWidth="1"/>
    <col min="3" max="3" width="2" style="3" customWidth="1"/>
    <col min="4" max="4" width="9.88671875" style="3" customWidth="1"/>
    <col min="5" max="9" width="9.109375" style="3"/>
    <col min="10" max="10" width="12.44140625" style="3" bestFit="1" customWidth="1"/>
    <col min="11" max="16384" width="9.109375" style="3"/>
  </cols>
  <sheetData>
    <row r="1" spans="1:11" ht="14.4" x14ac:dyDescent="0.3">
      <c r="A1" s="784" t="s">
        <v>740</v>
      </c>
    </row>
    <row r="2" spans="1:11" ht="15.6" x14ac:dyDescent="0.3">
      <c r="B2" s="785" t="s">
        <v>261</v>
      </c>
    </row>
    <row r="3" spans="1:11" x14ac:dyDescent="0.3">
      <c r="B3" s="55"/>
    </row>
    <row r="4" spans="1:11" x14ac:dyDescent="0.3">
      <c r="A4" s="126">
        <v>1</v>
      </c>
      <c r="B4" s="61"/>
      <c r="D4" s="124">
        <v>2015</v>
      </c>
      <c r="E4" s="174">
        <v>2020</v>
      </c>
      <c r="F4" s="124">
        <v>2025</v>
      </c>
      <c r="G4" s="174">
        <v>2030</v>
      </c>
      <c r="H4" s="124">
        <v>2035</v>
      </c>
      <c r="I4" s="174">
        <v>2040</v>
      </c>
      <c r="J4" s="124">
        <v>2045</v>
      </c>
      <c r="K4" s="174">
        <v>2050</v>
      </c>
    </row>
    <row r="5" spans="1:11" x14ac:dyDescent="0.3">
      <c r="A5" s="126">
        <v>2</v>
      </c>
      <c r="B5" s="61" t="s">
        <v>81</v>
      </c>
      <c r="C5" s="1120"/>
      <c r="D5" s="127">
        <f t="shared" ref="D5:K18" si="0">HLOOKUP(D$4,$D$54:$BF$93,$A5)</f>
        <v>20994.132966960573</v>
      </c>
      <c r="E5" s="175">
        <f t="shared" si="0"/>
        <v>28733.15949475763</v>
      </c>
      <c r="F5" s="127">
        <f t="shared" si="0"/>
        <v>37896.734390028658</v>
      </c>
      <c r="G5" s="175">
        <f t="shared" si="0"/>
        <v>48855.842469210234</v>
      </c>
      <c r="H5" s="127">
        <f t="shared" si="0"/>
        <v>60890.900927306742</v>
      </c>
      <c r="I5" s="175">
        <f t="shared" si="0"/>
        <v>73962.539775116864</v>
      </c>
      <c r="J5" s="127">
        <f t="shared" si="0"/>
        <v>88116.979633306662</v>
      </c>
      <c r="K5" s="175">
        <f t="shared" si="0"/>
        <v>102526.22374240197</v>
      </c>
    </row>
    <row r="6" spans="1:11" x14ac:dyDescent="0.3">
      <c r="A6" s="126">
        <v>7</v>
      </c>
      <c r="B6" s="61" t="s">
        <v>82</v>
      </c>
      <c r="C6" s="1120"/>
      <c r="D6" s="127">
        <f t="shared" si="0"/>
        <v>18361.745996711616</v>
      </c>
      <c r="E6" s="175">
        <f t="shared" si="0"/>
        <v>21842.175630889749</v>
      </c>
      <c r="F6" s="127">
        <f t="shared" si="0"/>
        <v>25237.047519780914</v>
      </c>
      <c r="G6" s="175">
        <f t="shared" si="0"/>
        <v>28643.226085251379</v>
      </c>
      <c r="H6" s="127">
        <f t="shared" si="0"/>
        <v>31738.217318675375</v>
      </c>
      <c r="I6" s="175">
        <f t="shared" si="0"/>
        <v>34529.691683963145</v>
      </c>
      <c r="J6" s="127">
        <f t="shared" si="0"/>
        <v>36896.571132216166</v>
      </c>
      <c r="K6" s="175">
        <f t="shared" si="0"/>
        <v>38693.022595027338</v>
      </c>
    </row>
    <row r="7" spans="1:11" x14ac:dyDescent="0.3">
      <c r="A7" s="126">
        <v>8</v>
      </c>
      <c r="B7" s="172" t="s">
        <v>83</v>
      </c>
      <c r="C7" s="7"/>
      <c r="D7" s="140">
        <f t="shared" si="0"/>
        <v>3.5397544392497649E-2</v>
      </c>
      <c r="E7" s="176">
        <f t="shared" si="0"/>
        <v>3.1895000000000007E-2</v>
      </c>
      <c r="F7" s="140">
        <f t="shared" si="0"/>
        <v>2.8012619375937575E-2</v>
      </c>
      <c r="G7" s="176">
        <f t="shared" si="0"/>
        <v>2.4159984071709939E-2</v>
      </c>
      <c r="H7" s="140">
        <f t="shared" si="0"/>
        <v>1.82725762747451E-2</v>
      </c>
      <c r="I7" s="176">
        <f t="shared" si="0"/>
        <v>1.6002096793770848E-2</v>
      </c>
      <c r="J7" s="140">
        <f t="shared" si="0"/>
        <v>1.1627294155845513E-2</v>
      </c>
      <c r="K7" s="176">
        <f t="shared" si="0"/>
        <v>8.5654349676278496E-3</v>
      </c>
    </row>
    <row r="8" spans="1:11" x14ac:dyDescent="0.3">
      <c r="A8" s="126">
        <v>9</v>
      </c>
      <c r="B8" s="172" t="s">
        <v>84</v>
      </c>
      <c r="C8" s="7"/>
      <c r="D8" s="140">
        <f t="shared" si="0"/>
        <v>6.5006933094069463E-2</v>
      </c>
      <c r="E8" s="176">
        <f t="shared" si="0"/>
        <v>6.0674551550000011E-2</v>
      </c>
      <c r="F8" s="140">
        <f t="shared" si="0"/>
        <v>5.5031164029279545E-2</v>
      </c>
      <c r="G8" s="176">
        <f t="shared" si="0"/>
        <v>5.0346696936394153E-2</v>
      </c>
      <c r="H8" s="140">
        <f t="shared" si="0"/>
        <v>4.169284552906416E-2</v>
      </c>
      <c r="I8" s="176">
        <f t="shared" si="0"/>
        <v>3.8354142923233914E-2</v>
      </c>
      <c r="J8" s="140">
        <f t="shared" si="0"/>
        <v>3.3883094627274124E-2</v>
      </c>
      <c r="K8" s="176">
        <f t="shared" si="0"/>
        <v>2.9745309101947948E-2</v>
      </c>
    </row>
    <row r="9" spans="1:11" x14ac:dyDescent="0.3">
      <c r="A9" s="126">
        <v>10</v>
      </c>
      <c r="B9" s="172" t="s">
        <v>268</v>
      </c>
      <c r="C9" s="7"/>
      <c r="D9" s="140">
        <f t="shared" si="0"/>
        <v>2.8597120846896251E-2</v>
      </c>
      <c r="E9" s="176">
        <f t="shared" si="0"/>
        <v>2.788999999999997E-2</v>
      </c>
      <c r="F9" s="140">
        <f t="shared" si="0"/>
        <v>2.628230835312495E-2</v>
      </c>
      <c r="G9" s="176">
        <f t="shared" si="0"/>
        <v>2.5568967028544609E-2</v>
      </c>
      <c r="H9" s="140">
        <f t="shared" si="0"/>
        <v>2.2999999999999909E-2</v>
      </c>
      <c r="I9" s="176">
        <f t="shared" si="0"/>
        <v>2.200000000000002E-2</v>
      </c>
      <c r="J9" s="140">
        <f t="shared" si="0"/>
        <v>2.200000000000002E-2</v>
      </c>
      <c r="K9" s="176">
        <f t="shared" si="0"/>
        <v>2.0999999999999908E-2</v>
      </c>
    </row>
    <row r="10" spans="1:11" x14ac:dyDescent="0.3">
      <c r="A10" s="126">
        <v>11</v>
      </c>
      <c r="B10" s="61" t="s">
        <v>85</v>
      </c>
      <c r="C10" s="7"/>
      <c r="D10" s="139">
        <f t="shared" si="0"/>
        <v>2.8000000000000001E-2</v>
      </c>
      <c r="E10" s="177">
        <f t="shared" si="0"/>
        <v>2.7890000000000002E-2</v>
      </c>
      <c r="F10" s="139">
        <f t="shared" si="0"/>
        <v>2.6282308353124999E-2</v>
      </c>
      <c r="G10" s="177">
        <f t="shared" si="0"/>
        <v>2.5568967028544689E-2</v>
      </c>
      <c r="H10" s="139">
        <f t="shared" si="0"/>
        <v>2.3E-2</v>
      </c>
      <c r="I10" s="177">
        <f t="shared" si="0"/>
        <v>2.1999999999999999E-2</v>
      </c>
      <c r="J10" s="139">
        <f t="shared" si="0"/>
        <v>2.1999999999999999E-2</v>
      </c>
      <c r="K10" s="177">
        <f t="shared" si="0"/>
        <v>2.1000000000000001E-2</v>
      </c>
    </row>
    <row r="11" spans="1:11" x14ac:dyDescent="0.3">
      <c r="A11" s="126">
        <v>12</v>
      </c>
      <c r="B11" s="61" t="s">
        <v>86</v>
      </c>
      <c r="C11" s="1120"/>
      <c r="D11" s="127">
        <f t="shared" si="0"/>
        <v>635</v>
      </c>
      <c r="E11" s="175">
        <f t="shared" si="0"/>
        <v>629.93332356999997</v>
      </c>
      <c r="F11" s="127">
        <f t="shared" si="0"/>
        <v>620.54084788854391</v>
      </c>
      <c r="G11" s="175">
        <f t="shared" si="0"/>
        <v>607.65347240596509</v>
      </c>
      <c r="H11" s="127">
        <f t="shared" si="0"/>
        <v>593.26221900437167</v>
      </c>
      <c r="I11" s="175">
        <f t="shared" si="0"/>
        <v>575.95161391094462</v>
      </c>
      <c r="J11" s="127">
        <f t="shared" si="0"/>
        <v>552.2296735977294</v>
      </c>
      <c r="K11" s="175">
        <f t="shared" si="0"/>
        <v>523.16495393469108</v>
      </c>
    </row>
    <row r="12" spans="1:11" x14ac:dyDescent="0.3">
      <c r="A12" s="126">
        <v>13</v>
      </c>
      <c r="B12" s="173" t="s">
        <v>87</v>
      </c>
      <c r="C12" s="7"/>
      <c r="D12" s="140">
        <f t="shared" si="0"/>
        <v>0</v>
      </c>
      <c r="E12" s="176">
        <f t="shared" si="0"/>
        <v>-3.0000000000000027E-3</v>
      </c>
      <c r="F12" s="140">
        <f t="shared" si="0"/>
        <v>-2.9999999999998916E-3</v>
      </c>
      <c r="G12" s="176">
        <f t="shared" si="0"/>
        <v>-5.0692128121644364E-3</v>
      </c>
      <c r="H12" s="140">
        <f t="shared" si="0"/>
        <v>-5.0179211469533191E-3</v>
      </c>
      <c r="I12" s="176">
        <f t="shared" si="0"/>
        <v>-6.6347217102836753E-3</v>
      </c>
      <c r="J12" s="140">
        <f t="shared" si="0"/>
        <v>-9.3923710944990857E-3</v>
      </c>
      <c r="K12" s="176">
        <f t="shared" si="0"/>
        <v>-1.1308562197091976E-2</v>
      </c>
    </row>
    <row r="13" spans="1:11" x14ac:dyDescent="0.3">
      <c r="A13" s="126">
        <v>14</v>
      </c>
      <c r="B13" s="172" t="s">
        <v>88</v>
      </c>
      <c r="C13" s="7"/>
      <c r="D13" s="140">
        <f t="shared" si="0"/>
        <v>7.9012223861166686E-2</v>
      </c>
      <c r="E13" s="176">
        <f t="shared" si="0"/>
        <v>7.1261076304292237E-2</v>
      </c>
      <c r="F13" s="140">
        <f t="shared" si="0"/>
        <v>7.1672135630682324E-2</v>
      </c>
      <c r="G13" s="176">
        <f t="shared" si="0"/>
        <v>7.1854524837554293E-2</v>
      </c>
      <c r="H13" s="140">
        <f t="shared" si="0"/>
        <v>7.1095078371327433E-2</v>
      </c>
      <c r="I13" s="176">
        <f t="shared" si="0"/>
        <v>7.0646632827485151E-2</v>
      </c>
      <c r="J13" s="140">
        <f t="shared" si="0"/>
        <v>7.0381830218301716E-2</v>
      </c>
      <c r="K13" s="176">
        <f t="shared" si="0"/>
        <v>7.0225466925604968E-2</v>
      </c>
    </row>
    <row r="14" spans="1:11" x14ac:dyDescent="0.3">
      <c r="A14" s="126">
        <v>15</v>
      </c>
      <c r="B14" s="61" t="s">
        <v>260</v>
      </c>
      <c r="C14" s="7"/>
      <c r="D14" s="127">
        <f t="shared" si="0"/>
        <v>33061.626719622946</v>
      </c>
      <c r="E14" s="175">
        <f t="shared" si="0"/>
        <v>45613.017155401714</v>
      </c>
      <c r="F14" s="127">
        <f t="shared" si="0"/>
        <v>61070.491199695098</v>
      </c>
      <c r="G14" s="175">
        <f t="shared" si="0"/>
        <v>80400.828247995771</v>
      </c>
      <c r="H14" s="127">
        <f t="shared" si="0"/>
        <v>102637.41559254432</v>
      </c>
      <c r="I14" s="175">
        <f t="shared" si="0"/>
        <v>128417.97468520189</v>
      </c>
      <c r="J14" s="127">
        <f t="shared" si="0"/>
        <v>159565.81807571484</v>
      </c>
      <c r="K14" s="175">
        <f t="shared" si="0"/>
        <v>195973.03483597023</v>
      </c>
    </row>
    <row r="15" spans="1:11" x14ac:dyDescent="0.3">
      <c r="A15" s="126">
        <v>16</v>
      </c>
      <c r="B15" s="172" t="s">
        <v>89</v>
      </c>
      <c r="C15" s="7"/>
      <c r="D15" s="140">
        <f t="shared" si="0"/>
        <v>3.5397544392497649E-2</v>
      </c>
      <c r="E15" s="176">
        <f t="shared" si="0"/>
        <v>3.499999999999992E-2</v>
      </c>
      <c r="F15" s="140">
        <f t="shared" si="0"/>
        <v>3.1105937187499988E-2</v>
      </c>
      <c r="G15" s="176">
        <f t="shared" si="0"/>
        <v>2.9378120830385157E-2</v>
      </c>
      <c r="H15" s="140">
        <f t="shared" si="0"/>
        <v>2.3407956702643506E-2</v>
      </c>
      <c r="I15" s="176">
        <f t="shared" si="0"/>
        <v>2.2788010612801557E-2</v>
      </c>
      <c r="J15" s="140">
        <f t="shared" si="0"/>
        <v>2.121896161204484E-2</v>
      </c>
      <c r="K15" s="176">
        <f t="shared" si="0"/>
        <v>2.0101314125754222E-2</v>
      </c>
    </row>
    <row r="16" spans="1:11" x14ac:dyDescent="0.3">
      <c r="A16" s="126">
        <v>17</v>
      </c>
      <c r="B16" s="61" t="s">
        <v>90</v>
      </c>
      <c r="C16" s="1120"/>
      <c r="D16" s="127">
        <f t="shared" si="0"/>
        <v>1061.2708459049379</v>
      </c>
      <c r="E16" s="175">
        <f t="shared" si="0"/>
        <v>1457.2824433827352</v>
      </c>
      <c r="F16" s="127">
        <f t="shared" si="0"/>
        <v>1951.1306242002461</v>
      </c>
      <c r="G16" s="175">
        <f t="shared" si="0"/>
        <v>2568.7122393165209</v>
      </c>
      <c r="H16" s="127">
        <f t="shared" si="0"/>
        <v>3291.6801451318379</v>
      </c>
      <c r="I16" s="175">
        <f t="shared" si="0"/>
        <v>4064.3065253988407</v>
      </c>
      <c r="J16" s="127">
        <f t="shared" si="0"/>
        <v>4927.9951132254491</v>
      </c>
      <c r="K16" s="175">
        <f t="shared" si="0"/>
        <v>5987.6819900894297</v>
      </c>
    </row>
    <row r="17" spans="1:11" x14ac:dyDescent="0.3">
      <c r="A17" s="126">
        <v>18</v>
      </c>
      <c r="B17" s="172" t="s">
        <v>91</v>
      </c>
      <c r="C17" s="7"/>
      <c r="D17" s="140">
        <f t="shared" si="0"/>
        <v>6.2999999999999945E-2</v>
      </c>
      <c r="E17" s="176">
        <f t="shared" si="0"/>
        <v>6.3866149999999955E-2</v>
      </c>
      <c r="F17" s="140">
        <f t="shared" si="0"/>
        <v>5.8205781373399823E-2</v>
      </c>
      <c r="G17" s="176">
        <f t="shared" si="0"/>
        <v>5.5698256061802454E-2</v>
      </c>
      <c r="H17" s="140">
        <f t="shared" si="0"/>
        <v>4.6663917002881972E-2</v>
      </c>
      <c r="I17" s="176">
        <f t="shared" si="0"/>
        <v>4.1366778775510316E-2</v>
      </c>
      <c r="J17" s="140">
        <f t="shared" si="0"/>
        <v>3.8911845588235572E-2</v>
      </c>
      <c r="K17" s="176">
        <f t="shared" si="0"/>
        <v>3.9891679738562003E-2</v>
      </c>
    </row>
    <row r="18" spans="1:11" x14ac:dyDescent="0.3">
      <c r="A18" s="126">
        <v>19</v>
      </c>
      <c r="B18" s="172" t="s">
        <v>92</v>
      </c>
      <c r="D18" s="123">
        <f t="shared" si="0"/>
        <v>2380</v>
      </c>
      <c r="E18" s="50">
        <f t="shared" si="0"/>
        <v>3290.710705168106</v>
      </c>
      <c r="F18" s="123">
        <f t="shared" si="0"/>
        <v>4340.1836672689069</v>
      </c>
      <c r="G18" s="50">
        <f t="shared" si="0"/>
        <v>5595.2929176747584</v>
      </c>
      <c r="H18" s="123">
        <f t="shared" si="0"/>
        <v>7000.2847766617406</v>
      </c>
      <c r="I18" s="50">
        <f t="shared" si="0"/>
        <v>8391.1955511011147</v>
      </c>
      <c r="J18" s="123">
        <f t="shared" si="0"/>
        <v>9755.3172140603619</v>
      </c>
      <c r="K18" s="50">
        <f t="shared" si="0"/>
        <v>11229.198479589895</v>
      </c>
    </row>
    <row r="19" spans="1:11" x14ac:dyDescent="0.3">
      <c r="A19" s="126">
        <v>20</v>
      </c>
      <c r="B19" s="42" t="s">
        <v>93</v>
      </c>
      <c r="D19" s="137"/>
      <c r="E19" s="137"/>
      <c r="F19" s="137"/>
      <c r="G19" s="137"/>
      <c r="H19" s="137"/>
      <c r="I19" s="137"/>
      <c r="J19" s="137"/>
      <c r="K19" s="137"/>
    </row>
    <row r="20" spans="1:11" x14ac:dyDescent="0.3">
      <c r="A20" s="126">
        <v>21</v>
      </c>
      <c r="B20" s="7" t="s">
        <v>267</v>
      </c>
      <c r="D20" s="138"/>
      <c r="E20" s="138"/>
      <c r="F20" s="138"/>
      <c r="G20" s="138"/>
      <c r="H20" s="138"/>
      <c r="I20" s="138"/>
      <c r="J20" s="138"/>
      <c r="K20" s="138"/>
    </row>
    <row r="21" spans="1:11" x14ac:dyDescent="0.3">
      <c r="A21" s="126">
        <v>22</v>
      </c>
      <c r="B21" s="48" t="s">
        <v>269</v>
      </c>
      <c r="C21" s="1121"/>
      <c r="D21" s="145">
        <f t="shared" ref="D21:K21" si="1">HLOOKUP(D$4,$D$54:$BF$93,$A21)</f>
        <v>1.1433625631636766</v>
      </c>
      <c r="E21" s="145">
        <f t="shared" si="1"/>
        <v>1.315489811102996</v>
      </c>
      <c r="F21" s="145">
        <f t="shared" si="1"/>
        <v>1.501631058875845</v>
      </c>
      <c r="G21" s="145">
        <f t="shared" si="1"/>
        <v>1.7056682904292841</v>
      </c>
      <c r="H21" s="145">
        <f t="shared" si="1"/>
        <v>1.9185356353167748</v>
      </c>
      <c r="I21" s="145">
        <f t="shared" si="1"/>
        <v>2.1419982678115757</v>
      </c>
      <c r="J21" s="145">
        <f t="shared" si="1"/>
        <v>2.3882159487814154</v>
      </c>
      <c r="K21" s="145">
        <f t="shared" si="1"/>
        <v>2.6497341604834501</v>
      </c>
    </row>
    <row r="22" spans="1:11" x14ac:dyDescent="0.3">
      <c r="A22" s="126">
        <v>23</v>
      </c>
      <c r="B22" s="42"/>
      <c r="D22" s="137"/>
      <c r="E22" s="137"/>
      <c r="F22" s="137"/>
      <c r="G22" s="137"/>
      <c r="H22" s="137"/>
      <c r="I22" s="137"/>
      <c r="J22" s="137"/>
      <c r="K22" s="137"/>
    </row>
    <row r="23" spans="1:11" x14ac:dyDescent="0.3">
      <c r="A23" s="126">
        <v>24</v>
      </c>
      <c r="B23" s="7" t="s">
        <v>99</v>
      </c>
      <c r="D23" s="138"/>
      <c r="E23" s="138"/>
      <c r="F23" s="138"/>
      <c r="G23" s="138"/>
      <c r="H23" s="138"/>
      <c r="I23" s="138"/>
      <c r="J23" s="138"/>
      <c r="K23" s="138"/>
    </row>
    <row r="24" spans="1:11" x14ac:dyDescent="0.3">
      <c r="A24" s="126">
        <v>27</v>
      </c>
      <c r="B24" s="58" t="s">
        <v>94</v>
      </c>
      <c r="C24" s="1121"/>
      <c r="D24" s="125">
        <f t="shared" ref="D24:K25" si="2">HLOOKUP(D$4,$D$54:$BF$93,$A24)</f>
        <v>0.74150415250042079</v>
      </c>
      <c r="E24" s="125">
        <f t="shared" si="2"/>
        <v>0.77201020585814106</v>
      </c>
      <c r="F24" s="125">
        <f t="shared" si="2"/>
        <v>0.79817466121875358</v>
      </c>
      <c r="G24" s="125">
        <f t="shared" si="2"/>
        <v>0.82116118179769859</v>
      </c>
      <c r="H24" s="125">
        <f t="shared" si="2"/>
        <v>0.83657107958267696</v>
      </c>
      <c r="I24" s="125">
        <f t="shared" si="2"/>
        <v>0.84596273585376214</v>
      </c>
      <c r="J24" s="125">
        <f t="shared" si="2"/>
        <v>0.85428907652103969</v>
      </c>
      <c r="K24" s="125">
        <f t="shared" si="2"/>
        <v>0.85848498728662181</v>
      </c>
    </row>
    <row r="25" spans="1:11" x14ac:dyDescent="0.3">
      <c r="A25" s="126">
        <v>28</v>
      </c>
      <c r="B25" s="58" t="s">
        <v>100</v>
      </c>
      <c r="D25" s="140">
        <f t="shared" si="2"/>
        <v>0.02</v>
      </c>
      <c r="E25" s="140">
        <f t="shared" si="2"/>
        <v>0.02</v>
      </c>
      <c r="F25" s="140">
        <f t="shared" si="2"/>
        <v>0.02</v>
      </c>
      <c r="G25" s="140">
        <f t="shared" si="2"/>
        <v>0.02</v>
      </c>
      <c r="H25" s="140">
        <f t="shared" si="2"/>
        <v>0.02</v>
      </c>
      <c r="I25" s="140">
        <f t="shared" si="2"/>
        <v>0.02</v>
      </c>
      <c r="J25" s="140">
        <f t="shared" si="2"/>
        <v>0.02</v>
      </c>
      <c r="K25" s="140">
        <f t="shared" si="2"/>
        <v>0.02</v>
      </c>
    </row>
    <row r="26" spans="1:11" x14ac:dyDescent="0.3">
      <c r="A26" s="126">
        <v>29</v>
      </c>
      <c r="B26" s="42" t="s">
        <v>95</v>
      </c>
      <c r="D26" s="137"/>
      <c r="E26" s="137"/>
      <c r="F26" s="137"/>
      <c r="G26" s="137"/>
      <c r="H26" s="137"/>
      <c r="I26" s="137"/>
      <c r="J26" s="137"/>
      <c r="K26" s="137"/>
    </row>
    <row r="27" spans="1:11" x14ac:dyDescent="0.3">
      <c r="A27" s="126">
        <v>30</v>
      </c>
      <c r="B27" s="7" t="s">
        <v>96</v>
      </c>
      <c r="D27" s="138"/>
      <c r="E27" s="138"/>
      <c r="F27" s="138"/>
      <c r="G27" s="138"/>
      <c r="H27" s="138"/>
      <c r="I27" s="138"/>
      <c r="J27" s="138"/>
      <c r="K27" s="138"/>
    </row>
    <row r="28" spans="1:11" x14ac:dyDescent="0.3">
      <c r="A28" s="126">
        <v>31</v>
      </c>
      <c r="B28" s="57" t="s">
        <v>97</v>
      </c>
      <c r="C28" s="1121"/>
      <c r="D28" s="123">
        <f t="shared" ref="D28:K31" si="3">HLOOKUP(D$4,$D$54:$BF$93,$A28)</f>
        <v>1332419</v>
      </c>
      <c r="E28" s="123">
        <f t="shared" si="3"/>
        <v>1328259</v>
      </c>
      <c r="F28" s="123">
        <f t="shared" si="3"/>
        <v>1315932</v>
      </c>
      <c r="G28" s="123">
        <f t="shared" si="3"/>
        <v>1296382</v>
      </c>
      <c r="H28" s="123">
        <f t="shared" si="3"/>
        <v>1277462</v>
      </c>
      <c r="I28" s="123">
        <f t="shared" si="3"/>
        <v>1264490</v>
      </c>
      <c r="J28" s="123">
        <f t="shared" si="3"/>
        <v>1256677</v>
      </c>
      <c r="K28" s="123">
        <f t="shared" si="3"/>
        <v>1250110</v>
      </c>
    </row>
    <row r="29" spans="1:11" x14ac:dyDescent="0.3">
      <c r="A29" s="126">
        <v>32</v>
      </c>
      <c r="B29" s="57" t="s">
        <v>240</v>
      </c>
      <c r="D29" s="140">
        <f t="shared" si="3"/>
        <v>0.47657681254920564</v>
      </c>
      <c r="E29" s="140">
        <f t="shared" si="3"/>
        <v>0.47425488821833695</v>
      </c>
      <c r="F29" s="140">
        <f t="shared" si="3"/>
        <v>0.4715599650198824</v>
      </c>
      <c r="G29" s="140">
        <f t="shared" si="3"/>
        <v>0.46873026037538712</v>
      </c>
      <c r="H29" s="140">
        <f t="shared" si="3"/>
        <v>0.46440694048384351</v>
      </c>
      <c r="I29" s="140">
        <f t="shared" si="3"/>
        <v>0.45548135130443473</v>
      </c>
      <c r="J29" s="140">
        <f t="shared" si="3"/>
        <v>0.43943644516270242</v>
      </c>
      <c r="K29" s="140">
        <f t="shared" si="3"/>
        <v>0.41849513557582219</v>
      </c>
    </row>
    <row r="30" spans="1:11" x14ac:dyDescent="0.3">
      <c r="A30" s="126">
        <v>33</v>
      </c>
      <c r="B30" s="57" t="s">
        <v>98</v>
      </c>
      <c r="D30" s="123">
        <f t="shared" si="3"/>
        <v>1313446</v>
      </c>
      <c r="E30" s="123">
        <f t="shared" si="3"/>
        <v>1321872</v>
      </c>
      <c r="F30" s="123">
        <f t="shared" si="3"/>
        <v>1312678</v>
      </c>
      <c r="G30" s="123">
        <f t="shared" si="3"/>
        <v>1290146</v>
      </c>
      <c r="H30" s="123">
        <f t="shared" si="3"/>
        <v>1268771</v>
      </c>
      <c r="I30" s="123">
        <f t="shared" si="3"/>
        <v>1254411</v>
      </c>
      <c r="J30" s="123">
        <f t="shared" si="3"/>
        <v>1245753</v>
      </c>
      <c r="K30" s="123">
        <f t="shared" si="3"/>
        <v>1238245</v>
      </c>
    </row>
    <row r="31" spans="1:11" x14ac:dyDescent="0.3">
      <c r="A31" s="126">
        <v>34</v>
      </c>
      <c r="B31" s="57" t="s">
        <v>240</v>
      </c>
      <c r="D31" s="140">
        <f t="shared" si="3"/>
        <v>0.48346106349252271</v>
      </c>
      <c r="E31" s="140">
        <f t="shared" si="3"/>
        <v>0.47654638540645389</v>
      </c>
      <c r="F31" s="140">
        <f t="shared" si="3"/>
        <v>0.4727289159173414</v>
      </c>
      <c r="G31" s="140">
        <f t="shared" si="3"/>
        <v>0.47099589690311416</v>
      </c>
      <c r="H31" s="140">
        <f t="shared" si="3"/>
        <v>0.46758809824970121</v>
      </c>
      <c r="I31" s="140">
        <f t="shared" si="3"/>
        <v>0.45914107410644889</v>
      </c>
      <c r="J31" s="140">
        <f t="shared" si="3"/>
        <v>0.44328986050824637</v>
      </c>
      <c r="K31" s="140">
        <f t="shared" si="3"/>
        <v>0.42250520206800035</v>
      </c>
    </row>
    <row r="32" spans="1:11" x14ac:dyDescent="0.3">
      <c r="A32" s="126">
        <v>35</v>
      </c>
      <c r="B32" s="42" t="s">
        <v>915</v>
      </c>
      <c r="D32" s="137"/>
      <c r="E32" s="137"/>
      <c r="F32" s="137"/>
      <c r="G32" s="137"/>
      <c r="H32" s="137"/>
      <c r="I32" s="137"/>
      <c r="J32" s="137"/>
      <c r="K32" s="137"/>
    </row>
    <row r="33" spans="1:13" x14ac:dyDescent="0.3">
      <c r="A33" s="126">
        <v>36</v>
      </c>
      <c r="B33" s="7" t="s">
        <v>241</v>
      </c>
      <c r="D33" s="138"/>
      <c r="E33" s="138"/>
      <c r="F33" s="138"/>
      <c r="G33" s="138"/>
      <c r="H33" s="138"/>
      <c r="I33" s="138"/>
      <c r="J33" s="138"/>
      <c r="K33" s="138"/>
    </row>
    <row r="34" spans="1:13" x14ac:dyDescent="0.3">
      <c r="A34" s="126">
        <v>37</v>
      </c>
      <c r="B34" s="57" t="s">
        <v>97</v>
      </c>
      <c r="D34" s="123">
        <f t="shared" ref="D34:K37" si="4">HLOOKUP(D$4,$D$54:$BF$93,$A34)</f>
        <v>997669</v>
      </c>
      <c r="E34" s="123">
        <f t="shared" si="4"/>
        <v>976481</v>
      </c>
      <c r="F34" s="123">
        <f t="shared" si="4"/>
        <v>962264</v>
      </c>
      <c r="G34" s="123">
        <f t="shared" si="4"/>
        <v>951831</v>
      </c>
      <c r="H34" s="123">
        <f t="shared" si="4"/>
        <v>940535</v>
      </c>
      <c r="I34" s="123">
        <f t="shared" si="4"/>
        <v>923966</v>
      </c>
      <c r="J34" s="123">
        <f t="shared" si="4"/>
        <v>905378</v>
      </c>
      <c r="K34" s="123">
        <f t="shared" si="4"/>
        <v>883630</v>
      </c>
    </row>
    <row r="35" spans="1:13" x14ac:dyDescent="0.3">
      <c r="A35" s="126">
        <v>38</v>
      </c>
      <c r="B35" s="57" t="s">
        <v>270</v>
      </c>
      <c r="D35" s="141">
        <f t="shared" si="4"/>
        <v>0.6364836433727018</v>
      </c>
      <c r="E35" s="141">
        <f t="shared" si="4"/>
        <v>0.64510556126540097</v>
      </c>
      <c r="F35" s="141">
        <f t="shared" si="4"/>
        <v>0.64487588425686071</v>
      </c>
      <c r="G35" s="141">
        <f t="shared" si="4"/>
        <v>0.63840479287390839</v>
      </c>
      <c r="H35" s="141">
        <f t="shared" si="4"/>
        <v>0.63077101756380327</v>
      </c>
      <c r="I35" s="141">
        <f t="shared" si="4"/>
        <v>0.62334719449735665</v>
      </c>
      <c r="J35" s="141">
        <f t="shared" si="4"/>
        <v>0.60994377331648153</v>
      </c>
      <c r="K35" s="141">
        <f t="shared" si="4"/>
        <v>0.59206336807791848</v>
      </c>
    </row>
    <row r="36" spans="1:13" x14ac:dyDescent="0.3">
      <c r="A36" s="126">
        <v>39</v>
      </c>
      <c r="B36" s="57" t="s">
        <v>98</v>
      </c>
      <c r="D36" s="123">
        <f t="shared" si="4"/>
        <v>981649</v>
      </c>
      <c r="E36" s="123">
        <f t="shared" si="4"/>
        <v>969819</v>
      </c>
      <c r="F36" s="123">
        <f t="shared" si="4"/>
        <v>959015</v>
      </c>
      <c r="G36" s="123">
        <f t="shared" si="4"/>
        <v>948443</v>
      </c>
      <c r="H36" s="123">
        <f t="shared" si="4"/>
        <v>936738</v>
      </c>
      <c r="I36" s="123">
        <f t="shared" si="4"/>
        <v>918849</v>
      </c>
      <c r="J36" s="123">
        <f t="shared" si="4"/>
        <v>898466</v>
      </c>
      <c r="K36" s="123">
        <f t="shared" si="4"/>
        <v>875234</v>
      </c>
    </row>
    <row r="37" spans="1:13" x14ac:dyDescent="0.3">
      <c r="A37" s="126">
        <v>40</v>
      </c>
      <c r="B37" s="57" t="s">
        <v>270</v>
      </c>
      <c r="D37" s="140">
        <f t="shared" si="4"/>
        <v>0.64687072466838957</v>
      </c>
      <c r="E37" s="140">
        <f t="shared" si="4"/>
        <v>0.64953699975974899</v>
      </c>
      <c r="F37" s="140">
        <f t="shared" si="4"/>
        <v>0.64706062771546202</v>
      </c>
      <c r="G37" s="140">
        <f t="shared" si="4"/>
        <v>0.64068528357103705</v>
      </c>
      <c r="H37" s="140">
        <f t="shared" si="4"/>
        <v>0.63332780244248832</v>
      </c>
      <c r="I37" s="140">
        <f t="shared" si="4"/>
        <v>0.62681856748055953</v>
      </c>
      <c r="J37" s="140">
        <f t="shared" si="4"/>
        <v>0.61463613937280814</v>
      </c>
      <c r="K37" s="140">
        <f t="shared" si="4"/>
        <v>0.59774295095333485</v>
      </c>
    </row>
    <row r="38" spans="1:13" x14ac:dyDescent="0.3">
      <c r="B38" s="7" t="s">
        <v>272</v>
      </c>
    </row>
    <row r="39" spans="1:13" x14ac:dyDescent="0.3">
      <c r="B39" s="57" t="s">
        <v>271</v>
      </c>
      <c r="D39" s="123">
        <f t="shared" ref="D39:K39" si="5">D5*1000000/D24/D28</f>
        <v>21249.246719114781</v>
      </c>
      <c r="E39" s="123">
        <f t="shared" si="5"/>
        <v>28020.609297891977</v>
      </c>
      <c r="F39" s="123">
        <f t="shared" si="5"/>
        <v>36080.321880805182</v>
      </c>
      <c r="G39" s="123">
        <f t="shared" si="5"/>
        <v>45893.914610742329</v>
      </c>
      <c r="H39" s="123">
        <f t="shared" si="5"/>
        <v>56977.260292431056</v>
      </c>
      <c r="I39" s="123">
        <f t="shared" si="5"/>
        <v>69142.516759161008</v>
      </c>
      <c r="J39" s="123">
        <f t="shared" si="5"/>
        <v>82078.81593221295</v>
      </c>
      <c r="K39" s="123">
        <f t="shared" si="5"/>
        <v>95533.134530520096</v>
      </c>
    </row>
    <row r="40" spans="1:13" x14ac:dyDescent="0.3">
      <c r="B40" s="57" t="s">
        <v>273</v>
      </c>
      <c r="D40" s="123">
        <f t="shared" ref="D40:K40" si="6">D5*1000/D11</f>
        <v>33061.626719622946</v>
      </c>
      <c r="E40" s="123">
        <f t="shared" si="6"/>
        <v>45613.017155401714</v>
      </c>
      <c r="F40" s="123">
        <f t="shared" si="6"/>
        <v>61070.491199695098</v>
      </c>
      <c r="G40" s="123">
        <f t="shared" si="6"/>
        <v>80400.828247995771</v>
      </c>
      <c r="H40" s="123">
        <f t="shared" si="6"/>
        <v>102637.41559254432</v>
      </c>
      <c r="I40" s="123">
        <f t="shared" si="6"/>
        <v>128417.97468520189</v>
      </c>
      <c r="J40" s="123">
        <f t="shared" si="6"/>
        <v>159565.81807571484</v>
      </c>
      <c r="K40" s="123">
        <f t="shared" si="6"/>
        <v>195973.03483597023</v>
      </c>
    </row>
    <row r="41" spans="1:13" x14ac:dyDescent="0.3">
      <c r="B41" s="57" t="s">
        <v>290</v>
      </c>
      <c r="D41" s="125">
        <f t="shared" ref="D41:K41" si="7">D11/$I$65</f>
        <v>1.0426073392989081</v>
      </c>
      <c r="E41" s="125">
        <f t="shared" si="7"/>
        <v>1.03428835657171</v>
      </c>
      <c r="F41" s="125">
        <f t="shared" si="7"/>
        <v>1.0188668383360051</v>
      </c>
      <c r="G41" s="125">
        <f t="shared" si="7"/>
        <v>0.99770703949752093</v>
      </c>
      <c r="H41" s="125">
        <f t="shared" si="7"/>
        <v>0.97407802151608525</v>
      </c>
      <c r="I41" s="125">
        <f t="shared" si="7"/>
        <v>0.94565571613323152</v>
      </c>
      <c r="J41" s="125">
        <f t="shared" si="7"/>
        <v>0.90670663097894988</v>
      </c>
      <c r="K41" s="125">
        <f t="shared" si="7"/>
        <v>0.85898522934847898</v>
      </c>
    </row>
    <row r="42" spans="1:13" x14ac:dyDescent="0.3">
      <c r="B42" s="57" t="s">
        <v>750</v>
      </c>
      <c r="C42" s="1121"/>
      <c r="D42" s="123">
        <f t="shared" ref="D42:K42" si="8">D16/D21</f>
        <v>928.20149976610094</v>
      </c>
      <c r="E42" s="123">
        <f t="shared" si="8"/>
        <v>1107.7869483161185</v>
      </c>
      <c r="F42" s="123">
        <f t="shared" si="8"/>
        <v>1299.3408818148091</v>
      </c>
      <c r="G42" s="123">
        <f t="shared" si="8"/>
        <v>1505.9858084540137</v>
      </c>
      <c r="H42" s="123">
        <f t="shared" si="8"/>
        <v>1715.7253086874975</v>
      </c>
      <c r="I42" s="123">
        <f t="shared" si="8"/>
        <v>1897.4368870761216</v>
      </c>
      <c r="J42" s="123">
        <f t="shared" si="8"/>
        <v>2063.4629442701585</v>
      </c>
      <c r="K42" s="123">
        <f t="shared" si="8"/>
        <v>2259.7293265815629</v>
      </c>
    </row>
    <row r="43" spans="1:13" x14ac:dyDescent="0.3">
      <c r="B43" s="57" t="s">
        <v>519</v>
      </c>
      <c r="C43" s="1121"/>
      <c r="D43" s="123">
        <f>D42*(1+$L$43)</f>
        <v>1243.7900096865753</v>
      </c>
      <c r="E43" s="123">
        <f t="shared" ref="E43:K43" si="9">E42*(1+$L$43)</f>
        <v>1484.4345107435988</v>
      </c>
      <c r="F43" s="123">
        <f t="shared" si="9"/>
        <v>1741.1167816318443</v>
      </c>
      <c r="G43" s="123">
        <f t="shared" si="9"/>
        <v>2018.0209833283786</v>
      </c>
      <c r="H43" s="123">
        <f t="shared" si="9"/>
        <v>2299.0719136412467</v>
      </c>
      <c r="I43" s="123">
        <f t="shared" si="9"/>
        <v>2542.5654286820031</v>
      </c>
      <c r="J43" s="123">
        <f t="shared" si="9"/>
        <v>2765.0403453220124</v>
      </c>
      <c r="K43" s="123">
        <f t="shared" si="9"/>
        <v>3028.0372976192943</v>
      </c>
      <c r="L43" s="1149">
        <v>0.34</v>
      </c>
      <c r="M43" s="3" t="s">
        <v>925</v>
      </c>
    </row>
    <row r="44" spans="1:13" x14ac:dyDescent="0.3">
      <c r="B44" s="951"/>
      <c r="C44" s="136"/>
      <c r="D44" s="951"/>
      <c r="E44" s="951"/>
      <c r="F44" s="951"/>
      <c r="G44" s="951"/>
      <c r="H44" s="951"/>
      <c r="I44" s="951"/>
      <c r="J44" s="951"/>
      <c r="K44" s="221"/>
      <c r="L44" s="441"/>
    </row>
    <row r="45" spans="1:13" x14ac:dyDescent="0.3">
      <c r="B45" s="954" t="s">
        <v>871</v>
      </c>
      <c r="C45" s="136"/>
      <c r="D45" s="952"/>
      <c r="E45" s="952"/>
      <c r="F45" s="952"/>
      <c r="G45" s="952"/>
      <c r="H45" s="952"/>
      <c r="I45" s="952"/>
      <c r="J45" s="952"/>
      <c r="K45" s="221"/>
      <c r="L45" s="441"/>
    </row>
    <row r="46" spans="1:13" x14ac:dyDescent="0.3">
      <c r="B46" s="57" t="s">
        <v>798</v>
      </c>
      <c r="C46" s="953"/>
      <c r="D46" s="123">
        <f>Elekter!D8+Transport!D13+Soojus!D7+Põlevkivi!D8</f>
        <v>316103.40590679075</v>
      </c>
      <c r="E46" s="123">
        <f>Elekter!E8+Transport!E13+Soojus!E7+Põlevkivi!E8</f>
        <v>293971.72054996953</v>
      </c>
      <c r="F46" s="123">
        <f>Elekter!F8+Transport!F13+Soojus!F7+Põlevkivi!F8</f>
        <v>361165.17517524504</v>
      </c>
      <c r="G46" s="123">
        <f>Elekter!G8+Transport!G13+Soojus!G7+Põlevkivi!G8</f>
        <v>391203.04315110284</v>
      </c>
      <c r="H46" s="123">
        <f>Elekter!H8+Transport!H13+Soojus!H7+Põlevkivi!H8</f>
        <v>380802.46810641745</v>
      </c>
      <c r="I46" s="123">
        <f>Elekter!I8+Transport!I13+Soojus!I7+Põlevkivi!I8</f>
        <v>372207.49990314653</v>
      </c>
      <c r="J46" s="123">
        <f>Elekter!J8+Transport!J13+Soojus!J7+Põlevkivi!J8</f>
        <v>353217.76179656875</v>
      </c>
      <c r="K46" s="123">
        <f>Elekter!K8+Transport!K13+Soojus!K7+Põlevkivi!K8</f>
        <v>347683.44888838171</v>
      </c>
      <c r="L46" s="441"/>
    </row>
    <row r="47" spans="1:13" x14ac:dyDescent="0.3">
      <c r="B47" s="947" t="s">
        <v>916</v>
      </c>
      <c r="C47" s="955"/>
      <c r="D47" s="123">
        <f>Soojus!D8+Transport!D7+Transport!D8+Transport!D9+Elekter!D9+Põlevkivi!D8</f>
        <v>272352.67106270837</v>
      </c>
      <c r="E47" s="123">
        <f>Soojus!E8+Transport!E7+Transport!E8+Transport!E9+Elekter!E9+Põlevkivi!E8</f>
        <v>245050.3304128194</v>
      </c>
      <c r="F47" s="123">
        <f>Soojus!F8+Transport!F7+Transport!F8+Transport!F9+Elekter!F9+Põlevkivi!F8</f>
        <v>301727.24290917959</v>
      </c>
      <c r="G47" s="123">
        <f>Soojus!G8+Transport!G7+Transport!G8+Transport!G9+Elekter!G9+Põlevkivi!G8</f>
        <v>327584.43516994244</v>
      </c>
      <c r="H47" s="123">
        <f>Soojus!H8+Transport!H7+Transport!H8+Transport!H9+Elekter!H9+Põlevkivi!H8</f>
        <v>315950.88659201603</v>
      </c>
      <c r="I47" s="123">
        <f>Soojus!I8+Transport!I7+Transport!I8+Transport!I9+Elekter!I9+Põlevkivi!I8</f>
        <v>308059.08979881566</v>
      </c>
      <c r="J47" s="123">
        <f>Soojus!J8+Transport!J7+Transport!J8+Transport!J9+Elekter!J9+Põlevkivi!J8</f>
        <v>292538.20874092798</v>
      </c>
      <c r="K47" s="123">
        <f>Soojus!K8+Transport!K7+Transport!K8+Transport!K9+Elekter!K9+Põlevkivi!K8</f>
        <v>287451.50227314542</v>
      </c>
    </row>
    <row r="48" spans="1:13" x14ac:dyDescent="0.3">
      <c r="B48" s="947" t="s">
        <v>917</v>
      </c>
      <c r="C48" s="955"/>
      <c r="D48" s="123">
        <f>Soojus!D30+Transport!D14/1000+Elekter!D33+Põlevkivi!D32</f>
        <v>23053.248754773816</v>
      </c>
      <c r="E48" s="123">
        <f>Soojus!E30+Transport!E14/1000+Elekter!E33+Põlevkivi!E32</f>
        <v>17182.671126235877</v>
      </c>
      <c r="F48" s="123">
        <f>Soojus!F30+Transport!F14/1000+Elekter!F33+Põlevkivi!F32</f>
        <v>17836.298341088586</v>
      </c>
      <c r="G48" s="123">
        <f>Soojus!G30+Transport!G14/1000+Elekter!G33+Põlevkivi!G32</f>
        <v>17963.627980383564</v>
      </c>
      <c r="H48" s="123">
        <f>Soojus!H30+Transport!H14/1000+Elekter!H33+Põlevkivi!H32</f>
        <v>17085.852809706419</v>
      </c>
      <c r="I48" s="123">
        <f>Soojus!I30+Transport!I14/1000+Elekter!I33+Põlevkivi!I32</f>
        <v>16329.001821558066</v>
      </c>
      <c r="J48" s="123">
        <f>Soojus!J30+Transport!J14/1000+Elekter!J33+Põlevkivi!J32</f>
        <v>14729.240413545269</v>
      </c>
      <c r="K48" s="123">
        <f>Soojus!K30+Transport!K14/1000+Elekter!K33+Põlevkivi!K32</f>
        <v>14101.117746458523</v>
      </c>
    </row>
    <row r="50" spans="1:61" x14ac:dyDescent="0.3">
      <c r="B50" s="369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69"/>
      <c r="AM50" s="369"/>
      <c r="AN50" s="369"/>
      <c r="AO50" s="369"/>
      <c r="AP50" s="369"/>
      <c r="AQ50" s="369"/>
      <c r="AR50" s="369"/>
      <c r="AS50" s="369"/>
      <c r="AT50" s="369"/>
      <c r="AU50" s="369"/>
      <c r="AV50" s="369"/>
      <c r="AW50" s="369"/>
      <c r="AX50" s="369"/>
      <c r="AY50" s="369"/>
      <c r="AZ50" s="369"/>
      <c r="BA50" s="369"/>
      <c r="BB50" s="369"/>
      <c r="BC50" s="369"/>
      <c r="BD50" s="369"/>
      <c r="BE50" s="369"/>
      <c r="BF50" s="369"/>
      <c r="BG50" s="368"/>
      <c r="BH50" s="368"/>
      <c r="BI50" s="368"/>
    </row>
    <row r="52" spans="1:61" ht="14.4" x14ac:dyDescent="0.3">
      <c r="B52" s="37" t="s">
        <v>79</v>
      </c>
    </row>
    <row r="53" spans="1:61" x14ac:dyDescent="0.3">
      <c r="C53" s="3" t="s">
        <v>80</v>
      </c>
      <c r="D53" s="3" t="s">
        <v>80</v>
      </c>
      <c r="E53" s="3" t="s">
        <v>80</v>
      </c>
      <c r="F53" s="3" t="s">
        <v>80</v>
      </c>
      <c r="G53" s="3" t="s">
        <v>80</v>
      </c>
      <c r="H53" s="3" t="s">
        <v>80</v>
      </c>
      <c r="I53" s="3" t="s">
        <v>80</v>
      </c>
      <c r="J53" s="3" t="s">
        <v>80</v>
      </c>
      <c r="S53" s="53"/>
      <c r="T53" s="54"/>
    </row>
    <row r="54" spans="1:61" s="7" customFormat="1" x14ac:dyDescent="0.3">
      <c r="A54" s="122">
        <v>1</v>
      </c>
      <c r="B54" s="407"/>
      <c r="C54" s="407">
        <v>2005</v>
      </c>
      <c r="D54" s="407">
        <v>2006</v>
      </c>
      <c r="E54" s="407">
        <v>2007</v>
      </c>
      <c r="F54" s="407">
        <v>2008</v>
      </c>
      <c r="G54" s="407">
        <v>2009</v>
      </c>
      <c r="H54" s="407">
        <v>2010</v>
      </c>
      <c r="I54" s="407">
        <v>2011</v>
      </c>
      <c r="J54" s="407">
        <v>2012</v>
      </c>
      <c r="K54" s="407">
        <v>2013</v>
      </c>
      <c r="L54" s="407">
        <v>2014</v>
      </c>
      <c r="M54" s="407">
        <v>2015</v>
      </c>
      <c r="N54" s="407">
        <v>2016</v>
      </c>
      <c r="O54" s="407">
        <v>2017</v>
      </c>
      <c r="P54" s="407">
        <v>2018</v>
      </c>
      <c r="Q54" s="407">
        <v>2019</v>
      </c>
      <c r="R54" s="407">
        <v>2020</v>
      </c>
      <c r="S54" s="407">
        <v>2021</v>
      </c>
      <c r="T54" s="407">
        <v>2022</v>
      </c>
      <c r="U54" s="407">
        <v>2023</v>
      </c>
      <c r="V54" s="407">
        <v>2024</v>
      </c>
      <c r="W54" s="407">
        <v>2025</v>
      </c>
      <c r="X54" s="407">
        <v>2026</v>
      </c>
      <c r="Y54" s="407">
        <v>2027</v>
      </c>
      <c r="Z54" s="407">
        <v>2028</v>
      </c>
      <c r="AA54" s="407">
        <v>2029</v>
      </c>
      <c r="AB54" s="407">
        <v>2030</v>
      </c>
      <c r="AC54" s="407">
        <v>2031</v>
      </c>
      <c r="AD54" s="407">
        <v>2032</v>
      </c>
      <c r="AE54" s="407">
        <v>2033</v>
      </c>
      <c r="AF54" s="407">
        <v>2034</v>
      </c>
      <c r="AG54" s="407">
        <v>2035</v>
      </c>
      <c r="AH54" s="407">
        <v>2036</v>
      </c>
      <c r="AI54" s="407">
        <v>2037</v>
      </c>
      <c r="AJ54" s="407">
        <v>2038</v>
      </c>
      <c r="AK54" s="407">
        <v>2039</v>
      </c>
      <c r="AL54" s="407">
        <v>2040</v>
      </c>
      <c r="AM54" s="407">
        <v>2041</v>
      </c>
      <c r="AN54" s="407">
        <v>2042</v>
      </c>
      <c r="AO54" s="407">
        <v>2043</v>
      </c>
      <c r="AP54" s="407">
        <v>2044</v>
      </c>
      <c r="AQ54" s="407">
        <v>2045</v>
      </c>
      <c r="AR54" s="407">
        <v>2046</v>
      </c>
      <c r="AS54" s="407">
        <v>2047</v>
      </c>
      <c r="AT54" s="407">
        <v>2048</v>
      </c>
      <c r="AU54" s="407">
        <v>2049</v>
      </c>
      <c r="AV54" s="407">
        <v>2050</v>
      </c>
      <c r="AW54" s="407">
        <v>2051</v>
      </c>
      <c r="AX54" s="407">
        <v>2052</v>
      </c>
      <c r="AY54" s="407">
        <v>2053</v>
      </c>
      <c r="AZ54" s="407">
        <v>2054</v>
      </c>
      <c r="BA54" s="407">
        <v>2055</v>
      </c>
      <c r="BB54" s="407">
        <v>2056</v>
      </c>
      <c r="BC54" s="407">
        <v>2057</v>
      </c>
      <c r="BD54" s="407">
        <v>2058</v>
      </c>
      <c r="BE54" s="407">
        <v>2059</v>
      </c>
      <c r="BF54" s="407">
        <v>2060</v>
      </c>
    </row>
    <row r="55" spans="1:61" x14ac:dyDescent="0.3">
      <c r="A55" s="122">
        <v>2</v>
      </c>
      <c r="B55" s="48" t="s">
        <v>81</v>
      </c>
      <c r="C55" s="49">
        <v>11181.73983</v>
      </c>
      <c r="D55" s="905">
        <v>13390.76938</v>
      </c>
      <c r="E55" s="905">
        <v>16069.403</v>
      </c>
      <c r="F55" s="905">
        <v>16235.062610000001</v>
      </c>
      <c r="G55" s="905">
        <v>13969.724399999999</v>
      </c>
      <c r="H55" s="905">
        <v>14371.12989</v>
      </c>
      <c r="I55" s="905">
        <v>16216.40228</v>
      </c>
      <c r="J55" s="905">
        <v>17415.130700000002</v>
      </c>
      <c r="K55" s="906">
        <v>18463.11700851901</v>
      </c>
      <c r="L55" s="906">
        <v>19712.672579480957</v>
      </c>
      <c r="M55" s="907">
        <v>20994.132966960573</v>
      </c>
      <c r="N55" s="906">
        <v>22390.580969591072</v>
      </c>
      <c r="O55" s="906">
        <v>23924.575591525303</v>
      </c>
      <c r="P55" s="905">
        <v>25477.995222337366</v>
      </c>
      <c r="Q55" s="905">
        <v>27089.515302096086</v>
      </c>
      <c r="R55" s="907">
        <v>28733.15949475763</v>
      </c>
      <c r="S55" s="905">
        <v>30432.772778011116</v>
      </c>
      <c r="T55" s="905">
        <v>32193.54801945615</v>
      </c>
      <c r="U55" s="905">
        <v>34020.811225085636</v>
      </c>
      <c r="V55" s="905">
        <v>35920.014196828917</v>
      </c>
      <c r="W55" s="907">
        <v>37896.734390028658</v>
      </c>
      <c r="X55" s="905">
        <v>39956.680289565302</v>
      </c>
      <c r="Y55" s="905">
        <v>41954.441044145809</v>
      </c>
      <c r="Z55" s="905">
        <v>44178.040792131382</v>
      </c>
      <c r="AA55" s="905">
        <v>46514.01543101039</v>
      </c>
      <c r="AB55" s="907">
        <v>48855.842469210234</v>
      </c>
      <c r="AC55" s="905">
        <v>51209.023206413709</v>
      </c>
      <c r="AD55" s="905">
        <v>53623.123075132316</v>
      </c>
      <c r="AE55" s="905">
        <v>56041.259955130321</v>
      </c>
      <c r="AF55" s="905">
        <v>58453.795846491521</v>
      </c>
      <c r="AG55" s="907">
        <v>60890.900927306742</v>
      </c>
      <c r="AH55" s="905">
        <v>63386.135831215972</v>
      </c>
      <c r="AI55" s="905">
        <v>65954.096857556608</v>
      </c>
      <c r="AJ55" s="905">
        <v>68564.536522656796</v>
      </c>
      <c r="AK55" s="905">
        <v>71230.552966152085</v>
      </c>
      <c r="AL55" s="905">
        <v>73962.539775116864</v>
      </c>
      <c r="AM55" s="905">
        <v>76733.204555376215</v>
      </c>
      <c r="AN55" s="905">
        <v>79537.083652652931</v>
      </c>
      <c r="AO55" s="905">
        <v>82365.244121552692</v>
      </c>
      <c r="AP55" s="905">
        <v>85229.152204170401</v>
      </c>
      <c r="AQ55" s="905">
        <v>88116.979633306662</v>
      </c>
      <c r="AR55" s="905">
        <v>90930.663993510039</v>
      </c>
      <c r="AS55" s="905">
        <v>93777.403464481627</v>
      </c>
      <c r="AT55" s="905">
        <v>96649.200409327241</v>
      </c>
      <c r="AU55" s="905">
        <v>99564.642670541711</v>
      </c>
      <c r="AV55" s="905">
        <v>102526.22374240197</v>
      </c>
      <c r="AW55" s="905">
        <v>105562.96299638184</v>
      </c>
      <c r="AX55" s="905">
        <v>108670.95273654425</v>
      </c>
      <c r="AY55" s="905">
        <v>111864.77762721972</v>
      </c>
      <c r="AZ55" s="905">
        <v>115060.93720313004</v>
      </c>
      <c r="BA55" s="905">
        <v>118381.05546308638</v>
      </c>
      <c r="BB55" s="905">
        <v>121860.08472941142</v>
      </c>
      <c r="BC55" s="905">
        <v>125501.75659368729</v>
      </c>
      <c r="BD55" s="905">
        <v>129329.43518865382</v>
      </c>
      <c r="BE55" s="905">
        <v>133359.29940907354</v>
      </c>
      <c r="BF55" s="905">
        <v>137607.73721656276</v>
      </c>
    </row>
    <row r="56" spans="1:61" x14ac:dyDescent="0.3">
      <c r="A56" s="122">
        <v>3</v>
      </c>
      <c r="B56" s="56" t="s">
        <v>242</v>
      </c>
      <c r="C56" s="49"/>
      <c r="D56" s="908">
        <v>54.172759999999997</v>
      </c>
      <c r="E56" s="908">
        <v>53.001489999999997</v>
      </c>
      <c r="F56" s="908">
        <v>53.516829999999999</v>
      </c>
      <c r="G56" s="908">
        <v>52.495809999999999</v>
      </c>
      <c r="H56" s="908">
        <v>50.868229999999997</v>
      </c>
      <c r="I56" s="908">
        <v>49.11262</v>
      </c>
      <c r="J56" s="908">
        <v>49.737949999999998</v>
      </c>
      <c r="K56" s="906">
        <v>50</v>
      </c>
      <c r="L56" s="906">
        <v>50</v>
      </c>
      <c r="M56" s="906">
        <v>50</v>
      </c>
      <c r="N56" s="906">
        <v>50</v>
      </c>
      <c r="O56" s="906">
        <v>50</v>
      </c>
      <c r="P56" s="906">
        <v>50</v>
      </c>
      <c r="Q56" s="906">
        <v>50</v>
      </c>
      <c r="R56" s="906">
        <v>50</v>
      </c>
      <c r="S56" s="906">
        <v>50</v>
      </c>
      <c r="T56" s="906">
        <v>50</v>
      </c>
      <c r="U56" s="906">
        <v>50</v>
      </c>
      <c r="V56" s="906">
        <v>50</v>
      </c>
      <c r="W56" s="906">
        <v>50</v>
      </c>
      <c r="X56" s="906">
        <v>50</v>
      </c>
      <c r="Y56" s="906">
        <v>50</v>
      </c>
      <c r="Z56" s="906">
        <v>50</v>
      </c>
      <c r="AA56" s="906">
        <v>50</v>
      </c>
      <c r="AB56" s="906">
        <v>50</v>
      </c>
      <c r="AC56" s="906">
        <v>50</v>
      </c>
      <c r="AD56" s="906">
        <v>50</v>
      </c>
      <c r="AE56" s="906">
        <v>50</v>
      </c>
      <c r="AF56" s="906">
        <v>50</v>
      </c>
      <c r="AG56" s="906">
        <v>50</v>
      </c>
      <c r="AH56" s="906">
        <v>50</v>
      </c>
      <c r="AI56" s="906">
        <v>50</v>
      </c>
      <c r="AJ56" s="906">
        <v>50</v>
      </c>
      <c r="AK56" s="906">
        <v>50</v>
      </c>
      <c r="AL56" s="906">
        <v>50</v>
      </c>
      <c r="AM56" s="906">
        <v>50</v>
      </c>
      <c r="AN56" s="906">
        <v>50</v>
      </c>
      <c r="AO56" s="906">
        <v>50</v>
      </c>
      <c r="AP56" s="906">
        <v>50</v>
      </c>
      <c r="AQ56" s="906">
        <v>50</v>
      </c>
      <c r="AR56" s="906">
        <v>50</v>
      </c>
      <c r="AS56" s="906">
        <v>50</v>
      </c>
      <c r="AT56" s="906">
        <v>50</v>
      </c>
      <c r="AU56" s="906">
        <v>50</v>
      </c>
      <c r="AV56" s="906">
        <v>50</v>
      </c>
      <c r="AW56" s="906">
        <v>50</v>
      </c>
      <c r="AX56" s="906">
        <v>50</v>
      </c>
      <c r="AY56" s="906">
        <v>50</v>
      </c>
      <c r="AZ56" s="906">
        <v>50</v>
      </c>
      <c r="BA56" s="906">
        <v>50</v>
      </c>
      <c r="BB56" s="906">
        <v>50</v>
      </c>
      <c r="BC56" s="906">
        <v>50</v>
      </c>
      <c r="BD56" s="906">
        <v>50</v>
      </c>
      <c r="BE56" s="906">
        <v>50</v>
      </c>
      <c r="BF56" s="906">
        <v>50</v>
      </c>
    </row>
    <row r="57" spans="1:61" x14ac:dyDescent="0.3">
      <c r="A57" s="122">
        <v>4</v>
      </c>
      <c r="B57" s="56" t="s">
        <v>243</v>
      </c>
      <c r="C57" s="49"/>
      <c r="D57" s="908">
        <v>16.195740000000001</v>
      </c>
      <c r="E57" s="908">
        <v>16.447469999999999</v>
      </c>
      <c r="F57" s="908">
        <v>19.268239999999999</v>
      </c>
      <c r="G57" s="908">
        <v>21.74428</v>
      </c>
      <c r="H57" s="908">
        <v>20.77591</v>
      </c>
      <c r="I57" s="908">
        <v>19.226420000000001</v>
      </c>
      <c r="J57" s="908">
        <v>19.20993</v>
      </c>
      <c r="K57" s="906">
        <v>19</v>
      </c>
      <c r="L57" s="906">
        <v>19</v>
      </c>
      <c r="M57" s="906">
        <v>19</v>
      </c>
      <c r="N57" s="906">
        <v>19</v>
      </c>
      <c r="O57" s="906">
        <v>19</v>
      </c>
      <c r="P57" s="906">
        <v>19</v>
      </c>
      <c r="Q57" s="906">
        <v>19</v>
      </c>
      <c r="R57" s="906">
        <v>19</v>
      </c>
      <c r="S57" s="906">
        <v>19</v>
      </c>
      <c r="T57" s="906">
        <v>19</v>
      </c>
      <c r="U57" s="906">
        <v>19</v>
      </c>
      <c r="V57" s="906">
        <v>19</v>
      </c>
      <c r="W57" s="906">
        <v>19</v>
      </c>
      <c r="X57" s="906">
        <v>19</v>
      </c>
      <c r="Y57" s="906">
        <v>19</v>
      </c>
      <c r="Z57" s="906">
        <v>19</v>
      </c>
      <c r="AA57" s="906">
        <v>19</v>
      </c>
      <c r="AB57" s="906">
        <v>19</v>
      </c>
      <c r="AC57" s="906">
        <v>19</v>
      </c>
      <c r="AD57" s="906">
        <v>19</v>
      </c>
      <c r="AE57" s="906">
        <v>19</v>
      </c>
      <c r="AF57" s="906">
        <v>19</v>
      </c>
      <c r="AG57" s="906">
        <v>19</v>
      </c>
      <c r="AH57" s="906">
        <v>19</v>
      </c>
      <c r="AI57" s="906">
        <v>19</v>
      </c>
      <c r="AJ57" s="906">
        <v>19</v>
      </c>
      <c r="AK57" s="906">
        <v>19</v>
      </c>
      <c r="AL57" s="906">
        <v>19</v>
      </c>
      <c r="AM57" s="906">
        <v>19</v>
      </c>
      <c r="AN57" s="906">
        <v>19</v>
      </c>
      <c r="AO57" s="906">
        <v>19</v>
      </c>
      <c r="AP57" s="906">
        <v>19</v>
      </c>
      <c r="AQ57" s="906">
        <v>19</v>
      </c>
      <c r="AR57" s="906">
        <v>19</v>
      </c>
      <c r="AS57" s="906">
        <v>19</v>
      </c>
      <c r="AT57" s="906">
        <v>19</v>
      </c>
      <c r="AU57" s="906">
        <v>19</v>
      </c>
      <c r="AV57" s="906">
        <v>19</v>
      </c>
      <c r="AW57" s="906">
        <v>19</v>
      </c>
      <c r="AX57" s="906">
        <v>19</v>
      </c>
      <c r="AY57" s="906">
        <v>19</v>
      </c>
      <c r="AZ57" s="906">
        <v>19</v>
      </c>
      <c r="BA57" s="906">
        <v>19</v>
      </c>
      <c r="BB57" s="906">
        <v>19</v>
      </c>
      <c r="BC57" s="906">
        <v>19</v>
      </c>
      <c r="BD57" s="906">
        <v>19</v>
      </c>
      <c r="BE57" s="906">
        <v>19</v>
      </c>
      <c r="BF57" s="906">
        <v>19</v>
      </c>
    </row>
    <row r="58" spans="1:61" x14ac:dyDescent="0.3">
      <c r="A58" s="122">
        <v>5</v>
      </c>
      <c r="B58" s="56" t="s">
        <v>244</v>
      </c>
      <c r="C58" s="49"/>
      <c r="D58" s="908">
        <v>35.989620000000002</v>
      </c>
      <c r="E58" s="908">
        <v>35.550359999999998</v>
      </c>
      <c r="F58" s="908">
        <v>30.32245</v>
      </c>
      <c r="G58" s="908">
        <v>21.202999999999999</v>
      </c>
      <c r="H58" s="908">
        <v>18.972639999999998</v>
      </c>
      <c r="I58" s="908">
        <v>23.63391</v>
      </c>
      <c r="J58" s="908">
        <v>25.24146</v>
      </c>
      <c r="K58" s="906">
        <v>30</v>
      </c>
      <c r="L58" s="906">
        <v>30</v>
      </c>
      <c r="M58" s="906">
        <v>30</v>
      </c>
      <c r="N58" s="906">
        <v>30</v>
      </c>
      <c r="O58" s="906">
        <v>30</v>
      </c>
      <c r="P58" s="906">
        <v>30</v>
      </c>
      <c r="Q58" s="906">
        <v>30</v>
      </c>
      <c r="R58" s="906">
        <v>30</v>
      </c>
      <c r="S58" s="906">
        <v>30</v>
      </c>
      <c r="T58" s="906">
        <v>30</v>
      </c>
      <c r="U58" s="906">
        <v>30</v>
      </c>
      <c r="V58" s="906">
        <v>30</v>
      </c>
      <c r="W58" s="906">
        <v>30</v>
      </c>
      <c r="X58" s="906">
        <v>30</v>
      </c>
      <c r="Y58" s="906">
        <v>30</v>
      </c>
      <c r="Z58" s="906">
        <v>30</v>
      </c>
      <c r="AA58" s="906">
        <v>30</v>
      </c>
      <c r="AB58" s="906">
        <v>30</v>
      </c>
      <c r="AC58" s="906">
        <v>30</v>
      </c>
      <c r="AD58" s="906">
        <v>30</v>
      </c>
      <c r="AE58" s="906">
        <v>30</v>
      </c>
      <c r="AF58" s="906">
        <v>30</v>
      </c>
      <c r="AG58" s="906">
        <v>30</v>
      </c>
      <c r="AH58" s="906">
        <v>30</v>
      </c>
      <c r="AI58" s="906">
        <v>30</v>
      </c>
      <c r="AJ58" s="906">
        <v>30</v>
      </c>
      <c r="AK58" s="906">
        <v>30</v>
      </c>
      <c r="AL58" s="906">
        <v>30</v>
      </c>
      <c r="AM58" s="906">
        <v>30</v>
      </c>
      <c r="AN58" s="906">
        <v>30</v>
      </c>
      <c r="AO58" s="906">
        <v>30</v>
      </c>
      <c r="AP58" s="906">
        <v>30</v>
      </c>
      <c r="AQ58" s="906">
        <v>30</v>
      </c>
      <c r="AR58" s="906">
        <v>30</v>
      </c>
      <c r="AS58" s="906">
        <v>30</v>
      </c>
      <c r="AT58" s="906">
        <v>30</v>
      </c>
      <c r="AU58" s="906">
        <v>30</v>
      </c>
      <c r="AV58" s="906">
        <v>30</v>
      </c>
      <c r="AW58" s="906">
        <v>30</v>
      </c>
      <c r="AX58" s="906">
        <v>30</v>
      </c>
      <c r="AY58" s="906">
        <v>30</v>
      </c>
      <c r="AZ58" s="906">
        <v>30</v>
      </c>
      <c r="BA58" s="906">
        <v>30</v>
      </c>
      <c r="BB58" s="906">
        <v>30</v>
      </c>
      <c r="BC58" s="906">
        <v>30</v>
      </c>
      <c r="BD58" s="906">
        <v>30</v>
      </c>
      <c r="BE58" s="906">
        <v>30</v>
      </c>
      <c r="BF58" s="906">
        <v>30</v>
      </c>
    </row>
    <row r="59" spans="1:61" x14ac:dyDescent="0.3">
      <c r="A59" s="122">
        <v>6</v>
      </c>
      <c r="B59" s="56" t="s">
        <v>245</v>
      </c>
      <c r="C59" s="49"/>
      <c r="D59" s="908">
        <v>-10.244789999999995</v>
      </c>
      <c r="E59" s="908">
        <v>-9.2298600000000022</v>
      </c>
      <c r="F59" s="908">
        <v>-4.0394999999999897</v>
      </c>
      <c r="G59" s="908">
        <v>5.5091599999999943</v>
      </c>
      <c r="H59" s="908">
        <v>6.9732799999999884</v>
      </c>
      <c r="I59" s="908">
        <v>3.6862499999999869</v>
      </c>
      <c r="J59" s="908">
        <f>J98*100</f>
        <v>-21.583085690446993</v>
      </c>
      <c r="K59" s="908">
        <f t="shared" ref="K59:O59" si="10">K98*100</f>
        <v>-4.5937065519697748</v>
      </c>
      <c r="L59" s="908">
        <f t="shared" si="10"/>
        <v>3.7913424893370675</v>
      </c>
      <c r="M59" s="908">
        <f t="shared" si="10"/>
        <v>1.5218636579611822</v>
      </c>
      <c r="N59" s="908">
        <f t="shared" si="10"/>
        <v>-0.47632355266766729</v>
      </c>
      <c r="O59" s="908">
        <f t="shared" si="10"/>
        <v>-2.6796982213854479</v>
      </c>
      <c r="P59" s="906">
        <f t="shared" ref="P59:BF59" si="11">100-P56-P57-P58</f>
        <v>1</v>
      </c>
      <c r="Q59" s="906">
        <f t="shared" si="11"/>
        <v>1</v>
      </c>
      <c r="R59" s="906">
        <f t="shared" si="11"/>
        <v>1</v>
      </c>
      <c r="S59" s="906">
        <f t="shared" si="11"/>
        <v>1</v>
      </c>
      <c r="T59" s="906">
        <f t="shared" si="11"/>
        <v>1</v>
      </c>
      <c r="U59" s="906">
        <f t="shared" si="11"/>
        <v>1</v>
      </c>
      <c r="V59" s="906">
        <f t="shared" si="11"/>
        <v>1</v>
      </c>
      <c r="W59" s="906">
        <f t="shared" si="11"/>
        <v>1</v>
      </c>
      <c r="X59" s="906">
        <f t="shared" si="11"/>
        <v>1</v>
      </c>
      <c r="Y59" s="906">
        <f t="shared" si="11"/>
        <v>1</v>
      </c>
      <c r="Z59" s="906">
        <f t="shared" si="11"/>
        <v>1</v>
      </c>
      <c r="AA59" s="906">
        <f t="shared" si="11"/>
        <v>1</v>
      </c>
      <c r="AB59" s="906">
        <f t="shared" si="11"/>
        <v>1</v>
      </c>
      <c r="AC59" s="906">
        <f t="shared" si="11"/>
        <v>1</v>
      </c>
      <c r="AD59" s="906">
        <f t="shared" si="11"/>
        <v>1</v>
      </c>
      <c r="AE59" s="906">
        <f t="shared" si="11"/>
        <v>1</v>
      </c>
      <c r="AF59" s="906">
        <f t="shared" si="11"/>
        <v>1</v>
      </c>
      <c r="AG59" s="906">
        <f t="shared" si="11"/>
        <v>1</v>
      </c>
      <c r="AH59" s="906">
        <f t="shared" si="11"/>
        <v>1</v>
      </c>
      <c r="AI59" s="906">
        <f t="shared" si="11"/>
        <v>1</v>
      </c>
      <c r="AJ59" s="906">
        <f t="shared" si="11"/>
        <v>1</v>
      </c>
      <c r="AK59" s="906">
        <f t="shared" si="11"/>
        <v>1</v>
      </c>
      <c r="AL59" s="906">
        <f t="shared" si="11"/>
        <v>1</v>
      </c>
      <c r="AM59" s="906">
        <f t="shared" si="11"/>
        <v>1</v>
      </c>
      <c r="AN59" s="906">
        <f t="shared" si="11"/>
        <v>1</v>
      </c>
      <c r="AO59" s="906">
        <f t="shared" si="11"/>
        <v>1</v>
      </c>
      <c r="AP59" s="906">
        <f t="shared" si="11"/>
        <v>1</v>
      </c>
      <c r="AQ59" s="906">
        <f t="shared" si="11"/>
        <v>1</v>
      </c>
      <c r="AR59" s="906">
        <f t="shared" si="11"/>
        <v>1</v>
      </c>
      <c r="AS59" s="906">
        <f t="shared" si="11"/>
        <v>1</v>
      </c>
      <c r="AT59" s="906">
        <f t="shared" si="11"/>
        <v>1</v>
      </c>
      <c r="AU59" s="906">
        <f t="shared" si="11"/>
        <v>1</v>
      </c>
      <c r="AV59" s="906">
        <f t="shared" si="11"/>
        <v>1</v>
      </c>
      <c r="AW59" s="906">
        <f t="shared" si="11"/>
        <v>1</v>
      </c>
      <c r="AX59" s="906">
        <f t="shared" si="11"/>
        <v>1</v>
      </c>
      <c r="AY59" s="906">
        <f t="shared" si="11"/>
        <v>1</v>
      </c>
      <c r="AZ59" s="906">
        <f t="shared" si="11"/>
        <v>1</v>
      </c>
      <c r="BA59" s="906">
        <f t="shared" si="11"/>
        <v>1</v>
      </c>
      <c r="BB59" s="906">
        <f t="shared" si="11"/>
        <v>1</v>
      </c>
      <c r="BC59" s="906">
        <f t="shared" si="11"/>
        <v>1</v>
      </c>
      <c r="BD59" s="906">
        <f t="shared" si="11"/>
        <v>1</v>
      </c>
      <c r="BE59" s="906">
        <f t="shared" si="11"/>
        <v>1</v>
      </c>
      <c r="BF59" s="906">
        <f t="shared" si="11"/>
        <v>1</v>
      </c>
    </row>
    <row r="60" spans="1:61" x14ac:dyDescent="0.3">
      <c r="A60" s="122">
        <v>7</v>
      </c>
      <c r="B60" s="48" t="s">
        <v>734</v>
      </c>
      <c r="C60" s="49">
        <v>11181.73983</v>
      </c>
      <c r="D60" s="49">
        <f t="shared" ref="D60:G60" si="12">E60/(1+D61)</f>
        <v>16226.095166808413</v>
      </c>
      <c r="E60" s="49">
        <f t="shared" si="12"/>
        <v>17864.499703544014</v>
      </c>
      <c r="F60" s="49">
        <f t="shared" si="12"/>
        <v>19202.944454900578</v>
      </c>
      <c r="G60" s="49">
        <f t="shared" si="12"/>
        <v>18405.76198306114</v>
      </c>
      <c r="H60" s="49">
        <f>I60/(1+H61)</f>
        <v>15810.855289825506</v>
      </c>
      <c r="I60" s="780">
        <f>I55</f>
        <v>16216.40228</v>
      </c>
      <c r="J60" s="49">
        <f>I60*(1+J61)</f>
        <v>16855.151300250356</v>
      </c>
      <c r="K60" s="49">
        <f t="shared" ref="K60:BF60" si="13">J60*(1+K61)</f>
        <v>17110.75549403068</v>
      </c>
      <c r="L60" s="49">
        <f t="shared" si="13"/>
        <v>17734.00574122963</v>
      </c>
      <c r="M60" s="49">
        <f t="shared" si="13"/>
        <v>18361.745996711616</v>
      </c>
      <c r="N60" s="49">
        <f t="shared" si="13"/>
        <v>19031.47271373546</v>
      </c>
      <c r="O60" s="49">
        <f t="shared" si="13"/>
        <v>19763.259688688526</v>
      </c>
      <c r="P60" s="49">
        <f t="shared" si="13"/>
        <v>20473.235029744974</v>
      </c>
      <c r="Q60" s="49">
        <f t="shared" si="13"/>
        <v>21167.052491667997</v>
      </c>
      <c r="R60" s="49">
        <f t="shared" si="13"/>
        <v>21842.175630889749</v>
      </c>
      <c r="S60" s="49">
        <f t="shared" si="13"/>
        <v>22515.966341077779</v>
      </c>
      <c r="T60" s="49">
        <f t="shared" si="13"/>
        <v>23190.507034702761</v>
      </c>
      <c r="U60" s="49">
        <f t="shared" si="13"/>
        <v>23867.715719635435</v>
      </c>
      <c r="V60" s="49">
        <f t="shared" si="13"/>
        <v>24549.355760925624</v>
      </c>
      <c r="W60" s="49">
        <f t="shared" si="13"/>
        <v>25237.047519780914</v>
      </c>
      <c r="X60" s="49">
        <f t="shared" si="13"/>
        <v>25932.280896573804</v>
      </c>
      <c r="Y60" s="49">
        <f t="shared" si="13"/>
        <v>26540.739760606946</v>
      </c>
      <c r="Z60" s="49">
        <f t="shared" si="13"/>
        <v>27244.832019392779</v>
      </c>
      <c r="AA60" s="49">
        <f t="shared" si="13"/>
        <v>27967.530982196458</v>
      </c>
      <c r="AB60" s="49">
        <f t="shared" si="13"/>
        <v>28643.226085251379</v>
      </c>
      <c r="AC60" s="49">
        <f t="shared" si="13"/>
        <v>29302.020285212158</v>
      </c>
      <c r="AD60" s="49">
        <f t="shared" si="13"/>
        <v>29958.385539600909</v>
      </c>
      <c r="AE60" s="49">
        <f t="shared" si="13"/>
        <v>30581.519958824607</v>
      </c>
      <c r="AF60" s="49">
        <f t="shared" si="13"/>
        <v>31168.685142034043</v>
      </c>
      <c r="AG60" s="49">
        <f t="shared" si="13"/>
        <v>31738.217318675375</v>
      </c>
      <c r="AH60" s="49">
        <f t="shared" si="13"/>
        <v>32308.635615760348</v>
      </c>
      <c r="AI60" s="49">
        <f t="shared" si="13"/>
        <v>32874.588899523173</v>
      </c>
      <c r="AJ60" s="49">
        <f t="shared" si="13"/>
        <v>33433.529074931233</v>
      </c>
      <c r="AK60" s="49">
        <f t="shared" si="13"/>
        <v>33985.846872688118</v>
      </c>
      <c r="AL60" s="49">
        <f t="shared" si="13"/>
        <v>34529.691683963145</v>
      </c>
      <c r="AM60" s="49">
        <f t="shared" si="13"/>
        <v>35052.042098979349</v>
      </c>
      <c r="AN60" s="49">
        <f t="shared" si="13"/>
        <v>35550.749074169762</v>
      </c>
      <c r="AO60" s="49">
        <f t="shared" si="13"/>
        <v>36022.362083693522</v>
      </c>
      <c r="AP60" s="49">
        <f t="shared" si="13"/>
        <v>36472.494707652768</v>
      </c>
      <c r="AQ60" s="49">
        <f t="shared" si="13"/>
        <v>36896.571132216166</v>
      </c>
      <c r="AR60" s="49">
        <f t="shared" si="13"/>
        <v>37291.600757287451</v>
      </c>
      <c r="AS60" s="49">
        <f t="shared" si="13"/>
        <v>37668.048873948268</v>
      </c>
      <c r="AT60" s="49">
        <f t="shared" si="13"/>
        <v>38023.093269672441</v>
      </c>
      <c r="AU60" s="49">
        <f t="shared" si="13"/>
        <v>38364.414695878681</v>
      </c>
      <c r="AV60" s="49">
        <f t="shared" si="13"/>
        <v>38693.022595027338</v>
      </c>
      <c r="AW60" s="49">
        <f t="shared" si="13"/>
        <v>39019.663961460625</v>
      </c>
      <c r="AX60" s="49">
        <f t="shared" si="13"/>
        <v>39342.294564084819</v>
      </c>
      <c r="AY60" s="49">
        <f t="shared" si="13"/>
        <v>39665.58215902064</v>
      </c>
      <c r="AZ60" s="49">
        <f t="shared" si="13"/>
        <v>39998.914399515779</v>
      </c>
      <c r="BA60" s="49">
        <f t="shared" si="13"/>
        <v>40346.17177723709</v>
      </c>
      <c r="BB60" s="49">
        <f t="shared" si="13"/>
        <v>40717.530418113223</v>
      </c>
      <c r="BC60" s="49">
        <f t="shared" si="13"/>
        <v>41112.092939813592</v>
      </c>
      <c r="BD60" s="49">
        <f t="shared" si="13"/>
        <v>41535.265522479604</v>
      </c>
      <c r="BE60" s="49">
        <f t="shared" si="13"/>
        <v>41989.697289274649</v>
      </c>
      <c r="BF60" s="49">
        <f t="shared" si="13"/>
        <v>42477.810211084994</v>
      </c>
    </row>
    <row r="61" spans="1:61" x14ac:dyDescent="0.3">
      <c r="A61" s="122">
        <v>8</v>
      </c>
      <c r="B61" s="56" t="s">
        <v>83</v>
      </c>
      <c r="C61" s="45">
        <v>8.8534966502165968E-2</v>
      </c>
      <c r="D61" s="909">
        <v>0.10097343321929175</v>
      </c>
      <c r="E61" s="909">
        <v>7.4922039439539345E-2</v>
      </c>
      <c r="F61" s="909">
        <v>-4.1513554013118958E-2</v>
      </c>
      <c r="G61" s="909">
        <v>-0.14098338855102732</v>
      </c>
      <c r="H61" s="909">
        <v>2.5649908416748968E-2</v>
      </c>
      <c r="I61" s="909">
        <v>9.5579247462599382E-2</v>
      </c>
      <c r="J61" s="909">
        <v>3.938907096786437E-2</v>
      </c>
      <c r="K61" s="910">
        <v>1.5164752260427683E-2</v>
      </c>
      <c r="L61" s="910">
        <v>3.6424472748522341E-2</v>
      </c>
      <c r="M61" s="911">
        <v>3.5397544392497649E-2</v>
      </c>
      <c r="N61" s="910">
        <v>3.6474021432590709E-2</v>
      </c>
      <c r="O61" s="910">
        <v>3.8451410774160255E-2</v>
      </c>
      <c r="P61" s="909">
        <v>3.5924000000000067E-2</v>
      </c>
      <c r="Q61" s="909">
        <v>3.3888999999999836E-2</v>
      </c>
      <c r="R61" s="911">
        <v>3.1895000000000007E-2</v>
      </c>
      <c r="S61" s="909">
        <v>3.0848149999999963E-2</v>
      </c>
      <c r="T61" s="909">
        <v>2.9958327499999937E-2</v>
      </c>
      <c r="U61" s="909">
        <v>2.9201978374999937E-2</v>
      </c>
      <c r="V61" s="909">
        <v>2.8559081618749982E-2</v>
      </c>
      <c r="W61" s="911">
        <v>2.8012619375937575E-2</v>
      </c>
      <c r="X61" s="909">
        <v>2.7548126469546963E-2</v>
      </c>
      <c r="Y61" s="909">
        <v>2.3463376262962354E-2</v>
      </c>
      <c r="Z61" s="909">
        <v>2.6528735262717928E-2</v>
      </c>
      <c r="AA61" s="909">
        <v>2.6526093546448193E-2</v>
      </c>
      <c r="AB61" s="911">
        <v>2.4159984071709939E-2</v>
      </c>
      <c r="AC61" s="909">
        <v>2.2999999999999909E-2</v>
      </c>
      <c r="AD61" s="909">
        <v>2.2399999999999975E-2</v>
      </c>
      <c r="AE61" s="909">
        <v>2.079999999999993E-2</v>
      </c>
      <c r="AF61" s="909">
        <v>1.9200000000000106E-2</v>
      </c>
      <c r="AG61" s="911">
        <v>1.82725762747451E-2</v>
      </c>
      <c r="AH61" s="909">
        <v>1.7972600393952431E-2</v>
      </c>
      <c r="AI61" s="909">
        <v>1.7517090182748163E-2</v>
      </c>
      <c r="AJ61" s="909">
        <v>1.7002195133645204E-2</v>
      </c>
      <c r="AK61" s="909">
        <v>1.6519877292015206E-2</v>
      </c>
      <c r="AL61" s="909">
        <v>1.6002096793770848E-2</v>
      </c>
      <c r="AM61" s="909">
        <v>1.5127572519241461E-2</v>
      </c>
      <c r="AN61" s="909">
        <v>1.422761543484885E-2</v>
      </c>
      <c r="AO61" s="909">
        <v>1.3265909208827864E-2</v>
      </c>
      <c r="AP61" s="909">
        <v>1.2495921919651432E-2</v>
      </c>
      <c r="AQ61" s="909">
        <v>1.1627294155845513E-2</v>
      </c>
      <c r="AR61" s="909">
        <v>1.0706404767416577E-2</v>
      </c>
      <c r="AS61" s="909">
        <v>1.0094715941826538E-2</v>
      </c>
      <c r="AT61" s="909">
        <v>9.4256115285473729E-3</v>
      </c>
      <c r="AU61" s="909">
        <v>8.9766875037091687E-3</v>
      </c>
      <c r="AV61" s="909">
        <v>8.5654349676278496E-3</v>
      </c>
      <c r="AW61" s="909">
        <v>8.4418674098432067E-3</v>
      </c>
      <c r="AX61" s="909">
        <v>8.2684105876169589E-3</v>
      </c>
      <c r="AY61" s="909">
        <v>8.217304011315818E-3</v>
      </c>
      <c r="AZ61" s="909">
        <v>8.4035635518671103E-3</v>
      </c>
      <c r="BA61" s="909">
        <v>8.6816700636633826E-3</v>
      </c>
      <c r="BB61" s="909">
        <v>9.204309219881246E-3</v>
      </c>
      <c r="BC61" s="909">
        <v>9.6902370465190568E-3</v>
      </c>
      <c r="BD61" s="909">
        <v>1.0293141321837229E-2</v>
      </c>
      <c r="BE61" s="909">
        <v>1.0940865817966161E-2</v>
      </c>
      <c r="BF61" s="909">
        <v>1.1624587775607154E-2</v>
      </c>
    </row>
    <row r="62" spans="1:61" x14ac:dyDescent="0.3">
      <c r="A62" s="122">
        <v>9</v>
      </c>
      <c r="B62" s="56" t="s">
        <v>84</v>
      </c>
      <c r="C62" s="45">
        <v>0.15450937632518191</v>
      </c>
      <c r="D62" s="909">
        <v>0.19755687250684306</v>
      </c>
      <c r="E62" s="909">
        <v>0.20003582647018892</v>
      </c>
      <c r="F62" s="909">
        <v>1.0309008368263539E-2</v>
      </c>
      <c r="G62" s="909">
        <v>-0.13953369102529145</v>
      </c>
      <c r="H62" s="909">
        <v>2.8733959132364983E-2</v>
      </c>
      <c r="I62" s="909">
        <v>0.12840134381389268</v>
      </c>
      <c r="J62" s="909">
        <v>7.3920737738383258E-2</v>
      </c>
      <c r="K62" s="910">
        <v>6.0176769647729778E-2</v>
      </c>
      <c r="L62" s="910">
        <v>6.7678473271083783E-2</v>
      </c>
      <c r="M62" s="911">
        <v>6.5006933094069463E-2</v>
      </c>
      <c r="N62" s="910">
        <v>6.6516107372862399E-2</v>
      </c>
      <c r="O62" s="910">
        <v>6.8510711000199898E-2</v>
      </c>
      <c r="P62" s="909">
        <v>6.4929872E-2</v>
      </c>
      <c r="Q62" s="909">
        <v>6.3251447599999899E-2</v>
      </c>
      <c r="R62" s="911">
        <v>6.0674551550000011E-2</v>
      </c>
      <c r="S62" s="909">
        <v>5.9151632230475037E-2</v>
      </c>
      <c r="T62" s="909">
        <v>5.7857864424278205E-2</v>
      </c>
      <c r="U62" s="909">
        <v>5.6758677376137046E-2</v>
      </c>
      <c r="V62" s="909">
        <v>5.582474089691547E-2</v>
      </c>
      <c r="W62" s="911">
        <v>5.5031164029279545E-2</v>
      </c>
      <c r="X62" s="909">
        <v>5.4356818145224084E-2</v>
      </c>
      <c r="Y62" s="909">
        <v>4.9998166516907139E-2</v>
      </c>
      <c r="Z62" s="909">
        <v>5.3000342577459891E-2</v>
      </c>
      <c r="AA62" s="909">
        <v>5.2876374710013607E-2</v>
      </c>
      <c r="AB62" s="911">
        <v>5.0346696936394153E-2</v>
      </c>
      <c r="AC62" s="909">
        <v>4.8165799999999814E-2</v>
      </c>
      <c r="AD62" s="909">
        <v>4.7142079999999975E-2</v>
      </c>
      <c r="AE62" s="909">
        <v>4.5095039999999864E-2</v>
      </c>
      <c r="AF62" s="909">
        <v>4.304928000000019E-2</v>
      </c>
      <c r="AG62" s="911">
        <v>4.169284552906416E-2</v>
      </c>
      <c r="AH62" s="909">
        <v>4.0978781162855693E-2</v>
      </c>
      <c r="AI62" s="909">
        <v>4.0512976420878255E-2</v>
      </c>
      <c r="AJ62" s="909">
        <v>3.9579643865612191E-2</v>
      </c>
      <c r="AK62" s="909">
        <v>3.8883314592439655E-2</v>
      </c>
      <c r="AL62" s="909">
        <v>3.8354142923233914E-2</v>
      </c>
      <c r="AM62" s="909">
        <v>3.7460379114664821E-2</v>
      </c>
      <c r="AN62" s="909">
        <v>3.6540622974415626E-2</v>
      </c>
      <c r="AO62" s="909">
        <v>3.5557759211422013E-2</v>
      </c>
      <c r="AP62" s="909">
        <v>3.4770832201883817E-2</v>
      </c>
      <c r="AQ62" s="909">
        <v>3.3883094627274124E-2</v>
      </c>
      <c r="AR62" s="909">
        <v>3.1931239267532163E-2</v>
      </c>
      <c r="AS62" s="909">
        <v>3.1306704976604705E-2</v>
      </c>
      <c r="AT62" s="909">
        <v>3.0623549370646819E-2</v>
      </c>
      <c r="AU62" s="909">
        <v>3.0165197941286914E-2</v>
      </c>
      <c r="AV62" s="909">
        <v>2.9745309101947948E-2</v>
      </c>
      <c r="AW62" s="909">
        <v>2.9619146625449844E-2</v>
      </c>
      <c r="AX62" s="909">
        <v>2.9442047209956801E-2</v>
      </c>
      <c r="AY62" s="909">
        <v>2.9389867395553271E-2</v>
      </c>
      <c r="AZ62" s="909">
        <v>2.8571634822904368E-2</v>
      </c>
      <c r="BA62" s="909">
        <v>2.8855303464936588E-2</v>
      </c>
      <c r="BB62" s="909">
        <v>2.9388395404278844E-2</v>
      </c>
      <c r="BC62" s="909">
        <v>2.9884041787449522E-2</v>
      </c>
      <c r="BD62" s="909">
        <v>3.0499004148274E-2</v>
      </c>
      <c r="BE62" s="909">
        <v>3.1159683134325489E-2</v>
      </c>
      <c r="BF62" s="909">
        <v>3.185707953111927E-2</v>
      </c>
    </row>
    <row r="63" spans="1:61" x14ac:dyDescent="0.3">
      <c r="A63" s="122">
        <v>10</v>
      </c>
      <c r="B63" s="56" t="s">
        <v>268</v>
      </c>
      <c r="C63" s="45"/>
      <c r="D63" s="45">
        <f>(1+D62)/(1+D61)-1</f>
        <v>8.7725494887862521E-2</v>
      </c>
      <c r="E63" s="45">
        <f t="shared" ref="E63:BF63" si="14">(1+E62)/(1+E61)-1</f>
        <v>0.11639335918340965</v>
      </c>
      <c r="F63" s="45">
        <f t="shared" si="14"/>
        <v>5.4067078985164718E-2</v>
      </c>
      <c r="G63" s="45">
        <f t="shared" si="14"/>
        <v>1.6876245539543255E-3</v>
      </c>
      <c r="H63" s="45">
        <f t="shared" si="14"/>
        <v>3.0069234056451233E-3</v>
      </c>
      <c r="I63" s="45">
        <f t="shared" si="14"/>
        <v>2.995866928596036E-2</v>
      </c>
      <c r="J63" s="45">
        <f t="shared" si="14"/>
        <v>3.3223042010980031E-2</v>
      </c>
      <c r="K63" s="45">
        <f t="shared" si="14"/>
        <v>4.4339618064038966E-2</v>
      </c>
      <c r="L63" s="45">
        <f t="shared" si="14"/>
        <v>3.015559873810969E-2</v>
      </c>
      <c r="M63" s="45">
        <f t="shared" si="14"/>
        <v>2.8597120846896251E-2</v>
      </c>
      <c r="N63" s="45">
        <f t="shared" si="14"/>
        <v>2.8984890425664656E-2</v>
      </c>
      <c r="O63" s="45">
        <f t="shared" si="14"/>
        <v>2.8946275111351172E-2</v>
      </c>
      <c r="P63" s="45">
        <f t="shared" si="14"/>
        <v>2.8000000000000025E-2</v>
      </c>
      <c r="Q63" s="45">
        <f t="shared" si="14"/>
        <v>2.8399999999999981E-2</v>
      </c>
      <c r="R63" s="45">
        <f t="shared" si="14"/>
        <v>2.788999999999997E-2</v>
      </c>
      <c r="S63" s="45">
        <f t="shared" si="14"/>
        <v>2.7456499999999995E-2</v>
      </c>
      <c r="T63" s="45">
        <f t="shared" si="14"/>
        <v>2.7088025000000071E-2</v>
      </c>
      <c r="U63" s="45">
        <f t="shared" si="14"/>
        <v>2.677482125000008E-2</v>
      </c>
      <c r="V63" s="45">
        <f t="shared" si="14"/>
        <v>2.6508598062499944E-2</v>
      </c>
      <c r="W63" s="45">
        <f t="shared" si="14"/>
        <v>2.628230835312495E-2</v>
      </c>
      <c r="X63" s="45">
        <f t="shared" si="14"/>
        <v>2.6089962100156239E-2</v>
      </c>
      <c r="Y63" s="45">
        <f t="shared" si="14"/>
        <v>2.5926467785132745E-2</v>
      </c>
      <c r="Z63" s="45">
        <f t="shared" si="14"/>
        <v>2.5787497617362876E-2</v>
      </c>
      <c r="AA63" s="45">
        <f t="shared" si="14"/>
        <v>2.5669372974758353E-2</v>
      </c>
      <c r="AB63" s="45">
        <f t="shared" si="14"/>
        <v>2.5568967028544609E-2</v>
      </c>
      <c r="AC63" s="45">
        <f t="shared" si="14"/>
        <v>2.4599999999999955E-2</v>
      </c>
      <c r="AD63" s="45">
        <f t="shared" si="14"/>
        <v>2.4199999999999999E-2</v>
      </c>
      <c r="AE63" s="45">
        <f t="shared" si="14"/>
        <v>2.3800000000000043E-2</v>
      </c>
      <c r="AF63" s="45">
        <f t="shared" si="14"/>
        <v>2.3400000000000087E-2</v>
      </c>
      <c r="AG63" s="45">
        <f t="shared" si="14"/>
        <v>2.2999999999999909E-2</v>
      </c>
      <c r="AH63" s="45">
        <f t="shared" si="14"/>
        <v>2.2599999999999953E-2</v>
      </c>
      <c r="AI63" s="45">
        <f t="shared" si="14"/>
        <v>2.2599999999999953E-2</v>
      </c>
      <c r="AJ63" s="45">
        <f t="shared" si="14"/>
        <v>2.2199999999999998E-2</v>
      </c>
      <c r="AK63" s="45">
        <f t="shared" si="14"/>
        <v>2.200000000000002E-2</v>
      </c>
      <c r="AL63" s="45">
        <f t="shared" si="14"/>
        <v>2.200000000000002E-2</v>
      </c>
      <c r="AM63" s="45">
        <f t="shared" si="14"/>
        <v>2.200000000000002E-2</v>
      </c>
      <c r="AN63" s="45">
        <f t="shared" si="14"/>
        <v>2.200000000000002E-2</v>
      </c>
      <c r="AO63" s="45">
        <f t="shared" si="14"/>
        <v>2.200000000000002E-2</v>
      </c>
      <c r="AP63" s="45">
        <f t="shared" si="14"/>
        <v>2.200000000000002E-2</v>
      </c>
      <c r="AQ63" s="45">
        <f t="shared" si="14"/>
        <v>2.200000000000002E-2</v>
      </c>
      <c r="AR63" s="45">
        <f t="shared" si="14"/>
        <v>2.0999999999999908E-2</v>
      </c>
      <c r="AS63" s="45">
        <f t="shared" si="14"/>
        <v>2.0999999999999908E-2</v>
      </c>
      <c r="AT63" s="45">
        <f t="shared" si="14"/>
        <v>2.0999999999999908E-2</v>
      </c>
      <c r="AU63" s="45">
        <f t="shared" si="14"/>
        <v>2.0999999999999908E-2</v>
      </c>
      <c r="AV63" s="45">
        <f t="shared" si="14"/>
        <v>2.0999999999999908E-2</v>
      </c>
      <c r="AW63" s="45">
        <f t="shared" si="14"/>
        <v>2.0999999999999908E-2</v>
      </c>
      <c r="AX63" s="45">
        <f t="shared" si="14"/>
        <v>2.0999999999999908E-2</v>
      </c>
      <c r="AY63" s="45">
        <f t="shared" si="14"/>
        <v>2.0999999999999908E-2</v>
      </c>
      <c r="AZ63" s="45">
        <f t="shared" si="14"/>
        <v>2.0000000000000018E-2</v>
      </c>
      <c r="BA63" s="45">
        <f t="shared" si="14"/>
        <v>2.0000000000000018E-2</v>
      </c>
      <c r="BB63" s="45">
        <f t="shared" si="14"/>
        <v>2.0000000000000018E-2</v>
      </c>
      <c r="BC63" s="45">
        <f t="shared" si="14"/>
        <v>2.0000000000000018E-2</v>
      </c>
      <c r="BD63" s="45">
        <f t="shared" si="14"/>
        <v>2.0000000000000018E-2</v>
      </c>
      <c r="BE63" s="45">
        <f t="shared" si="14"/>
        <v>2.0000000000000018E-2</v>
      </c>
      <c r="BF63" s="45">
        <f t="shared" si="14"/>
        <v>2.0000000000000018E-2</v>
      </c>
    </row>
    <row r="64" spans="1:61" x14ac:dyDescent="0.3">
      <c r="A64" s="122">
        <v>11</v>
      </c>
      <c r="B64" s="48" t="s">
        <v>85</v>
      </c>
      <c r="C64" s="45">
        <v>4.1000000000000002E-2</v>
      </c>
      <c r="D64" s="909">
        <v>4.3999999999999997E-2</v>
      </c>
      <c r="E64" s="909">
        <v>6.6000000000000003E-2</v>
      </c>
      <c r="F64" s="909">
        <v>0.104</v>
      </c>
      <c r="G64" s="909">
        <v>-1E-3</v>
      </c>
      <c r="H64" s="909">
        <v>0.03</v>
      </c>
      <c r="I64" s="909">
        <v>0.05</v>
      </c>
      <c r="J64" s="909">
        <v>3.9E-2</v>
      </c>
      <c r="K64" s="910">
        <v>3.2000000000000001E-2</v>
      </c>
      <c r="L64" s="910">
        <v>2.7E-2</v>
      </c>
      <c r="M64" s="911">
        <v>2.8000000000000001E-2</v>
      </c>
      <c r="N64" s="910">
        <v>2.9000000000000001E-2</v>
      </c>
      <c r="O64" s="910">
        <v>2.8000000000000001E-2</v>
      </c>
      <c r="P64" s="909">
        <v>2.8000000000000001E-2</v>
      </c>
      <c r="Q64" s="909">
        <v>2.8400000000000002E-2</v>
      </c>
      <c r="R64" s="911">
        <v>2.7890000000000002E-2</v>
      </c>
      <c r="S64" s="909">
        <v>2.7456500000000002E-2</v>
      </c>
      <c r="T64" s="909">
        <v>2.7088025000000002E-2</v>
      </c>
      <c r="U64" s="909">
        <v>2.6774821250000001E-2</v>
      </c>
      <c r="V64" s="909">
        <v>2.65085980625E-2</v>
      </c>
      <c r="W64" s="911">
        <v>2.6282308353124999E-2</v>
      </c>
      <c r="X64" s="909">
        <v>2.6089962100156249E-2</v>
      </c>
      <c r="Y64" s="909">
        <v>2.5926467785132811E-2</v>
      </c>
      <c r="Z64" s="909">
        <v>2.5787497617362889E-2</v>
      </c>
      <c r="AA64" s="909">
        <v>2.5669372974758457E-2</v>
      </c>
      <c r="AB64" s="911">
        <v>2.5568967028544689E-2</v>
      </c>
      <c r="AC64" s="909">
        <v>2.46E-2</v>
      </c>
      <c r="AD64" s="909">
        <v>2.4199999999999999E-2</v>
      </c>
      <c r="AE64" s="909">
        <v>2.3800000000000002E-2</v>
      </c>
      <c r="AF64" s="909">
        <v>2.3400000000000001E-2</v>
      </c>
      <c r="AG64" s="911">
        <v>2.3E-2</v>
      </c>
      <c r="AH64" s="909">
        <v>2.2599999999999999E-2</v>
      </c>
      <c r="AI64" s="909">
        <v>2.2599999999999999E-2</v>
      </c>
      <c r="AJ64" s="909">
        <v>2.2200000000000001E-2</v>
      </c>
      <c r="AK64" s="909">
        <v>2.1999999999999999E-2</v>
      </c>
      <c r="AL64" s="909">
        <v>2.1999999999999999E-2</v>
      </c>
      <c r="AM64" s="909">
        <v>2.1999999999999999E-2</v>
      </c>
      <c r="AN64" s="909">
        <v>2.1999999999999999E-2</v>
      </c>
      <c r="AO64" s="909">
        <v>2.1999999999999999E-2</v>
      </c>
      <c r="AP64" s="909">
        <v>2.1999999999999999E-2</v>
      </c>
      <c r="AQ64" s="909">
        <v>2.1999999999999999E-2</v>
      </c>
      <c r="AR64" s="909">
        <v>2.1000000000000001E-2</v>
      </c>
      <c r="AS64" s="909">
        <v>2.1000000000000001E-2</v>
      </c>
      <c r="AT64" s="909">
        <v>2.1000000000000001E-2</v>
      </c>
      <c r="AU64" s="909">
        <v>2.1000000000000001E-2</v>
      </c>
      <c r="AV64" s="909">
        <v>2.1000000000000001E-2</v>
      </c>
      <c r="AW64" s="909">
        <v>2.1000000000000001E-2</v>
      </c>
      <c r="AX64" s="909">
        <v>2.1000000000000001E-2</v>
      </c>
      <c r="AY64" s="909">
        <v>2.1000000000000001E-2</v>
      </c>
      <c r="AZ64" s="909">
        <v>0.02</v>
      </c>
      <c r="BA64" s="909">
        <v>0.02</v>
      </c>
      <c r="BB64" s="909">
        <v>0.02</v>
      </c>
      <c r="BC64" s="909">
        <v>0.02</v>
      </c>
      <c r="BD64" s="909">
        <v>0.02</v>
      </c>
      <c r="BE64" s="909">
        <v>0.02</v>
      </c>
      <c r="BF64" s="909">
        <v>0.02</v>
      </c>
    </row>
    <row r="65" spans="1:69" x14ac:dyDescent="0.3">
      <c r="A65" s="122">
        <v>12</v>
      </c>
      <c r="B65" s="48" t="s">
        <v>86</v>
      </c>
      <c r="C65" s="46">
        <v>607.4</v>
      </c>
      <c r="D65" s="908">
        <v>646.29999999999995</v>
      </c>
      <c r="E65" s="908">
        <v>655.29999999999995</v>
      </c>
      <c r="F65" s="908">
        <v>656.5</v>
      </c>
      <c r="G65" s="908">
        <v>595.79999999999995</v>
      </c>
      <c r="H65" s="908">
        <v>570.875</v>
      </c>
      <c r="I65" s="908">
        <v>609.04999999999995</v>
      </c>
      <c r="J65" s="908">
        <v>624.42499999999995</v>
      </c>
      <c r="K65" s="912">
        <v>632.5</v>
      </c>
      <c r="L65" s="912">
        <v>635</v>
      </c>
      <c r="M65" s="913">
        <v>635</v>
      </c>
      <c r="N65" s="912">
        <v>635</v>
      </c>
      <c r="O65" s="912">
        <v>635</v>
      </c>
      <c r="P65" s="908">
        <v>633.73</v>
      </c>
      <c r="Q65" s="908">
        <v>631.82880999999998</v>
      </c>
      <c r="R65" s="913">
        <v>629.93332356999997</v>
      </c>
      <c r="S65" s="908">
        <v>628.04352359928998</v>
      </c>
      <c r="T65" s="908">
        <v>626.1593930284921</v>
      </c>
      <c r="U65" s="908">
        <v>624.2809148494066</v>
      </c>
      <c r="V65" s="908">
        <v>622.40807210485843</v>
      </c>
      <c r="W65" s="913">
        <v>620.54084788854391</v>
      </c>
      <c r="X65" s="908">
        <v>618.67922534487832</v>
      </c>
      <c r="Y65" s="908">
        <v>614.6073206402848</v>
      </c>
      <c r="Z65" s="908">
        <v>612.59104936124186</v>
      </c>
      <c r="AA65" s="908">
        <v>610.74949155357137</v>
      </c>
      <c r="AB65" s="913">
        <v>607.65347240596509</v>
      </c>
      <c r="AC65" s="908">
        <v>605.55061150896518</v>
      </c>
      <c r="AD65" s="908">
        <v>602.45179948606756</v>
      </c>
      <c r="AE65" s="908">
        <v>599.35298746317005</v>
      </c>
      <c r="AF65" s="908">
        <v>596.25417544027266</v>
      </c>
      <c r="AG65" s="913">
        <v>593.26221900437167</v>
      </c>
      <c r="AH65" s="908">
        <v>590.05655139447776</v>
      </c>
      <c r="AI65" s="908">
        <v>586.85088378458386</v>
      </c>
      <c r="AJ65" s="908">
        <v>583.53836058769355</v>
      </c>
      <c r="AK65" s="908">
        <v>579.79841504281728</v>
      </c>
      <c r="AL65" s="908">
        <v>575.95161391094462</v>
      </c>
      <c r="AM65" s="908">
        <v>571.78424601808251</v>
      </c>
      <c r="AN65" s="908">
        <v>567.29631136423086</v>
      </c>
      <c r="AO65" s="908">
        <v>562.48780994939</v>
      </c>
      <c r="AP65" s="908">
        <v>557.46559736055633</v>
      </c>
      <c r="AQ65" s="908">
        <v>552.2296735977294</v>
      </c>
      <c r="AR65" s="908">
        <v>546.78003866090978</v>
      </c>
      <c r="AS65" s="908">
        <v>541.00983696310061</v>
      </c>
      <c r="AT65" s="908">
        <v>535.02592409129863</v>
      </c>
      <c r="AU65" s="908">
        <v>529.14886680649306</v>
      </c>
      <c r="AV65" s="908">
        <v>523.16495393469108</v>
      </c>
      <c r="AW65" s="908">
        <v>517.18104106288899</v>
      </c>
      <c r="AX65" s="908">
        <v>511.41083936507988</v>
      </c>
      <c r="AY65" s="908">
        <v>505.9612044282602</v>
      </c>
      <c r="AZ65" s="908">
        <v>501.04584742642277</v>
      </c>
      <c r="BA65" s="908">
        <v>496.6647683595678</v>
      </c>
      <c r="BB65" s="908">
        <v>492.49740046670564</v>
      </c>
      <c r="BC65" s="908">
        <v>488.97116609582235</v>
      </c>
      <c r="BD65" s="908">
        <v>485.76549848592839</v>
      </c>
      <c r="BE65" s="908">
        <v>482.98725322402032</v>
      </c>
      <c r="BF65" s="908">
        <v>480.42271913610517</v>
      </c>
    </row>
    <row r="66" spans="1:69" x14ac:dyDescent="0.3">
      <c r="A66" s="122">
        <v>13</v>
      </c>
      <c r="B66" s="56" t="s">
        <v>87</v>
      </c>
      <c r="C66" s="47">
        <v>1.9983207388748925E-2</v>
      </c>
      <c r="D66" s="914">
        <v>6.40434639446823E-2</v>
      </c>
      <c r="E66" s="914">
        <v>1.3925421630821555E-2</v>
      </c>
      <c r="F66" s="914">
        <v>1.8312223409127082E-3</v>
      </c>
      <c r="G66" s="914">
        <v>-9.2460015232292525E-2</v>
      </c>
      <c r="H66" s="914">
        <v>-4.1834508224236289E-2</v>
      </c>
      <c r="I66" s="914">
        <v>6.6871031311583007E-2</v>
      </c>
      <c r="J66" s="914">
        <v>2.5244232821607371E-2</v>
      </c>
      <c r="K66" s="915">
        <v>1.2931897345557886E-2</v>
      </c>
      <c r="L66" s="915">
        <v>3.9525691699604515E-3</v>
      </c>
      <c r="M66" s="916">
        <v>0</v>
      </c>
      <c r="N66" s="915">
        <v>0</v>
      </c>
      <c r="O66" s="915">
        <v>0</v>
      </c>
      <c r="P66" s="914">
        <v>-2.0000000000000018E-3</v>
      </c>
      <c r="Q66" s="914">
        <v>-3.0000000000001137E-3</v>
      </c>
      <c r="R66" s="916">
        <v>-3.0000000000000027E-3</v>
      </c>
      <c r="S66" s="914">
        <v>-3.0000000000000027E-3</v>
      </c>
      <c r="T66" s="914">
        <v>-3.0000000000000027E-3</v>
      </c>
      <c r="U66" s="914">
        <v>-3.0000000000000027E-3</v>
      </c>
      <c r="V66" s="914">
        <v>-2.9999999999998916E-3</v>
      </c>
      <c r="W66" s="916">
        <v>-2.9999999999998916E-3</v>
      </c>
      <c r="X66" s="914">
        <v>-2.9999999999998916E-3</v>
      </c>
      <c r="Y66" s="914">
        <v>-6.5816089142538559E-3</v>
      </c>
      <c r="Z66" s="914">
        <v>-3.2805845477766882E-3</v>
      </c>
      <c r="AA66" s="914">
        <v>-3.0061781176703439E-3</v>
      </c>
      <c r="AB66" s="916">
        <v>-5.0692128121644364E-3</v>
      </c>
      <c r="AC66" s="914">
        <v>-3.4606251630123763E-3</v>
      </c>
      <c r="AD66" s="914">
        <v>-5.1173460384685843E-3</v>
      </c>
      <c r="AE66" s="914">
        <v>-5.1436679673643182E-3</v>
      </c>
      <c r="AF66" s="914">
        <v>-5.1702620788017795E-3</v>
      </c>
      <c r="AG66" s="916">
        <v>-5.0179211469533191E-3</v>
      </c>
      <c r="AH66" s="914">
        <v>-5.4034582132563846E-3</v>
      </c>
      <c r="AI66" s="914">
        <v>-5.432814197754432E-3</v>
      </c>
      <c r="AJ66" s="914">
        <v>-5.6445739257099392E-3</v>
      </c>
      <c r="AK66" s="914">
        <v>-6.4090825856070177E-3</v>
      </c>
      <c r="AL66" s="914">
        <v>-6.6347217102836753E-3</v>
      </c>
      <c r="AM66" s="914">
        <v>-7.2356215213357222E-3</v>
      </c>
      <c r="AN66" s="914">
        <v>-7.8490001868811721E-3</v>
      </c>
      <c r="AO66" s="914">
        <v>-8.4761725372008989E-3</v>
      </c>
      <c r="AP66" s="914">
        <v>-8.9285714285711748E-3</v>
      </c>
      <c r="AQ66" s="914">
        <v>-9.3923710944990857E-3</v>
      </c>
      <c r="AR66" s="914">
        <v>-9.8684210526314153E-3</v>
      </c>
      <c r="AS66" s="914">
        <v>-1.0553058432675511E-2</v>
      </c>
      <c r="AT66" s="914">
        <v>-1.1060635986569145E-2</v>
      </c>
      <c r="AU66" s="914">
        <v>-1.0984621529858241E-2</v>
      </c>
      <c r="AV66" s="914">
        <v>-1.1308562197091976E-2</v>
      </c>
      <c r="AW66" s="914">
        <v>-1.1437908496732208E-2</v>
      </c>
      <c r="AX66" s="914">
        <v>-1.1157024793388426E-2</v>
      </c>
      <c r="AY66" s="914">
        <v>-1.0656080234015874E-2</v>
      </c>
      <c r="AZ66" s="914">
        <v>-9.7148891235481205E-3</v>
      </c>
      <c r="BA66" s="914">
        <v>-8.7438686287053535E-3</v>
      </c>
      <c r="BB66" s="914">
        <v>-8.3907056798623314E-3</v>
      </c>
      <c r="BC66" s="914">
        <v>-7.1599045346061319E-3</v>
      </c>
      <c r="BD66" s="914">
        <v>-6.5559440559440629E-3</v>
      </c>
      <c r="BE66" s="914">
        <v>-5.7193136823581181E-3</v>
      </c>
      <c r="BF66" s="914">
        <v>-5.3097345132743223E-3</v>
      </c>
    </row>
    <row r="67" spans="1:69" x14ac:dyDescent="0.3">
      <c r="A67" s="122">
        <v>14</v>
      </c>
      <c r="B67" s="48" t="s">
        <v>88</v>
      </c>
      <c r="C67" s="45">
        <v>7.9138872043662822E-2</v>
      </c>
      <c r="D67" s="909">
        <v>5.8969132207338383E-2</v>
      </c>
      <c r="E67" s="909">
        <v>4.6558998981521903E-2</v>
      </c>
      <c r="F67" s="909">
        <v>5.5259749604259605E-2</v>
      </c>
      <c r="G67" s="909">
        <v>0.13764654798089448</v>
      </c>
      <c r="H67" s="909">
        <v>0.16885054961054077</v>
      </c>
      <c r="I67" s="909">
        <v>0.12486529204684257</v>
      </c>
      <c r="J67" s="909">
        <v>0.10154676258992812</v>
      </c>
      <c r="K67" s="910">
        <v>9.2864826102545719E-2</v>
      </c>
      <c r="L67" s="910">
        <v>8.3138277619665191E-2</v>
      </c>
      <c r="M67" s="911">
        <v>7.9012223861166686E-2</v>
      </c>
      <c r="N67" s="910">
        <v>7.4898218460051541E-2</v>
      </c>
      <c r="O67" s="910">
        <v>7.0796786166158754E-2</v>
      </c>
      <c r="P67" s="909">
        <v>7.0977268241234945E-2</v>
      </c>
      <c r="Q67" s="909">
        <v>7.11306780050497E-2</v>
      </c>
      <c r="R67" s="911">
        <v>7.1261076304292237E-2</v>
      </c>
      <c r="S67" s="909">
        <v>7.1371914858648397E-2</v>
      </c>
      <c r="T67" s="909">
        <v>7.1466127629851134E-2</v>
      </c>
      <c r="U67" s="909">
        <v>7.1546208485373464E-2</v>
      </c>
      <c r="V67" s="909">
        <v>7.161427721256744E-2</v>
      </c>
      <c r="W67" s="911">
        <v>7.1672135630682324E-2</v>
      </c>
      <c r="X67" s="909">
        <v>7.1721315286079973E-2</v>
      </c>
      <c r="Y67" s="909">
        <v>7.176311799316798E-2</v>
      </c>
      <c r="Z67" s="909">
        <v>7.1798650294192787E-2</v>
      </c>
      <c r="AA67" s="909">
        <v>7.1828852750063871E-2</v>
      </c>
      <c r="AB67" s="911">
        <v>7.1854524837554293E-2</v>
      </c>
      <c r="AC67" s="909">
        <v>7.1669072353798866E-2</v>
      </c>
      <c r="AD67" s="909">
        <v>7.1502165118418975E-2</v>
      </c>
      <c r="AE67" s="909">
        <v>7.1351948606577079E-2</v>
      </c>
      <c r="AF67" s="909">
        <v>7.1216753745919376E-2</v>
      </c>
      <c r="AG67" s="911">
        <v>7.1095078371327433E-2</v>
      </c>
      <c r="AH67" s="909">
        <v>7.0985570534194686E-2</v>
      </c>
      <c r="AI67" s="909">
        <v>7.0887013480775224E-2</v>
      </c>
      <c r="AJ67" s="909">
        <v>7.0798312132697702E-2</v>
      </c>
      <c r="AK67" s="909">
        <v>7.0718480919427937E-2</v>
      </c>
      <c r="AL67" s="909">
        <v>7.0646632827485151E-2</v>
      </c>
      <c r="AM67" s="909">
        <v>7.0581969544736639E-2</v>
      </c>
      <c r="AN67" s="909">
        <v>7.0523772590262976E-2</v>
      </c>
      <c r="AO67" s="909">
        <v>7.0471395331236683E-2</v>
      </c>
      <c r="AP67" s="909">
        <v>7.0424255798113011E-2</v>
      </c>
      <c r="AQ67" s="909">
        <v>7.0381830218301716E-2</v>
      </c>
      <c r="AR67" s="909">
        <v>7.0343647196471543E-2</v>
      </c>
      <c r="AS67" s="909">
        <v>7.0309282476824386E-2</v>
      </c>
      <c r="AT67" s="909">
        <v>7.0278354229141943E-2</v>
      </c>
      <c r="AU67" s="909">
        <v>7.0250518806227749E-2</v>
      </c>
      <c r="AV67" s="909">
        <v>7.0225466925604968E-2</v>
      </c>
      <c r="AW67" s="909">
        <v>7.0202920233044475E-2</v>
      </c>
      <c r="AX67" s="909">
        <v>7.0182628209740028E-2</v>
      </c>
      <c r="AY67" s="909">
        <v>7.0164365388766026E-2</v>
      </c>
      <c r="AZ67" s="909">
        <v>7.0147928849889421E-2</v>
      </c>
      <c r="BA67" s="909">
        <v>7.0133135964900478E-2</v>
      </c>
      <c r="BB67" s="909">
        <v>7.0119822368410425E-2</v>
      </c>
      <c r="BC67" s="909">
        <v>7.0107840131569385E-2</v>
      </c>
      <c r="BD67" s="909">
        <v>7.0097056118412451E-2</v>
      </c>
      <c r="BE67" s="909">
        <v>7.0087350506571208E-2</v>
      </c>
      <c r="BF67" s="909">
        <v>7.0078615455914095E-2</v>
      </c>
    </row>
    <row r="68" spans="1:69" x14ac:dyDescent="0.3">
      <c r="A68" s="122">
        <v>15</v>
      </c>
      <c r="B68" s="48" t="s">
        <v>260</v>
      </c>
      <c r="C68" s="45"/>
      <c r="D68" s="49">
        <f t="shared" ref="D68:AI68" si="15">D55*1000/D65</f>
        <v>20719.123286399506</v>
      </c>
      <c r="E68" s="49">
        <f t="shared" si="15"/>
        <v>24522.208148939419</v>
      </c>
      <c r="F68" s="49">
        <f t="shared" si="15"/>
        <v>24729.722178217824</v>
      </c>
      <c r="G68" s="49">
        <f t="shared" si="15"/>
        <v>23447.003021148037</v>
      </c>
      <c r="H68" s="49">
        <f t="shared" si="15"/>
        <v>25173.864488723451</v>
      </c>
      <c r="I68" s="49">
        <f t="shared" si="15"/>
        <v>26625.732337246533</v>
      </c>
      <c r="J68" s="49">
        <f t="shared" si="15"/>
        <v>27889.867798374511</v>
      </c>
      <c r="K68" s="49">
        <f t="shared" si="15"/>
        <v>29190.698827698037</v>
      </c>
      <c r="L68" s="49">
        <f t="shared" si="15"/>
        <v>31043.578865324343</v>
      </c>
      <c r="M68" s="104">
        <f t="shared" si="15"/>
        <v>33061.626719622946</v>
      </c>
      <c r="N68" s="49">
        <f t="shared" si="15"/>
        <v>35260.757432426886</v>
      </c>
      <c r="O68" s="49">
        <f t="shared" si="15"/>
        <v>37676.496994528032</v>
      </c>
      <c r="P68" s="49">
        <f t="shared" si="15"/>
        <v>40203.233588969066</v>
      </c>
      <c r="Q68" s="49">
        <f t="shared" si="15"/>
        <v>42874.770623542929</v>
      </c>
      <c r="R68" s="104">
        <f t="shared" si="15"/>
        <v>45613.017155401714</v>
      </c>
      <c r="S68" s="49">
        <f t="shared" si="15"/>
        <v>48456.470984052547</v>
      </c>
      <c r="T68" s="49">
        <f t="shared" si="15"/>
        <v>51414.301818181375</v>
      </c>
      <c r="U68" s="49">
        <f t="shared" si="15"/>
        <v>54495.997580339892</v>
      </c>
      <c r="V68" s="49">
        <f t="shared" si="15"/>
        <v>57711.356594966193</v>
      </c>
      <c r="W68" s="104">
        <f t="shared" si="15"/>
        <v>61070.491199695098</v>
      </c>
      <c r="X68" s="49">
        <f t="shared" si="15"/>
        <v>64583.8403047908</v>
      </c>
      <c r="Y68" s="49">
        <f t="shared" si="15"/>
        <v>68262.188937871033</v>
      </c>
      <c r="Z68" s="49">
        <f t="shared" si="15"/>
        <v>72116.693246165611</v>
      </c>
      <c r="AA68" s="49">
        <f t="shared" si="15"/>
        <v>76158.909789170822</v>
      </c>
      <c r="AB68" s="104">
        <f t="shared" si="15"/>
        <v>80400.828247995771</v>
      </c>
      <c r="AC68" s="49">
        <f t="shared" si="15"/>
        <v>84566.049861309672</v>
      </c>
      <c r="AD68" s="49">
        <f t="shared" si="15"/>
        <v>89008.154877911395</v>
      </c>
      <c r="AE68" s="49">
        <f t="shared" si="15"/>
        <v>93502.929204259664</v>
      </c>
      <c r="AF68" s="49">
        <f t="shared" si="15"/>
        <v>98035.029781266319</v>
      </c>
      <c r="AG68" s="104">
        <f t="shared" si="15"/>
        <v>102637.41559254432</v>
      </c>
      <c r="AH68" s="49">
        <f t="shared" si="15"/>
        <v>107423.83197240303</v>
      </c>
      <c r="AI68" s="49">
        <f t="shared" si="15"/>
        <v>112386.46593189159</v>
      </c>
      <c r="AJ68" s="49">
        <f t="shared" ref="AJ68:BF68" si="16">AJ55*1000/AJ65</f>
        <v>117497.90785579896</v>
      </c>
      <c r="AK68" s="49">
        <f t="shared" si="16"/>
        <v>122853.99738612914</v>
      </c>
      <c r="AL68" s="49">
        <f t="shared" si="16"/>
        <v>128417.97468520189</v>
      </c>
      <c r="AM68" s="49">
        <f t="shared" si="16"/>
        <v>134199.5780571918</v>
      </c>
      <c r="AN68" s="49">
        <f t="shared" si="16"/>
        <v>140203.77368818532</v>
      </c>
      <c r="AO68" s="49">
        <f t="shared" si="16"/>
        <v>146430.27398045041</v>
      </c>
      <c r="AP68" s="49">
        <f t="shared" si="16"/>
        <v>152886.83751554645</v>
      </c>
      <c r="AQ68" s="49">
        <f t="shared" si="16"/>
        <v>159565.81807571484</v>
      </c>
      <c r="AR68" s="49">
        <f t="shared" si="16"/>
        <v>166302.09145199144</v>
      </c>
      <c r="AS68" s="49">
        <f t="shared" si="16"/>
        <v>173337.70489440783</v>
      </c>
      <c r="AT68" s="49">
        <f t="shared" si="16"/>
        <v>180643.95771752304</v>
      </c>
      <c r="AU68" s="49">
        <f t="shared" si="16"/>
        <v>188159.98467771822</v>
      </c>
      <c r="AV68" s="49">
        <f t="shared" si="16"/>
        <v>195973.03483597023</v>
      </c>
      <c r="AW68" s="49">
        <f t="shared" si="16"/>
        <v>204112.20562036309</v>
      </c>
      <c r="AX68" s="49">
        <f t="shared" si="16"/>
        <v>212492.47057700224</v>
      </c>
      <c r="AY68" s="49">
        <f t="shared" si="16"/>
        <v>221093.58711331972</v>
      </c>
      <c r="AZ68" s="49">
        <f t="shared" si="16"/>
        <v>229641.53439077537</v>
      </c>
      <c r="BA68" s="49">
        <f t="shared" si="16"/>
        <v>238352.02938611235</v>
      </c>
      <c r="BB68" s="49">
        <f t="shared" si="16"/>
        <v>247432.95013117444</v>
      </c>
      <c r="BC68" s="49">
        <f t="shared" si="16"/>
        <v>256664.94324348983</v>
      </c>
      <c r="BD68" s="49">
        <f t="shared" si="16"/>
        <v>266238.4125504134</v>
      </c>
      <c r="BE68" s="49">
        <f t="shared" si="16"/>
        <v>276113.49682393897</v>
      </c>
      <c r="BF68" s="49">
        <f t="shared" si="16"/>
        <v>286430.53655748966</v>
      </c>
    </row>
    <row r="69" spans="1:69" x14ac:dyDescent="0.3">
      <c r="A69" s="122">
        <v>16</v>
      </c>
      <c r="B69" s="48" t="s">
        <v>89</v>
      </c>
      <c r="C69" s="45">
        <v>6.7208713454132152E-2</v>
      </c>
      <c r="D69" s="909">
        <v>3.4707199965028357E-2</v>
      </c>
      <c r="E69" s="909">
        <v>6.0158880039332008E-2</v>
      </c>
      <c r="F69" s="909">
        <v>-4.3265547516826985E-2</v>
      </c>
      <c r="G69" s="909">
        <v>-5.3466926122439418E-2</v>
      </c>
      <c r="H69" s="909">
        <v>7.0430856903348493E-2</v>
      </c>
      <c r="I69" s="909">
        <v>2.6908797135229312E-2</v>
      </c>
      <c r="J69" s="909">
        <v>1.3796554707095066E-2</v>
      </c>
      <c r="K69" s="910">
        <v>2.2043485062728241E-3</v>
      </c>
      <c r="L69" s="910">
        <v>3.2344061438488891E-2</v>
      </c>
      <c r="M69" s="911">
        <v>3.5397544392497649E-2</v>
      </c>
      <c r="N69" s="910">
        <v>3.6474021432590709E-2</v>
      </c>
      <c r="O69" s="910">
        <v>3.8451410774160255E-2</v>
      </c>
      <c r="P69" s="909">
        <v>3.8000000000000034E-2</v>
      </c>
      <c r="Q69" s="909">
        <v>3.6999999999999922E-2</v>
      </c>
      <c r="R69" s="911">
        <v>3.499999999999992E-2</v>
      </c>
      <c r="S69" s="909">
        <v>3.3949999999999925E-2</v>
      </c>
      <c r="T69" s="909">
        <v>3.3057499999999962E-2</v>
      </c>
      <c r="U69" s="909">
        <v>3.2298874999999949E-2</v>
      </c>
      <c r="V69" s="909">
        <v>3.1654043749999916E-2</v>
      </c>
      <c r="W69" s="911">
        <v>3.1105937187499988E-2</v>
      </c>
      <c r="X69" s="909">
        <v>3.0640046609375027E-2</v>
      </c>
      <c r="Y69" s="909">
        <v>3.0244039617968843E-2</v>
      </c>
      <c r="Z69" s="909">
        <v>2.9907433675273376E-2</v>
      </c>
      <c r="AA69" s="909">
        <v>2.9621318623982429E-2</v>
      </c>
      <c r="AB69" s="911">
        <v>2.9378120830385157E-2</v>
      </c>
      <c r="AC69" s="909">
        <v>2.6552513459230598E-2</v>
      </c>
      <c r="AD69" s="909">
        <v>2.7658886129833471E-2</v>
      </c>
      <c r="AE69" s="909">
        <v>2.6077803530040855E-2</v>
      </c>
      <c r="AF69" s="909">
        <v>2.4496917562723874E-2</v>
      </c>
      <c r="AG69" s="911">
        <v>2.3407956702643506E-2</v>
      </c>
      <c r="AH69" s="909">
        <v>2.3503056390297594E-2</v>
      </c>
      <c r="AI69" s="909">
        <v>2.3075268024241646E-2</v>
      </c>
      <c r="AJ69" s="909">
        <v>2.2775326071045265E-2</v>
      </c>
      <c r="AK69" s="909">
        <v>2.3076861388074965E-2</v>
      </c>
      <c r="AL69" s="909">
        <v>2.2788010612801557E-2</v>
      </c>
      <c r="AM69" s="909">
        <v>2.2526184989480669E-2</v>
      </c>
      <c r="AN69" s="909">
        <v>2.2251265811240817E-2</v>
      </c>
      <c r="AO69" s="909">
        <v>2.1927946806547638E-2</v>
      </c>
      <c r="AP69" s="909">
        <v>2.1617506801810293E-2</v>
      </c>
      <c r="AQ69" s="909">
        <v>2.121896161204484E-2</v>
      </c>
      <c r="AR69" s="909">
        <v>2.0779890529217804E-2</v>
      </c>
      <c r="AS69" s="909">
        <v>2.0867995550923668E-2</v>
      </c>
      <c r="AT69" s="909">
        <v>2.0715372712010183E-2</v>
      </c>
      <c r="AU69" s="909">
        <v>2.0183011779295601E-2</v>
      </c>
      <c r="AV69" s="909">
        <v>2.0101314125754222E-2</v>
      </c>
      <c r="AW69" s="909">
        <v>2.0109789842684522E-2</v>
      </c>
      <c r="AX69" s="909">
        <v>1.9644610790653161E-2</v>
      </c>
      <c r="AY69" s="909">
        <v>1.9076666736675296E-2</v>
      </c>
      <c r="AZ69" s="909">
        <v>1.8296198212431447E-2</v>
      </c>
      <c r="BA69" s="909">
        <v>1.7579249339181757E-2</v>
      </c>
      <c r="BB69" s="909">
        <v>1.7743898731613861E-2</v>
      </c>
      <c r="BC69" s="909">
        <v>1.6971657025219855E-2</v>
      </c>
      <c r="BD69" s="909">
        <v>1.696027599840022E-2</v>
      </c>
      <c r="BE69" s="909">
        <v>1.6756012391255348E-2</v>
      </c>
      <c r="BF69" s="909">
        <v>1.702471902707825E-2</v>
      </c>
    </row>
    <row r="70" spans="1:69" x14ac:dyDescent="0.3">
      <c r="A70" s="122">
        <v>17</v>
      </c>
      <c r="B70" s="48" t="s">
        <v>90</v>
      </c>
      <c r="C70" s="46">
        <v>515.95873863970451</v>
      </c>
      <c r="D70" s="908">
        <v>601.21687778814567</v>
      </c>
      <c r="E70" s="908">
        <v>724.50244781613901</v>
      </c>
      <c r="F70" s="908">
        <v>825.22720591054929</v>
      </c>
      <c r="G70" s="908">
        <v>783.81245999999999</v>
      </c>
      <c r="H70" s="908">
        <v>792.31271000000004</v>
      </c>
      <c r="I70" s="908">
        <v>839</v>
      </c>
      <c r="J70" s="908">
        <v>887</v>
      </c>
      <c r="K70" s="912">
        <v>940.16204545310177</v>
      </c>
      <c r="L70" s="912">
        <v>998.373326345191</v>
      </c>
      <c r="M70" s="913">
        <v>1061.2708459049379</v>
      </c>
      <c r="N70" s="912">
        <v>1130.2534508887588</v>
      </c>
      <c r="O70" s="912">
        <v>1203.719925196528</v>
      </c>
      <c r="P70" s="908">
        <v>1284.446198259908</v>
      </c>
      <c r="Q70" s="908">
        <v>1369.7986756912373</v>
      </c>
      <c r="R70" s="913">
        <v>1457.2824433827352</v>
      </c>
      <c r="S70" s="908">
        <v>1548.1274609123757</v>
      </c>
      <c r="T70" s="908">
        <v>1642.6266897265255</v>
      </c>
      <c r="U70" s="908">
        <v>1741.0832578316401</v>
      </c>
      <c r="V70" s="908">
        <v>1843.8102102106809</v>
      </c>
      <c r="W70" s="913">
        <v>1951.1306242002461</v>
      </c>
      <c r="X70" s="908">
        <v>2063.378010749725</v>
      </c>
      <c r="Y70" s="908">
        <v>2180.8969388523337</v>
      </c>
      <c r="Z70" s="908">
        <v>2304.0438343379701</v>
      </c>
      <c r="AA70" s="908">
        <v>2433.1879157391959</v>
      </c>
      <c r="AB70" s="913">
        <v>2568.7122393165209</v>
      </c>
      <c r="AC70" s="908">
        <v>2709.6687099363021</v>
      </c>
      <c r="AD70" s="908">
        <v>2853.1166603885595</v>
      </c>
      <c r="AE70" s="908">
        <v>2998.365652268235</v>
      </c>
      <c r="AF70" s="908">
        <v>3144.9255980444527</v>
      </c>
      <c r="AG70" s="913">
        <v>3291.6801451318379</v>
      </c>
      <c r="AH70" s="908">
        <v>3439.8541170666554</v>
      </c>
      <c r="AI70" s="908">
        <v>3590.5583654991738</v>
      </c>
      <c r="AJ70" s="908">
        <v>3744.2305142658452</v>
      </c>
      <c r="AK70" s="908">
        <v>3902.8578674056125</v>
      </c>
      <c r="AL70" s="908">
        <v>4064.3065253988407</v>
      </c>
      <c r="AM70" s="908">
        <v>4225.8350244960502</v>
      </c>
      <c r="AN70" s="908">
        <v>4392.1465849564092</v>
      </c>
      <c r="AO70" s="908">
        <v>4563.3638597291456</v>
      </c>
      <c r="AP70" s="908">
        <v>4743.4198908716853</v>
      </c>
      <c r="AQ70" s="908">
        <v>4927.9951132254491</v>
      </c>
      <c r="AR70" s="908">
        <v>5122.2140477008388</v>
      </c>
      <c r="AS70" s="908">
        <v>5327.7713585097972</v>
      </c>
      <c r="AT70" s="908">
        <v>5538.9161577483756</v>
      </c>
      <c r="AU70" s="908">
        <v>5757.9862467933062</v>
      </c>
      <c r="AV70" s="908">
        <v>5987.6819900894297</v>
      </c>
      <c r="AW70" s="908">
        <v>6221.2620781365113</v>
      </c>
      <c r="AX70" s="908">
        <v>6462.1180445084256</v>
      </c>
      <c r="AY70" s="908">
        <v>6715.5689223609425</v>
      </c>
      <c r="AZ70" s="908">
        <v>6979.2512891276192</v>
      </c>
      <c r="BA70" s="908">
        <v>7246.1817520283521</v>
      </c>
      <c r="BB70" s="908">
        <v>7528.1028280986502</v>
      </c>
      <c r="BC70" s="908">
        <v>7819.0384864792113</v>
      </c>
      <c r="BD70" s="908">
        <v>8124.316480274385</v>
      </c>
      <c r="BE70" s="908">
        <v>8434.4103633438026</v>
      </c>
      <c r="BF70" s="908">
        <v>8761.3920424578755</v>
      </c>
    </row>
    <row r="71" spans="1:69" x14ac:dyDescent="0.3">
      <c r="A71" s="122">
        <v>18</v>
      </c>
      <c r="B71" s="56" t="s">
        <v>91</v>
      </c>
      <c r="C71" s="45">
        <v>0.10786331823795803</v>
      </c>
      <c r="D71" s="909">
        <v>0.16524216524216517</v>
      </c>
      <c r="E71" s="909">
        <v>0.20506006165621349</v>
      </c>
      <c r="F71" s="909">
        <v>0.13902611150317568</v>
      </c>
      <c r="G71" s="909">
        <v>-5.0185870768587382E-2</v>
      </c>
      <c r="H71" s="909">
        <v>1.084474977598604E-2</v>
      </c>
      <c r="I71" s="909">
        <v>5.8925332650539008E-2</v>
      </c>
      <c r="J71" s="909">
        <v>5.7210965435041672E-2</v>
      </c>
      <c r="K71" s="910">
        <v>5.9934662292110197E-2</v>
      </c>
      <c r="L71" s="910">
        <v>6.1916220904274955E-2</v>
      </c>
      <c r="M71" s="911">
        <v>6.2999999999999945E-2</v>
      </c>
      <c r="N71" s="910">
        <v>6.4999999999999947E-2</v>
      </c>
      <c r="O71" s="910">
        <v>6.4999999999999947E-2</v>
      </c>
      <c r="P71" s="909">
        <v>6.7064000000000012E-2</v>
      </c>
      <c r="Q71" s="909">
        <v>6.6450799999999921E-2</v>
      </c>
      <c r="R71" s="911">
        <v>6.3866149999999955E-2</v>
      </c>
      <c r="S71" s="909">
        <v>6.23386481749999E-2</v>
      </c>
      <c r="T71" s="909">
        <v>6.1040987386437484E-2</v>
      </c>
      <c r="U71" s="909">
        <v>5.9938492854701098E-2</v>
      </c>
      <c r="V71" s="909">
        <v>5.9001746135321387E-2</v>
      </c>
      <c r="W71" s="911">
        <v>5.8205781373399823E-2</v>
      </c>
      <c r="X71" s="909">
        <v>5.7529406364316804E-2</v>
      </c>
      <c r="Y71" s="909">
        <v>5.6954628521949102E-2</v>
      </c>
      <c r="Z71" s="909">
        <v>5.6466169167278757E-2</v>
      </c>
      <c r="AA71" s="909">
        <v>5.605105227450391E-2</v>
      </c>
      <c r="AB71" s="911">
        <v>5.5698256061802454E-2</v>
      </c>
      <c r="AC71" s="909">
        <v>5.4874371859296556E-2</v>
      </c>
      <c r="AD71" s="909">
        <v>5.2939294728627351E-2</v>
      </c>
      <c r="AE71" s="909">
        <v>5.0908886375467866E-2</v>
      </c>
      <c r="AF71" s="909">
        <v>4.8879944200717063E-2</v>
      </c>
      <c r="AG71" s="911">
        <v>4.6663917002881972E-2</v>
      </c>
      <c r="AH71" s="909">
        <v>4.5014693227091396E-2</v>
      </c>
      <c r="AI71" s="909">
        <v>4.3811232483612406E-2</v>
      </c>
      <c r="AJ71" s="909">
        <v>4.2798955795641858E-2</v>
      </c>
      <c r="AK71" s="909">
        <v>4.2365808551418915E-2</v>
      </c>
      <c r="AL71" s="909">
        <v>4.1366778775510316E-2</v>
      </c>
      <c r="AM71" s="909">
        <v>3.9743188189123702E-2</v>
      </c>
      <c r="AN71" s="909">
        <v>3.9355904690148824E-2</v>
      </c>
      <c r="AO71" s="909">
        <v>3.898259574468077E-2</v>
      </c>
      <c r="AP71" s="909">
        <v>3.9456864864864549E-2</v>
      </c>
      <c r="AQ71" s="909">
        <v>3.8911845588235572E-2</v>
      </c>
      <c r="AR71" s="909">
        <v>3.9411348837208982E-2</v>
      </c>
      <c r="AS71" s="909">
        <v>4.0130558562117224E-2</v>
      </c>
      <c r="AT71" s="909">
        <v>3.9630979828240376E-2</v>
      </c>
      <c r="AU71" s="909">
        <v>3.9551075121163182E-2</v>
      </c>
      <c r="AV71" s="909">
        <v>3.9891679738562003E-2</v>
      </c>
      <c r="AW71" s="909">
        <v>3.9010102479339004E-2</v>
      </c>
      <c r="AX71" s="909">
        <v>3.8714968658587479E-2</v>
      </c>
      <c r="AY71" s="909">
        <v>3.9221022597676347E-2</v>
      </c>
      <c r="AZ71" s="909">
        <v>3.9264337811899974E-2</v>
      </c>
      <c r="BA71" s="909">
        <v>3.8246289156626423E-2</v>
      </c>
      <c r="BB71" s="909">
        <v>3.8906155782165275E-2</v>
      </c>
      <c r="BC71" s="909">
        <v>3.864661057692298E-2</v>
      </c>
      <c r="BD71" s="909">
        <v>3.9042907171139341E-2</v>
      </c>
      <c r="BE71" s="909">
        <v>3.8168611946902464E-2</v>
      </c>
      <c r="BF71" s="909">
        <v>3.8767580071174201E-2</v>
      </c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</row>
    <row r="72" spans="1:69" x14ac:dyDescent="0.3">
      <c r="A72" s="122">
        <v>19</v>
      </c>
      <c r="B72" s="51" t="s">
        <v>92</v>
      </c>
      <c r="C72" s="52">
        <v>1158.9114235392992</v>
      </c>
      <c r="D72" s="917">
        <v>1389.8472772806872</v>
      </c>
      <c r="E72" s="917">
        <v>1742.723876455588</v>
      </c>
      <c r="F72" s="917">
        <v>2000.3797278028458</v>
      </c>
      <c r="G72" s="917">
        <v>1794.9123925140291</v>
      </c>
      <c r="H72" s="917">
        <v>1697.6201991122675</v>
      </c>
      <c r="I72" s="917">
        <v>1801.43317761</v>
      </c>
      <c r="J72" s="905">
        <v>1932.7469104100003</v>
      </c>
      <c r="K72" s="906">
        <v>2065</v>
      </c>
      <c r="L72" s="906">
        <v>2225</v>
      </c>
      <c r="M72" s="907">
        <v>2380</v>
      </c>
      <c r="N72" s="906">
        <v>2550</v>
      </c>
      <c r="O72" s="906">
        <v>2740</v>
      </c>
      <c r="P72" s="905">
        <v>2917.9078492799999</v>
      </c>
      <c r="Q72" s="905">
        <v>3102.4697447103622</v>
      </c>
      <c r="R72" s="907">
        <v>3290.710705168106</v>
      </c>
      <c r="S72" s="905">
        <v>3485.361614577097</v>
      </c>
      <c r="T72" s="905">
        <v>3687.0171943428822</v>
      </c>
      <c r="U72" s="905">
        <v>3896.2874137568597</v>
      </c>
      <c r="V72" s="905">
        <v>4113.7966490897488</v>
      </c>
      <c r="W72" s="907">
        <v>4340.1836672689069</v>
      </c>
      <c r="X72" s="905">
        <v>4576.1022415875141</v>
      </c>
      <c r="Y72" s="905">
        <v>4804.8989634607979</v>
      </c>
      <c r="Z72" s="905">
        <v>5059.5602545743022</v>
      </c>
      <c r="AA72" s="905">
        <v>5327.0914584630636</v>
      </c>
      <c r="AB72" s="907">
        <v>5595.2929176747584</v>
      </c>
      <c r="AC72" s="905">
        <v>5881.9053463692626</v>
      </c>
      <c r="AD72" s="905">
        <v>6161.5960627706809</v>
      </c>
      <c r="AE72" s="905">
        <v>6441.9693865895169</v>
      </c>
      <c r="AF72" s="905">
        <v>6721.9177925437643</v>
      </c>
      <c r="AG72" s="907">
        <v>7000.2847766617406</v>
      </c>
      <c r="AH72" s="905">
        <v>7275.8719877493586</v>
      </c>
      <c r="AI72" s="905">
        <v>7553.3766557109129</v>
      </c>
      <c r="AJ72" s="905">
        <v>7832.1929375278414</v>
      </c>
      <c r="AK72" s="905">
        <v>8111.6863089421086</v>
      </c>
      <c r="AL72" s="905">
        <v>8391.1955511011147</v>
      </c>
      <c r="AM72" s="905">
        <v>8661.559871757594</v>
      </c>
      <c r="AN72" s="905">
        <v>8931.7832166366843</v>
      </c>
      <c r="AO72" s="905">
        <v>9201.3087069819121</v>
      </c>
      <c r="AP72" s="905">
        <v>9478.9673985238005</v>
      </c>
      <c r="AQ72" s="905">
        <v>9755.3172140603619</v>
      </c>
      <c r="AR72" s="905">
        <v>10039.723732119077</v>
      </c>
      <c r="AS72" s="905">
        <v>10332.421837805274</v>
      </c>
      <c r="AT72" s="905">
        <v>10623.093528946412</v>
      </c>
      <c r="AU72" s="905">
        <v>10921.942396102733</v>
      </c>
      <c r="AV72" s="905">
        <v>11229.198479589895</v>
      </c>
      <c r="AW72" s="905">
        <v>11533.801717547251</v>
      </c>
      <c r="AX72" s="905">
        <v>11846.667622937437</v>
      </c>
      <c r="AY72" s="905">
        <v>12180.115776520252</v>
      </c>
      <c r="AZ72" s="905">
        <v>12535.385393489791</v>
      </c>
      <c r="BA72" s="905">
        <v>12901.017514647105</v>
      </c>
      <c r="BB72" s="905">
        <v>13290.486332396784</v>
      </c>
      <c r="BC72" s="905">
        <v>13705.282410830887</v>
      </c>
      <c r="BD72" s="905">
        <v>14147.017368214376</v>
      </c>
      <c r="BE72" s="905">
        <v>14602.989885009292</v>
      </c>
      <c r="BF72" s="905">
        <v>15088.568504665618</v>
      </c>
    </row>
    <row r="73" spans="1:69" x14ac:dyDescent="0.3">
      <c r="A73" s="122">
        <v>20</v>
      </c>
      <c r="B73" s="207" t="s">
        <v>332</v>
      </c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</row>
    <row r="74" spans="1:69" ht="21" customHeight="1" x14ac:dyDescent="0.3">
      <c r="A74" s="122">
        <v>21</v>
      </c>
      <c r="B74" s="12" t="s">
        <v>267</v>
      </c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</row>
    <row r="75" spans="1:69" x14ac:dyDescent="0.3">
      <c r="A75" s="122">
        <v>22</v>
      </c>
      <c r="B75" s="48" t="s">
        <v>269</v>
      </c>
      <c r="C75" s="49"/>
      <c r="D75" s="49"/>
      <c r="E75" s="49"/>
      <c r="F75" s="49"/>
      <c r="G75" s="49"/>
      <c r="H75" s="49"/>
      <c r="I75" s="134">
        <v>1</v>
      </c>
      <c r="J75" s="135">
        <f t="shared" ref="J75:AO75" si="17">I75*(1+J63)</f>
        <v>1.03322304201098</v>
      </c>
      <c r="K75" s="135">
        <f t="shared" si="17"/>
        <v>1.0790357570687115</v>
      </c>
      <c r="L75" s="135">
        <f t="shared" si="17"/>
        <v>1.1115747263829479</v>
      </c>
      <c r="M75" s="135">
        <f t="shared" si="17"/>
        <v>1.1433625631636766</v>
      </c>
      <c r="N75" s="135">
        <f t="shared" si="17"/>
        <v>1.1765028017737829</v>
      </c>
      <c r="O75" s="135">
        <f t="shared" si="17"/>
        <v>1.2105581755432022</v>
      </c>
      <c r="P75" s="135">
        <f t="shared" si="17"/>
        <v>1.2444538044584119</v>
      </c>
      <c r="Q75" s="135">
        <f t="shared" si="17"/>
        <v>1.2797962925050308</v>
      </c>
      <c r="R75" s="135">
        <f t="shared" si="17"/>
        <v>1.315489811102996</v>
      </c>
      <c r="S75" s="135">
        <f t="shared" si="17"/>
        <v>1.3516085571015455</v>
      </c>
      <c r="T75" s="135">
        <f t="shared" si="17"/>
        <v>1.3882209634865261</v>
      </c>
      <c r="U75" s="135">
        <f t="shared" si="17"/>
        <v>1.4253903316393808</v>
      </c>
      <c r="V75" s="135">
        <f t="shared" si="17"/>
        <v>1.4631754310229825</v>
      </c>
      <c r="W75" s="135">
        <f t="shared" si="17"/>
        <v>1.501631058875845</v>
      </c>
      <c r="X75" s="135">
        <f t="shared" si="17"/>
        <v>1.5408085562903333</v>
      </c>
      <c r="Y75" s="135">
        <f t="shared" si="17"/>
        <v>1.5807562796880514</v>
      </c>
      <c r="Z75" s="135">
        <f t="shared" si="17"/>
        <v>1.6215200284841385</v>
      </c>
      <c r="AA75" s="135">
        <f t="shared" si="17"/>
        <v>1.6631434308813386</v>
      </c>
      <c r="AB75" s="135">
        <f t="shared" si="17"/>
        <v>1.7056682904292841</v>
      </c>
      <c r="AC75" s="135">
        <f t="shared" si="17"/>
        <v>1.7476277303738446</v>
      </c>
      <c r="AD75" s="135">
        <f t="shared" si="17"/>
        <v>1.7899203214488917</v>
      </c>
      <c r="AE75" s="135">
        <f t="shared" si="17"/>
        <v>1.8325204250993754</v>
      </c>
      <c r="AF75" s="135">
        <f t="shared" si="17"/>
        <v>1.875401403046701</v>
      </c>
      <c r="AG75" s="135">
        <f t="shared" si="17"/>
        <v>1.9185356353167748</v>
      </c>
      <c r="AH75" s="135">
        <f t="shared" si="17"/>
        <v>1.961894540674934</v>
      </c>
      <c r="AI75" s="135">
        <f t="shared" si="17"/>
        <v>2.0062333572941875</v>
      </c>
      <c r="AJ75" s="135">
        <f t="shared" si="17"/>
        <v>2.0507717378261185</v>
      </c>
      <c r="AK75" s="135">
        <f t="shared" si="17"/>
        <v>2.0958887160582931</v>
      </c>
      <c r="AL75" s="135">
        <f t="shared" si="17"/>
        <v>2.1419982678115757</v>
      </c>
      <c r="AM75" s="135">
        <f t="shared" si="17"/>
        <v>2.1891222297034303</v>
      </c>
      <c r="AN75" s="135">
        <f t="shared" si="17"/>
        <v>2.2372829187569057</v>
      </c>
      <c r="AO75" s="135">
        <f t="shared" si="17"/>
        <v>2.2865031429695577</v>
      </c>
      <c r="AP75" s="135">
        <f t="shared" ref="AP75:BF75" si="18">AO75*(1+AP63)</f>
        <v>2.336806212114888</v>
      </c>
      <c r="AQ75" s="135">
        <f t="shared" si="18"/>
        <v>2.3882159487814154</v>
      </c>
      <c r="AR75" s="135">
        <f t="shared" si="18"/>
        <v>2.4383684837058248</v>
      </c>
      <c r="AS75" s="135">
        <f t="shared" si="18"/>
        <v>2.4895742218636467</v>
      </c>
      <c r="AT75" s="135">
        <f t="shared" si="18"/>
        <v>2.5418552805227832</v>
      </c>
      <c r="AU75" s="135">
        <f t="shared" si="18"/>
        <v>2.5952342414137615</v>
      </c>
      <c r="AV75" s="135">
        <f t="shared" si="18"/>
        <v>2.6497341604834501</v>
      </c>
      <c r="AW75" s="135">
        <f t="shared" si="18"/>
        <v>2.7053785778536024</v>
      </c>
      <c r="AX75" s="135">
        <f t="shared" si="18"/>
        <v>2.7621915279885276</v>
      </c>
      <c r="AY75" s="135">
        <f t="shared" si="18"/>
        <v>2.8201975500762866</v>
      </c>
      <c r="AZ75" s="135">
        <f t="shared" si="18"/>
        <v>2.8766015010778125</v>
      </c>
      <c r="BA75" s="135">
        <f t="shared" si="18"/>
        <v>2.934133531099369</v>
      </c>
      <c r="BB75" s="135">
        <f t="shared" si="18"/>
        <v>2.9928162017213564</v>
      </c>
      <c r="BC75" s="135">
        <f t="shared" si="18"/>
        <v>3.0526725257557836</v>
      </c>
      <c r="BD75" s="135">
        <f t="shared" si="18"/>
        <v>3.1137259762708993</v>
      </c>
      <c r="BE75" s="135">
        <f t="shared" si="18"/>
        <v>3.1760004957963175</v>
      </c>
      <c r="BF75" s="135">
        <f t="shared" si="18"/>
        <v>3.2395205057122438</v>
      </c>
    </row>
    <row r="76" spans="1:69" x14ac:dyDescent="0.3">
      <c r="A76" s="122">
        <v>23</v>
      </c>
    </row>
    <row r="77" spans="1:69" x14ac:dyDescent="0.3">
      <c r="A77" s="122">
        <v>24</v>
      </c>
      <c r="B77" s="7" t="s">
        <v>99</v>
      </c>
    </row>
    <row r="78" spans="1:69" x14ac:dyDescent="0.3">
      <c r="A78" s="122">
        <v>25</v>
      </c>
      <c r="B78" s="48" t="s">
        <v>474</v>
      </c>
      <c r="C78" s="49"/>
      <c r="D78" s="50">
        <f>ABITABELID!C93</f>
        <v>15600</v>
      </c>
      <c r="E78" s="50">
        <f>ABITABELID!D93</f>
        <v>17500</v>
      </c>
      <c r="F78" s="50">
        <f>ABITABELID!E93</f>
        <v>17200</v>
      </c>
      <c r="G78" s="50">
        <f>ABITABELID!F93</f>
        <v>15000</v>
      </c>
      <c r="H78" s="50">
        <f>ABITABELID!G93</f>
        <v>15500</v>
      </c>
      <c r="I78" s="50">
        <f>ABITABELID!H93</f>
        <v>17200</v>
      </c>
      <c r="J78" s="50">
        <f>ABITABELID!I93</f>
        <v>18000</v>
      </c>
      <c r="K78" s="65"/>
    </row>
    <row r="79" spans="1:69" x14ac:dyDescent="0.3">
      <c r="A79" s="122">
        <v>26</v>
      </c>
      <c r="B79" s="48" t="s">
        <v>475</v>
      </c>
      <c r="C79" s="49"/>
      <c r="D79" s="50">
        <f>ABITABELID!C88</f>
        <v>10000</v>
      </c>
      <c r="E79" s="50">
        <f>ABITABELID!D88</f>
        <v>12000</v>
      </c>
      <c r="F79" s="50">
        <f>ABITABELID!E88</f>
        <v>12100</v>
      </c>
      <c r="G79" s="50">
        <f>ABITABELID!F88</f>
        <v>10400</v>
      </c>
      <c r="H79" s="50">
        <f>ABITABELID!G88</f>
        <v>10700</v>
      </c>
      <c r="I79" s="50">
        <f>ABITABELID!H88</f>
        <v>12100</v>
      </c>
      <c r="J79" s="50">
        <f>ABITABELID!I88</f>
        <v>13000</v>
      </c>
      <c r="K79" s="370"/>
    </row>
    <row r="80" spans="1:69" x14ac:dyDescent="0.3">
      <c r="A80" s="122">
        <v>27</v>
      </c>
      <c r="B80" s="58" t="s">
        <v>94</v>
      </c>
      <c r="C80" s="59"/>
      <c r="D80" s="60">
        <f>D79/D78</f>
        <v>0.64102564102564108</v>
      </c>
      <c r="E80" s="60">
        <f t="shared" ref="E80:J80" si="19">E79/E78</f>
        <v>0.68571428571428572</v>
      </c>
      <c r="F80" s="60">
        <f t="shared" si="19"/>
        <v>0.70348837209302328</v>
      </c>
      <c r="G80" s="60">
        <f t="shared" si="19"/>
        <v>0.69333333333333336</v>
      </c>
      <c r="H80" s="60">
        <f t="shared" si="19"/>
        <v>0.69032258064516128</v>
      </c>
      <c r="I80" s="60">
        <f t="shared" si="19"/>
        <v>0.70348837209302328</v>
      </c>
      <c r="J80" s="60">
        <f t="shared" si="19"/>
        <v>0.72222222222222221</v>
      </c>
      <c r="K80" s="60">
        <f t="shared" ref="K80:BF80" si="20">J80*(1+K64)/(1+K81)</f>
        <v>0.73071895424836597</v>
      </c>
      <c r="L80" s="60">
        <f t="shared" si="20"/>
        <v>0.73573369216967821</v>
      </c>
      <c r="M80" s="60">
        <f t="shared" si="20"/>
        <v>0.74150415250042079</v>
      </c>
      <c r="N80" s="60">
        <f t="shared" si="20"/>
        <v>0.74804683619895385</v>
      </c>
      <c r="O80" s="60">
        <f t="shared" si="20"/>
        <v>0.75391387020835743</v>
      </c>
      <c r="P80" s="60">
        <f t="shared" si="20"/>
        <v>0.75982692017077591</v>
      </c>
      <c r="Q80" s="60">
        <f t="shared" si="20"/>
        <v>0.76608431833688817</v>
      </c>
      <c r="R80" s="60">
        <f t="shared" si="20"/>
        <v>0.77201020585814106</v>
      </c>
      <c r="S80" s="60">
        <f t="shared" si="20"/>
        <v>0.7776538275247894</v>
      </c>
      <c r="T80" s="60">
        <f t="shared" si="20"/>
        <v>0.78305777828051637</v>
      </c>
      <c r="U80" s="60">
        <f t="shared" si="20"/>
        <v>0.78825883364941107</v>
      </c>
      <c r="V80" s="60">
        <f t="shared" si="20"/>
        <v>0.79328869631356702</v>
      </c>
      <c r="W80" s="60">
        <f t="shared" si="20"/>
        <v>0.79817466121875358</v>
      </c>
      <c r="X80" s="60">
        <f t="shared" si="20"/>
        <v>0.80294020380319209</v>
      </c>
      <c r="Y80" s="60">
        <f t="shared" si="20"/>
        <v>0.80760549718674857</v>
      </c>
      <c r="Z80" s="60">
        <f t="shared" si="20"/>
        <v>0.81218786472668725</v>
      </c>
      <c r="AA80" s="60">
        <f t="shared" si="20"/>
        <v>0.81670217446267568</v>
      </c>
      <c r="AB80" s="60">
        <f t="shared" si="20"/>
        <v>0.82116118179769859</v>
      </c>
      <c r="AC80" s="60">
        <f t="shared" si="20"/>
        <v>0.82486445771560968</v>
      </c>
      <c r="AD80" s="60">
        <f t="shared" si="20"/>
        <v>0.8282609584238505</v>
      </c>
      <c r="AE80" s="60">
        <f t="shared" si="20"/>
        <v>0.83134663650425311</v>
      </c>
      <c r="AF80" s="60">
        <f t="shared" si="20"/>
        <v>0.83411779195926739</v>
      </c>
      <c r="AG80" s="60">
        <f t="shared" si="20"/>
        <v>0.83657107958267696</v>
      </c>
      <c r="AH80" s="60">
        <f t="shared" si="20"/>
        <v>0.8387035156678877</v>
      </c>
      <c r="AI80" s="60">
        <f t="shared" si="20"/>
        <v>0.8408413873744921</v>
      </c>
      <c r="AJ80" s="60">
        <f t="shared" si="20"/>
        <v>0.84265496683745666</v>
      </c>
      <c r="AK80" s="60">
        <f t="shared" si="20"/>
        <v>0.84430723147831443</v>
      </c>
      <c r="AL80" s="60">
        <f t="shared" si="20"/>
        <v>0.84596273585376214</v>
      </c>
      <c r="AM80" s="60">
        <f t="shared" si="20"/>
        <v>0.84762148631622058</v>
      </c>
      <c r="AN80" s="60">
        <f t="shared" si="20"/>
        <v>0.84928348923056607</v>
      </c>
      <c r="AO80" s="60">
        <f t="shared" si="20"/>
        <v>0.85094875097415545</v>
      </c>
      <c r="AP80" s="60">
        <f t="shared" si="20"/>
        <v>0.85261727793684983</v>
      </c>
      <c r="AQ80" s="60">
        <f t="shared" si="20"/>
        <v>0.85428907652103969</v>
      </c>
      <c r="AR80" s="60">
        <f t="shared" si="20"/>
        <v>0.85512661483135444</v>
      </c>
      <c r="AS80" s="60">
        <f t="shared" si="20"/>
        <v>0.85596497425765961</v>
      </c>
      <c r="AT80" s="60">
        <f t="shared" si="20"/>
        <v>0.85680415560497092</v>
      </c>
      <c r="AU80" s="60">
        <f t="shared" si="20"/>
        <v>0.85764415967909335</v>
      </c>
      <c r="AV80" s="60">
        <f t="shared" si="20"/>
        <v>0.85848498728662181</v>
      </c>
      <c r="AW80" s="60">
        <f t="shared" si="20"/>
        <v>0.8593266392349419</v>
      </c>
      <c r="AX80" s="60">
        <f t="shared" si="20"/>
        <v>0.86016911633223092</v>
      </c>
      <c r="AY80" s="60">
        <f t="shared" si="20"/>
        <v>0.86101241938745854</v>
      </c>
      <c r="AZ80" s="60">
        <f t="shared" si="20"/>
        <v>0.86101241938745854</v>
      </c>
      <c r="BA80" s="60">
        <f t="shared" si="20"/>
        <v>0.86101241938745854</v>
      </c>
      <c r="BB80" s="60">
        <f t="shared" si="20"/>
        <v>0.86101241938745854</v>
      </c>
      <c r="BC80" s="60">
        <f t="shared" si="20"/>
        <v>0.86101241938745854</v>
      </c>
      <c r="BD80" s="60">
        <f t="shared" si="20"/>
        <v>0.86101241938745854</v>
      </c>
      <c r="BE80" s="60">
        <f t="shared" si="20"/>
        <v>0.86101241938745854</v>
      </c>
      <c r="BF80" s="60">
        <f t="shared" si="20"/>
        <v>0.86101241938745854</v>
      </c>
    </row>
    <row r="81" spans="1:58" x14ac:dyDescent="0.3">
      <c r="A81" s="122">
        <v>28</v>
      </c>
      <c r="B81" s="58" t="s">
        <v>100</v>
      </c>
      <c r="C81" s="59"/>
      <c r="D81" s="59"/>
      <c r="E81" s="59"/>
      <c r="F81" s="59"/>
      <c r="G81" s="59"/>
      <c r="H81" s="59"/>
      <c r="I81" s="59"/>
      <c r="J81" s="59"/>
      <c r="K81" s="918">
        <v>0.02</v>
      </c>
      <c r="L81" s="918">
        <v>0.02</v>
      </c>
      <c r="M81" s="918">
        <v>0.02</v>
      </c>
      <c r="N81" s="918">
        <v>0.02</v>
      </c>
      <c r="O81" s="918">
        <v>0.02</v>
      </c>
      <c r="P81" s="918">
        <v>0.02</v>
      </c>
      <c r="Q81" s="918">
        <v>0.02</v>
      </c>
      <c r="R81" s="918">
        <v>0.02</v>
      </c>
      <c r="S81" s="918">
        <v>0.02</v>
      </c>
      <c r="T81" s="918">
        <v>0.02</v>
      </c>
      <c r="U81" s="918">
        <v>0.02</v>
      </c>
      <c r="V81" s="918">
        <v>0.02</v>
      </c>
      <c r="W81" s="918">
        <v>0.02</v>
      </c>
      <c r="X81" s="918">
        <v>0.02</v>
      </c>
      <c r="Y81" s="918">
        <v>0.02</v>
      </c>
      <c r="Z81" s="918">
        <v>0.02</v>
      </c>
      <c r="AA81" s="918">
        <v>0.02</v>
      </c>
      <c r="AB81" s="918">
        <v>0.02</v>
      </c>
      <c r="AC81" s="918">
        <v>0.02</v>
      </c>
      <c r="AD81" s="918">
        <v>0.02</v>
      </c>
      <c r="AE81" s="918">
        <v>0.02</v>
      </c>
      <c r="AF81" s="918">
        <v>0.02</v>
      </c>
      <c r="AG81" s="918">
        <v>0.02</v>
      </c>
      <c r="AH81" s="918">
        <v>0.02</v>
      </c>
      <c r="AI81" s="918">
        <v>0.02</v>
      </c>
      <c r="AJ81" s="918">
        <v>0.02</v>
      </c>
      <c r="AK81" s="918">
        <v>0.02</v>
      </c>
      <c r="AL81" s="918">
        <v>0.02</v>
      </c>
      <c r="AM81" s="918">
        <v>0.02</v>
      </c>
      <c r="AN81" s="918">
        <v>0.02</v>
      </c>
      <c r="AO81" s="918">
        <v>0.02</v>
      </c>
      <c r="AP81" s="918">
        <v>0.02</v>
      </c>
      <c r="AQ81" s="918">
        <v>0.02</v>
      </c>
      <c r="AR81" s="918">
        <v>0.02</v>
      </c>
      <c r="AS81" s="918">
        <v>0.02</v>
      </c>
      <c r="AT81" s="918">
        <v>0.02</v>
      </c>
      <c r="AU81" s="918">
        <v>0.02</v>
      </c>
      <c r="AV81" s="918">
        <v>0.02</v>
      </c>
      <c r="AW81" s="918">
        <v>0.02</v>
      </c>
      <c r="AX81" s="918">
        <v>0.02</v>
      </c>
      <c r="AY81" s="918">
        <v>0.02</v>
      </c>
      <c r="AZ81" s="918">
        <v>0.02</v>
      </c>
      <c r="BA81" s="918">
        <v>0.02</v>
      </c>
      <c r="BB81" s="918">
        <v>0.02</v>
      </c>
      <c r="BC81" s="918">
        <v>0.02</v>
      </c>
      <c r="BD81" s="918">
        <v>0.02</v>
      </c>
      <c r="BE81" s="918">
        <v>0.02</v>
      </c>
      <c r="BF81" s="918">
        <v>0.02</v>
      </c>
    </row>
    <row r="82" spans="1:58" x14ac:dyDescent="0.3">
      <c r="A82" s="122">
        <v>29</v>
      </c>
      <c r="B82" s="42" t="s">
        <v>95</v>
      </c>
    </row>
    <row r="83" spans="1:58" x14ac:dyDescent="0.3">
      <c r="A83" s="122">
        <v>30</v>
      </c>
      <c r="B83" s="7" t="s">
        <v>96</v>
      </c>
    </row>
    <row r="84" spans="1:58" x14ac:dyDescent="0.3">
      <c r="A84" s="122">
        <v>31</v>
      </c>
      <c r="B84" s="57" t="s">
        <v>97</v>
      </c>
      <c r="C84" s="57"/>
      <c r="D84" s="57"/>
      <c r="E84" s="57"/>
      <c r="F84" s="57"/>
      <c r="G84" s="57"/>
      <c r="H84" s="919">
        <v>1336558</v>
      </c>
      <c r="I84" s="919">
        <v>1335347</v>
      </c>
      <c r="J84" s="919">
        <v>1334371</v>
      </c>
      <c r="K84" s="919">
        <v>1333598</v>
      </c>
      <c r="L84" s="919">
        <v>1332975</v>
      </c>
      <c r="M84" s="919">
        <v>1332419</v>
      </c>
      <c r="N84" s="919">
        <v>1331869</v>
      </c>
      <c r="O84" s="919">
        <v>1331262</v>
      </c>
      <c r="P84" s="919">
        <v>1330583</v>
      </c>
      <c r="Q84" s="919">
        <v>1329582</v>
      </c>
      <c r="R84" s="919">
        <v>1328259</v>
      </c>
      <c r="S84" s="919">
        <v>1326575</v>
      </c>
      <c r="T84" s="919">
        <v>1324526</v>
      </c>
      <c r="U84" s="919">
        <v>1322049</v>
      </c>
      <c r="V84" s="919">
        <v>1319175</v>
      </c>
      <c r="W84" s="919">
        <v>1315932</v>
      </c>
      <c r="X84" s="919">
        <v>1312393</v>
      </c>
      <c r="Y84" s="919">
        <v>1308594</v>
      </c>
      <c r="Z84" s="919">
        <v>1304610</v>
      </c>
      <c r="AA84" s="919">
        <v>1300510</v>
      </c>
      <c r="AB84" s="919">
        <v>1296382</v>
      </c>
      <c r="AC84" s="919">
        <v>1292289</v>
      </c>
      <c r="AD84" s="919">
        <v>1288303</v>
      </c>
      <c r="AE84" s="919">
        <v>1284472</v>
      </c>
      <c r="AF84" s="919">
        <v>1280837</v>
      </c>
      <c r="AG84" s="919">
        <v>1277462</v>
      </c>
      <c r="AH84" s="919">
        <v>1274329</v>
      </c>
      <c r="AI84" s="919">
        <v>1271478</v>
      </c>
      <c r="AJ84" s="919">
        <v>1268886</v>
      </c>
      <c r="AK84" s="919">
        <v>1266587</v>
      </c>
      <c r="AL84" s="919">
        <v>1264490</v>
      </c>
      <c r="AM84" s="919">
        <v>1262625</v>
      </c>
      <c r="AN84" s="919">
        <v>1260941</v>
      </c>
      <c r="AO84" s="919">
        <v>1259420</v>
      </c>
      <c r="AP84" s="919">
        <v>1258007</v>
      </c>
      <c r="AQ84" s="919">
        <v>1256677</v>
      </c>
      <c r="AR84" s="919">
        <v>1255399</v>
      </c>
      <c r="AS84" s="919">
        <v>1254126</v>
      </c>
      <c r="AT84" s="919">
        <v>1252836</v>
      </c>
      <c r="AU84" s="919">
        <v>1251509</v>
      </c>
      <c r="AV84" s="919">
        <v>1250110</v>
      </c>
    </row>
    <row r="85" spans="1:58" x14ac:dyDescent="0.3">
      <c r="A85" s="122">
        <v>32</v>
      </c>
      <c r="B85" s="57" t="s">
        <v>240</v>
      </c>
      <c r="C85" s="57"/>
      <c r="D85" s="57"/>
      <c r="E85" s="57"/>
      <c r="F85" s="57"/>
      <c r="G85" s="57"/>
      <c r="H85" s="64">
        <f t="shared" ref="H85:AV85" si="21">H65*1000/H84</f>
        <v>0.42712325241403665</v>
      </c>
      <c r="I85" s="64">
        <f t="shared" si="21"/>
        <v>0.45609867697310136</v>
      </c>
      <c r="J85" s="64">
        <f t="shared" si="21"/>
        <v>0.4679545643602866</v>
      </c>
      <c r="K85" s="64">
        <f t="shared" si="21"/>
        <v>0.47428085525023284</v>
      </c>
      <c r="L85" s="64">
        <f t="shared" si="21"/>
        <v>0.47637802659464729</v>
      </c>
      <c r="M85" s="64">
        <f t="shared" si="21"/>
        <v>0.47657681254920564</v>
      </c>
      <c r="N85" s="64">
        <f t="shared" si="21"/>
        <v>0.47677361662445783</v>
      </c>
      <c r="O85" s="64">
        <f t="shared" si="21"/>
        <v>0.47699100552708634</v>
      </c>
      <c r="P85" s="64">
        <f t="shared" si="21"/>
        <v>0.47627994645955946</v>
      </c>
      <c r="Q85" s="64">
        <f t="shared" si="21"/>
        <v>0.47520860691555689</v>
      </c>
      <c r="R85" s="64">
        <f t="shared" si="21"/>
        <v>0.47425488821833695</v>
      </c>
      <c r="S85" s="64">
        <f t="shared" si="21"/>
        <v>0.47343235293842412</v>
      </c>
      <c r="T85" s="64">
        <f t="shared" si="21"/>
        <v>0.47274224366187761</v>
      </c>
      <c r="U85" s="64">
        <f t="shared" si="21"/>
        <v>0.47220709281532425</v>
      </c>
      <c r="V85" s="64">
        <f t="shared" si="21"/>
        <v>0.4718161518410055</v>
      </c>
      <c r="W85" s="64">
        <f t="shared" si="21"/>
        <v>0.4715599650198824</v>
      </c>
      <c r="X85" s="64">
        <f t="shared" si="21"/>
        <v>0.47141307927189363</v>
      </c>
      <c r="Y85" s="64">
        <f t="shared" si="21"/>
        <v>0.46966998216428074</v>
      </c>
      <c r="Z85" s="64">
        <f t="shared" si="21"/>
        <v>0.4695587565335555</v>
      </c>
      <c r="AA85" s="64">
        <f t="shared" si="21"/>
        <v>0.4696230644543844</v>
      </c>
      <c r="AB85" s="64">
        <f t="shared" si="21"/>
        <v>0.46873026037538712</v>
      </c>
      <c r="AC85" s="64">
        <f t="shared" si="21"/>
        <v>0.46858760811936429</v>
      </c>
      <c r="AD85" s="64">
        <f t="shared" si="21"/>
        <v>0.46763207062784734</v>
      </c>
      <c r="AE85" s="64">
        <f t="shared" si="21"/>
        <v>0.46661428778764352</v>
      </c>
      <c r="AF85" s="64">
        <f t="shared" si="21"/>
        <v>0.46551916866882564</v>
      </c>
      <c r="AG85" s="64">
        <f t="shared" si="21"/>
        <v>0.46440694048384351</v>
      </c>
      <c r="AH85" s="64">
        <f t="shared" si="21"/>
        <v>0.46303313461004003</v>
      </c>
      <c r="AI85" s="64">
        <f t="shared" si="21"/>
        <v>0.46155016743080407</v>
      </c>
      <c r="AJ85" s="64">
        <f t="shared" si="21"/>
        <v>0.45988241700806337</v>
      </c>
      <c r="AK85" s="64">
        <f t="shared" si="21"/>
        <v>0.45776438179360535</v>
      </c>
      <c r="AL85" s="64">
        <f t="shared" si="21"/>
        <v>0.45548135130443473</v>
      </c>
      <c r="AM85" s="64">
        <f t="shared" si="21"/>
        <v>0.45285357569989704</v>
      </c>
      <c r="AN85" s="64">
        <f t="shared" si="21"/>
        <v>0.44989917162201148</v>
      </c>
      <c r="AO85" s="64">
        <f t="shared" si="21"/>
        <v>0.44662448583426501</v>
      </c>
      <c r="AP85" s="64">
        <f t="shared" si="21"/>
        <v>0.443133939127967</v>
      </c>
      <c r="AQ85" s="64">
        <f t="shared" si="21"/>
        <v>0.43943644516270242</v>
      </c>
      <c r="AR85" s="64">
        <f t="shared" si="21"/>
        <v>0.4355428343187383</v>
      </c>
      <c r="AS85" s="64">
        <f t="shared" si="21"/>
        <v>0.43138395740388175</v>
      </c>
      <c r="AT85" s="64">
        <f t="shared" si="21"/>
        <v>0.42705184404925994</v>
      </c>
      <c r="AU85" s="64">
        <f t="shared" si="21"/>
        <v>0.42280867880813722</v>
      </c>
      <c r="AV85" s="64">
        <f t="shared" si="21"/>
        <v>0.41849513557582219</v>
      </c>
    </row>
    <row r="86" spans="1:58" x14ac:dyDescent="0.3">
      <c r="A86" s="122">
        <v>33</v>
      </c>
      <c r="B86" s="57" t="s">
        <v>98</v>
      </c>
      <c r="C86" s="57"/>
      <c r="D86" s="57"/>
      <c r="E86" s="57"/>
      <c r="F86" s="57"/>
      <c r="G86" s="57"/>
      <c r="H86" s="919">
        <v>1320386</v>
      </c>
      <c r="I86" s="919">
        <v>1316651</v>
      </c>
      <c r="J86" s="919">
        <v>1313966</v>
      </c>
      <c r="K86" s="919">
        <v>1312608</v>
      </c>
      <c r="L86" s="919">
        <v>1312495</v>
      </c>
      <c r="M86" s="919">
        <v>1313446</v>
      </c>
      <c r="N86" s="919">
        <v>1315264</v>
      </c>
      <c r="O86" s="919">
        <v>1317706</v>
      </c>
      <c r="P86" s="919">
        <v>1319919</v>
      </c>
      <c r="Q86" s="919">
        <v>1321270</v>
      </c>
      <c r="R86" s="919">
        <v>1321872</v>
      </c>
      <c r="S86" s="919">
        <v>1321623</v>
      </c>
      <c r="T86" s="919">
        <v>1320558</v>
      </c>
      <c r="U86" s="919">
        <v>1318681</v>
      </c>
      <c r="V86" s="919">
        <v>1316050</v>
      </c>
      <c r="W86" s="919">
        <v>1312678</v>
      </c>
      <c r="X86" s="919">
        <v>1308709</v>
      </c>
      <c r="Y86" s="919">
        <v>1304246</v>
      </c>
      <c r="Z86" s="919">
        <v>1299609</v>
      </c>
      <c r="AA86" s="919">
        <v>1294876</v>
      </c>
      <c r="AB86" s="919">
        <v>1290146</v>
      </c>
      <c r="AC86" s="919">
        <v>1285487</v>
      </c>
      <c r="AD86" s="919">
        <v>1280964</v>
      </c>
      <c r="AE86" s="919">
        <v>1276632</v>
      </c>
      <c r="AF86" s="919">
        <v>1272560</v>
      </c>
      <c r="AG86" s="919">
        <v>1268771</v>
      </c>
      <c r="AH86" s="919">
        <v>1265295</v>
      </c>
      <c r="AI86" s="919">
        <v>1262125</v>
      </c>
      <c r="AJ86" s="919">
        <v>1259269</v>
      </c>
      <c r="AK86" s="919">
        <v>1256697</v>
      </c>
      <c r="AL86" s="919">
        <v>1254411</v>
      </c>
      <c r="AM86" s="919">
        <v>1252354</v>
      </c>
      <c r="AN86" s="919">
        <v>1250492</v>
      </c>
      <c r="AO86" s="919">
        <v>1248803</v>
      </c>
      <c r="AP86" s="919">
        <v>1247236</v>
      </c>
      <c r="AQ86" s="919">
        <v>1245753</v>
      </c>
      <c r="AR86" s="919">
        <v>1244307</v>
      </c>
      <c r="AS86" s="919">
        <v>1242882</v>
      </c>
      <c r="AT86" s="919">
        <v>1241406</v>
      </c>
      <c r="AU86" s="919">
        <v>1239865</v>
      </c>
      <c r="AV86" s="919">
        <v>1238245</v>
      </c>
    </row>
    <row r="87" spans="1:58" x14ac:dyDescent="0.3">
      <c r="A87" s="122">
        <v>34</v>
      </c>
      <c r="B87" s="57" t="s">
        <v>240</v>
      </c>
      <c r="C87" s="57"/>
      <c r="D87" s="57"/>
      <c r="E87" s="57"/>
      <c r="F87" s="57"/>
      <c r="G87" s="57"/>
      <c r="H87" s="64">
        <f t="shared" ref="H87:AV87" si="22">H65*1000/H86</f>
        <v>0.43235462963103216</v>
      </c>
      <c r="I87" s="64">
        <f t="shared" si="22"/>
        <v>0.46257512431160575</v>
      </c>
      <c r="J87" s="64">
        <f t="shared" si="22"/>
        <v>0.47522158107591828</v>
      </c>
      <c r="K87" s="64">
        <f t="shared" si="22"/>
        <v>0.48186511128989007</v>
      </c>
      <c r="L87" s="64">
        <f t="shared" si="22"/>
        <v>0.48381136690044535</v>
      </c>
      <c r="M87" s="64">
        <f t="shared" si="22"/>
        <v>0.48346106349252271</v>
      </c>
      <c r="N87" s="64">
        <f t="shared" si="22"/>
        <v>0.48279280813585712</v>
      </c>
      <c r="O87" s="64">
        <f t="shared" si="22"/>
        <v>0.4818980865230939</v>
      </c>
      <c r="P87" s="64">
        <f t="shared" si="22"/>
        <v>0.4801279472452476</v>
      </c>
      <c r="Q87" s="64">
        <f t="shared" si="22"/>
        <v>0.47819810485366349</v>
      </c>
      <c r="R87" s="64">
        <f t="shared" si="22"/>
        <v>0.47654638540645389</v>
      </c>
      <c r="S87" s="64">
        <f t="shared" si="22"/>
        <v>0.47520626048373094</v>
      </c>
      <c r="T87" s="64">
        <f t="shared" si="22"/>
        <v>0.47416273501693385</v>
      </c>
      <c r="U87" s="64">
        <f t="shared" si="22"/>
        <v>0.47341314150230918</v>
      </c>
      <c r="V87" s="64">
        <f t="shared" si="22"/>
        <v>0.4729364933740044</v>
      </c>
      <c r="W87" s="64">
        <f t="shared" si="22"/>
        <v>0.4727289159173414</v>
      </c>
      <c r="X87" s="64">
        <f t="shared" si="22"/>
        <v>0.47274010138608219</v>
      </c>
      <c r="Y87" s="64">
        <f t="shared" si="22"/>
        <v>0.47123573362715682</v>
      </c>
      <c r="Z87" s="64">
        <f t="shared" si="22"/>
        <v>0.47136565640992167</v>
      </c>
      <c r="AA87" s="64">
        <f t="shared" si="22"/>
        <v>0.47166639242180058</v>
      </c>
      <c r="AB87" s="64">
        <f t="shared" si="22"/>
        <v>0.47099589690311416</v>
      </c>
      <c r="AC87" s="64">
        <f t="shared" si="22"/>
        <v>0.47106708314355972</v>
      </c>
      <c r="AD87" s="64">
        <f t="shared" si="22"/>
        <v>0.47031126517690397</v>
      </c>
      <c r="AE87" s="64">
        <f t="shared" si="22"/>
        <v>0.46947984028535245</v>
      </c>
      <c r="AF87" s="64">
        <f t="shared" si="22"/>
        <v>0.46854700402360022</v>
      </c>
      <c r="AG87" s="64">
        <f t="shared" si="22"/>
        <v>0.46758809824970121</v>
      </c>
      <c r="AH87" s="64">
        <f t="shared" si="22"/>
        <v>0.46633911569592684</v>
      </c>
      <c r="AI87" s="64">
        <f t="shared" si="22"/>
        <v>0.46497049324320799</v>
      </c>
      <c r="AJ87" s="64">
        <f t="shared" si="22"/>
        <v>0.46339452538551612</v>
      </c>
      <c r="AK87" s="64">
        <f t="shared" si="22"/>
        <v>0.46136691266297064</v>
      </c>
      <c r="AL87" s="64">
        <f t="shared" si="22"/>
        <v>0.45914107410644889</v>
      </c>
      <c r="AM87" s="64">
        <f t="shared" si="22"/>
        <v>0.4565675887313671</v>
      </c>
      <c r="AN87" s="64">
        <f t="shared" si="22"/>
        <v>0.45365848911007095</v>
      </c>
      <c r="AO87" s="64">
        <f t="shared" si="22"/>
        <v>0.4504215716565303</v>
      </c>
      <c r="AP87" s="64">
        <f t="shared" si="22"/>
        <v>0.44696079760410728</v>
      </c>
      <c r="AQ87" s="64">
        <f t="shared" si="22"/>
        <v>0.44328986050824637</v>
      </c>
      <c r="AR87" s="64">
        <f t="shared" si="22"/>
        <v>0.43942534974159092</v>
      </c>
      <c r="AS87" s="64">
        <f t="shared" si="22"/>
        <v>0.43528656538842836</v>
      </c>
      <c r="AT87" s="64">
        <f t="shared" si="22"/>
        <v>0.43098383936544415</v>
      </c>
      <c r="AU87" s="64">
        <f t="shared" si="22"/>
        <v>0.42677942099058608</v>
      </c>
      <c r="AV87" s="64">
        <f t="shared" si="22"/>
        <v>0.42250520206800035</v>
      </c>
    </row>
    <row r="88" spans="1:58" x14ac:dyDescent="0.3">
      <c r="A88" s="122">
        <v>35</v>
      </c>
      <c r="B88" s="42" t="s">
        <v>915</v>
      </c>
    </row>
    <row r="89" spans="1:58" x14ac:dyDescent="0.3">
      <c r="A89" s="122">
        <v>36</v>
      </c>
      <c r="B89" s="7" t="s">
        <v>241</v>
      </c>
    </row>
    <row r="90" spans="1:58" x14ac:dyDescent="0.3">
      <c r="A90" s="122">
        <v>37</v>
      </c>
      <c r="B90" s="57" t="s">
        <v>97</v>
      </c>
      <c r="D90" s="57"/>
      <c r="E90" s="57"/>
      <c r="F90" s="57"/>
      <c r="G90" s="57"/>
      <c r="H90" s="919">
        <v>1033942</v>
      </c>
      <c r="I90" s="919">
        <v>1027825</v>
      </c>
      <c r="J90" s="919">
        <v>1021169</v>
      </c>
      <c r="K90" s="919">
        <v>1013010</v>
      </c>
      <c r="L90" s="919">
        <v>1005057</v>
      </c>
      <c r="M90" s="919">
        <v>997669</v>
      </c>
      <c r="N90" s="919">
        <v>992121</v>
      </c>
      <c r="O90" s="919">
        <v>985173</v>
      </c>
      <c r="P90" s="919">
        <v>980749</v>
      </c>
      <c r="Q90" s="919">
        <v>978252</v>
      </c>
      <c r="R90" s="919">
        <v>976481</v>
      </c>
      <c r="S90" s="919">
        <v>975037</v>
      </c>
      <c r="T90" s="919">
        <v>972094</v>
      </c>
      <c r="U90" s="919">
        <v>968812</v>
      </c>
      <c r="V90" s="919">
        <v>965708</v>
      </c>
      <c r="W90" s="919">
        <v>962264</v>
      </c>
      <c r="X90" s="919">
        <v>959977</v>
      </c>
      <c r="Y90" s="919">
        <v>957519</v>
      </c>
      <c r="Z90" s="919">
        <v>955394</v>
      </c>
      <c r="AA90" s="919">
        <v>953873</v>
      </c>
      <c r="AB90" s="919">
        <v>951831</v>
      </c>
      <c r="AC90" s="919">
        <v>949537</v>
      </c>
      <c r="AD90" s="919">
        <v>947666</v>
      </c>
      <c r="AE90" s="919">
        <v>945643</v>
      </c>
      <c r="AF90" s="919">
        <v>943344</v>
      </c>
      <c r="AG90" s="919">
        <v>940535</v>
      </c>
      <c r="AH90" s="919">
        <v>937307</v>
      </c>
      <c r="AI90" s="919">
        <v>933905</v>
      </c>
      <c r="AJ90" s="919">
        <v>930524</v>
      </c>
      <c r="AK90" s="919">
        <v>927438</v>
      </c>
      <c r="AL90" s="919">
        <v>923966</v>
      </c>
      <c r="AM90" s="919">
        <v>920732</v>
      </c>
      <c r="AN90" s="919">
        <v>917474</v>
      </c>
      <c r="AO90" s="919">
        <v>914069</v>
      </c>
      <c r="AP90" s="919">
        <v>909983</v>
      </c>
      <c r="AQ90" s="919">
        <v>905378</v>
      </c>
      <c r="AR90" s="919">
        <v>900568</v>
      </c>
      <c r="AS90" s="919">
        <v>895691</v>
      </c>
      <c r="AT90" s="919">
        <v>891230</v>
      </c>
      <c r="AU90" s="919">
        <v>887377</v>
      </c>
      <c r="AV90" s="919">
        <v>883630</v>
      </c>
    </row>
    <row r="91" spans="1:58" x14ac:dyDescent="0.3">
      <c r="A91" s="122">
        <v>38</v>
      </c>
      <c r="B91" s="57" t="s">
        <v>270</v>
      </c>
      <c r="D91" s="57"/>
      <c r="E91" s="57"/>
      <c r="F91" s="57"/>
      <c r="G91" s="57"/>
      <c r="H91" s="64">
        <f>H65*1000/H90</f>
        <v>0.55213445241609294</v>
      </c>
      <c r="I91" s="64">
        <f t="shared" ref="I91:AV91" si="23">I65*1000/I90</f>
        <v>0.5925619633692506</v>
      </c>
      <c r="J91" s="64">
        <f t="shared" si="23"/>
        <v>0.61148056785899296</v>
      </c>
      <c r="K91" s="64">
        <f t="shared" si="23"/>
        <v>0.6243768570892686</v>
      </c>
      <c r="L91" s="64">
        <f t="shared" si="23"/>
        <v>0.63180496230562044</v>
      </c>
      <c r="M91" s="64">
        <f t="shared" si="23"/>
        <v>0.6364836433727018</v>
      </c>
      <c r="N91" s="64">
        <f t="shared" si="23"/>
        <v>0.64004289799328917</v>
      </c>
      <c r="O91" s="64">
        <f t="shared" si="23"/>
        <v>0.64455684433089422</v>
      </c>
      <c r="P91" s="64">
        <f t="shared" si="23"/>
        <v>0.64616940725914584</v>
      </c>
      <c r="Q91" s="64">
        <f t="shared" si="23"/>
        <v>0.64587530615833133</v>
      </c>
      <c r="R91" s="64">
        <f t="shared" si="23"/>
        <v>0.64510556126540097</v>
      </c>
      <c r="S91" s="64">
        <f t="shared" si="23"/>
        <v>0.64412276005863356</v>
      </c>
      <c r="T91" s="64">
        <f t="shared" si="23"/>
        <v>0.64413461355433954</v>
      </c>
      <c r="U91" s="64">
        <f t="shared" si="23"/>
        <v>0.64437776869961005</v>
      </c>
      <c r="V91" s="64">
        <f t="shared" si="23"/>
        <v>0.64450959514144901</v>
      </c>
      <c r="W91" s="64">
        <f t="shared" si="23"/>
        <v>0.64487588425686071</v>
      </c>
      <c r="X91" s="64">
        <f t="shared" si="23"/>
        <v>0.64447296689908018</v>
      </c>
      <c r="Y91" s="64">
        <f t="shared" si="23"/>
        <v>0.64187480419739429</v>
      </c>
      <c r="Z91" s="64">
        <f t="shared" si="23"/>
        <v>0.641192062501169</v>
      </c>
      <c r="AA91" s="64">
        <f t="shared" si="23"/>
        <v>0.64028386541349991</v>
      </c>
      <c r="AB91" s="64">
        <f t="shared" si="23"/>
        <v>0.63840479287390839</v>
      </c>
      <c r="AC91" s="64">
        <f t="shared" si="23"/>
        <v>0.63773250701022199</v>
      </c>
      <c r="AD91" s="64">
        <f t="shared" si="23"/>
        <v>0.63572165666602753</v>
      </c>
      <c r="AE91" s="64">
        <f t="shared" si="23"/>
        <v>0.63380471008950534</v>
      </c>
      <c r="AF91" s="64">
        <f t="shared" si="23"/>
        <v>0.63206441705281702</v>
      </c>
      <c r="AG91" s="64">
        <f t="shared" si="23"/>
        <v>0.63077101756380327</v>
      </c>
      <c r="AH91" s="64">
        <f t="shared" si="23"/>
        <v>0.62952325267439346</v>
      </c>
      <c r="AI91" s="64">
        <f t="shared" si="23"/>
        <v>0.62838391890458223</v>
      </c>
      <c r="AJ91" s="64">
        <f t="shared" si="23"/>
        <v>0.62710726492566937</v>
      </c>
      <c r="AK91" s="64">
        <f t="shared" si="23"/>
        <v>0.6251613747148782</v>
      </c>
      <c r="AL91" s="64">
        <f t="shared" si="23"/>
        <v>0.62334719449735665</v>
      </c>
      <c r="AM91" s="64">
        <f t="shared" si="23"/>
        <v>0.62101050687722648</v>
      </c>
      <c r="AN91" s="64">
        <f t="shared" si="23"/>
        <v>0.61832412838318118</v>
      </c>
      <c r="AO91" s="64">
        <f t="shared" si="23"/>
        <v>0.61536690331844757</v>
      </c>
      <c r="AP91" s="64">
        <f t="shared" si="23"/>
        <v>0.6126110019204275</v>
      </c>
      <c r="AQ91" s="64">
        <f t="shared" si="23"/>
        <v>0.60994377331648153</v>
      </c>
      <c r="AR91" s="64">
        <f t="shared" si="23"/>
        <v>0.60715019705442541</v>
      </c>
      <c r="AS91" s="64">
        <f t="shared" si="23"/>
        <v>0.60401392552018562</v>
      </c>
      <c r="AT91" s="64">
        <f t="shared" si="23"/>
        <v>0.60032306373360256</v>
      </c>
      <c r="AU91" s="64">
        <f t="shared" si="23"/>
        <v>0.59630671834687288</v>
      </c>
      <c r="AV91" s="64">
        <f t="shared" si="23"/>
        <v>0.59206336807791848</v>
      </c>
    </row>
    <row r="92" spans="1:58" x14ac:dyDescent="0.3">
      <c r="A92" s="122">
        <v>39</v>
      </c>
      <c r="B92" s="57" t="s">
        <v>98</v>
      </c>
      <c r="D92" s="57"/>
      <c r="E92" s="57"/>
      <c r="F92" s="57"/>
      <c r="G92" s="57"/>
      <c r="H92" s="919">
        <v>1020551</v>
      </c>
      <c r="I92" s="919">
        <v>1012321</v>
      </c>
      <c r="J92" s="919">
        <v>1004239</v>
      </c>
      <c r="K92" s="919">
        <v>995544</v>
      </c>
      <c r="L92" s="919">
        <v>987931</v>
      </c>
      <c r="M92" s="919">
        <v>981649</v>
      </c>
      <c r="N92" s="919">
        <v>977844</v>
      </c>
      <c r="O92" s="919">
        <v>973140</v>
      </c>
      <c r="P92" s="919">
        <v>970844</v>
      </c>
      <c r="Q92" s="919">
        <v>970101</v>
      </c>
      <c r="R92" s="919">
        <v>969819</v>
      </c>
      <c r="S92" s="919">
        <v>969551</v>
      </c>
      <c r="T92" s="919">
        <v>967506</v>
      </c>
      <c r="U92" s="919">
        <v>964882</v>
      </c>
      <c r="V92" s="919">
        <v>962234</v>
      </c>
      <c r="W92" s="919">
        <v>959015</v>
      </c>
      <c r="X92" s="919">
        <v>956792</v>
      </c>
      <c r="Y92" s="919">
        <v>954263</v>
      </c>
      <c r="Z92" s="919">
        <v>952077</v>
      </c>
      <c r="AA92" s="919">
        <v>950516</v>
      </c>
      <c r="AB92" s="919">
        <v>948443</v>
      </c>
      <c r="AC92" s="919">
        <v>946121</v>
      </c>
      <c r="AD92" s="919">
        <v>944198</v>
      </c>
      <c r="AE92" s="919">
        <v>942106</v>
      </c>
      <c r="AF92" s="919">
        <v>939703</v>
      </c>
      <c r="AG92" s="919">
        <v>936738</v>
      </c>
      <c r="AH92" s="919">
        <v>933331</v>
      </c>
      <c r="AI92" s="919">
        <v>929695</v>
      </c>
      <c r="AJ92" s="919">
        <v>926051</v>
      </c>
      <c r="AK92" s="919">
        <v>922639</v>
      </c>
      <c r="AL92" s="919">
        <v>918849</v>
      </c>
      <c r="AM92" s="919">
        <v>915254</v>
      </c>
      <c r="AN92" s="919">
        <v>911626</v>
      </c>
      <c r="AO92" s="919">
        <v>907848</v>
      </c>
      <c r="AP92" s="919">
        <v>903411</v>
      </c>
      <c r="AQ92" s="919">
        <v>898466</v>
      </c>
      <c r="AR92" s="919">
        <v>893330</v>
      </c>
      <c r="AS92" s="919">
        <v>888169</v>
      </c>
      <c r="AT92" s="919">
        <v>883413</v>
      </c>
      <c r="AU92" s="919">
        <v>879269</v>
      </c>
      <c r="AV92" s="919">
        <v>875234</v>
      </c>
    </row>
    <row r="93" spans="1:58" x14ac:dyDescent="0.3">
      <c r="A93" s="122">
        <v>40</v>
      </c>
      <c r="B93" s="57" t="s">
        <v>270</v>
      </c>
      <c r="D93" s="57"/>
      <c r="E93" s="57"/>
      <c r="F93" s="57"/>
      <c r="G93" s="57"/>
      <c r="H93" s="64">
        <f t="shared" ref="H93:AV93" si="24">H65*1000/H92</f>
        <v>0.55937919809984993</v>
      </c>
      <c r="I93" s="64">
        <f t="shared" si="24"/>
        <v>0.60163722771729522</v>
      </c>
      <c r="J93" s="64">
        <f t="shared" si="24"/>
        <v>0.62178923543100795</v>
      </c>
      <c r="K93" s="64">
        <f t="shared" si="24"/>
        <v>0.63533103509237165</v>
      </c>
      <c r="L93" s="64">
        <f t="shared" si="24"/>
        <v>0.64275743953778153</v>
      </c>
      <c r="M93" s="64">
        <f t="shared" si="24"/>
        <v>0.64687072466838957</v>
      </c>
      <c r="N93" s="64">
        <f t="shared" si="24"/>
        <v>0.64938783691468172</v>
      </c>
      <c r="O93" s="64">
        <f t="shared" si="24"/>
        <v>0.65252687177590074</v>
      </c>
      <c r="P93" s="64">
        <f t="shared" si="24"/>
        <v>0.65276192673591227</v>
      </c>
      <c r="Q93" s="64">
        <f t="shared" si="24"/>
        <v>0.65130209122555272</v>
      </c>
      <c r="R93" s="64">
        <f t="shared" si="24"/>
        <v>0.64953699975974899</v>
      </c>
      <c r="S93" s="64">
        <f t="shared" si="24"/>
        <v>0.64776739294713737</v>
      </c>
      <c r="T93" s="64">
        <f t="shared" si="24"/>
        <v>0.64718915751271011</v>
      </c>
      <c r="U93" s="64">
        <f t="shared" si="24"/>
        <v>0.64700234313564409</v>
      </c>
      <c r="V93" s="64">
        <f t="shared" si="24"/>
        <v>0.64683649933889098</v>
      </c>
      <c r="W93" s="64">
        <f t="shared" si="24"/>
        <v>0.64706062771546202</v>
      </c>
      <c r="X93" s="64">
        <f t="shared" si="24"/>
        <v>0.64661830925099528</v>
      </c>
      <c r="Y93" s="64">
        <f t="shared" si="24"/>
        <v>0.64406491778501818</v>
      </c>
      <c r="Z93" s="64">
        <f t="shared" si="24"/>
        <v>0.64342595122163637</v>
      </c>
      <c r="AA93" s="64">
        <f t="shared" si="24"/>
        <v>0.64254519813824429</v>
      </c>
      <c r="AB93" s="64">
        <f t="shared" si="24"/>
        <v>0.64068528357103705</v>
      </c>
      <c r="AC93" s="64">
        <f t="shared" si="24"/>
        <v>0.64003506053556058</v>
      </c>
      <c r="AD93" s="64">
        <f t="shared" si="24"/>
        <v>0.63805663588152872</v>
      </c>
      <c r="AE93" s="64">
        <f t="shared" si="24"/>
        <v>0.63618423772183819</v>
      </c>
      <c r="AF93" s="64">
        <f t="shared" si="24"/>
        <v>0.63451343183992459</v>
      </c>
      <c r="AG93" s="64">
        <f t="shared" si="24"/>
        <v>0.63332780244248832</v>
      </c>
      <c r="AH93" s="64">
        <f t="shared" si="24"/>
        <v>0.63220502843522575</v>
      </c>
      <c r="AI93" s="64">
        <f t="shared" si="24"/>
        <v>0.63122947179944378</v>
      </c>
      <c r="AJ93" s="64">
        <f t="shared" si="24"/>
        <v>0.63013631062187014</v>
      </c>
      <c r="AK93" s="64">
        <f t="shared" si="24"/>
        <v>0.62841307926807477</v>
      </c>
      <c r="AL93" s="64">
        <f t="shared" si="24"/>
        <v>0.62681856748055953</v>
      </c>
      <c r="AM93" s="64">
        <f t="shared" si="24"/>
        <v>0.62472739372685882</v>
      </c>
      <c r="AN93" s="64">
        <f t="shared" si="24"/>
        <v>0.62229062286971937</v>
      </c>
      <c r="AO93" s="64">
        <f t="shared" si="24"/>
        <v>0.6195836857594994</v>
      </c>
      <c r="AP93" s="64">
        <f t="shared" si="24"/>
        <v>0.61706753333815545</v>
      </c>
      <c r="AQ93" s="64">
        <f t="shared" si="24"/>
        <v>0.61463613937280814</v>
      </c>
      <c r="AR93" s="64">
        <f t="shared" si="24"/>
        <v>0.61206949129762767</v>
      </c>
      <c r="AS93" s="64">
        <f t="shared" si="24"/>
        <v>0.609129385244363</v>
      </c>
      <c r="AT93" s="64">
        <f t="shared" si="24"/>
        <v>0.60563510395624542</v>
      </c>
      <c r="AU93" s="64">
        <f t="shared" si="24"/>
        <v>0.601805439298432</v>
      </c>
      <c r="AV93" s="64">
        <f t="shared" si="24"/>
        <v>0.59774295095333485</v>
      </c>
    </row>
    <row r="95" spans="1:58" x14ac:dyDescent="0.3">
      <c r="B95" s="57" t="s">
        <v>532</v>
      </c>
      <c r="C95" s="3">
        <v>5.6</v>
      </c>
      <c r="D95" s="57"/>
      <c r="E95" s="57"/>
      <c r="F95" s="57"/>
      <c r="G95" s="57"/>
      <c r="H95" s="62"/>
      <c r="I95" s="457"/>
      <c r="J95" s="920">
        <v>5.6</v>
      </c>
      <c r="K95" s="921">
        <v>6</v>
      </c>
      <c r="L95" s="922">
        <v>6.2</v>
      </c>
      <c r="M95" s="922">
        <v>6.5</v>
      </c>
      <c r="N95" s="922">
        <v>6.8</v>
      </c>
      <c r="O95" s="922">
        <v>6.8</v>
      </c>
    </row>
    <row r="96" spans="1:58" x14ac:dyDescent="0.3">
      <c r="B96" s="57" t="s">
        <v>533</v>
      </c>
      <c r="C96" s="3">
        <v>9.1</v>
      </c>
      <c r="D96" s="57"/>
      <c r="E96" s="57"/>
      <c r="F96" s="57"/>
      <c r="G96" s="57"/>
      <c r="H96" s="62"/>
      <c r="I96" s="457"/>
      <c r="J96" s="920">
        <v>9.1</v>
      </c>
      <c r="K96" s="921">
        <v>6.8</v>
      </c>
      <c r="L96" s="922">
        <v>5.5</v>
      </c>
      <c r="M96" s="922">
        <v>6.2</v>
      </c>
      <c r="N96" s="922">
        <v>6.9</v>
      </c>
      <c r="O96" s="922">
        <v>7.4</v>
      </c>
    </row>
    <row r="97" spans="2:15" s="3" customFormat="1" x14ac:dyDescent="0.3">
      <c r="B97" s="57" t="s">
        <v>534</v>
      </c>
      <c r="C97" s="3">
        <f>C96-C95</f>
        <v>3.5</v>
      </c>
      <c r="D97" s="57"/>
      <c r="E97" s="57"/>
      <c r="F97" s="57"/>
      <c r="G97" s="57"/>
      <c r="H97" s="62"/>
      <c r="I97" s="62"/>
      <c r="J97" s="458">
        <f>J95-J96</f>
        <v>-3.5</v>
      </c>
      <c r="K97" s="456">
        <f>K95-K96</f>
        <v>-0.79999999999999982</v>
      </c>
      <c r="L97" s="456">
        <f t="shared" ref="L97:O97" si="25">L95-L96</f>
        <v>0.70000000000000018</v>
      </c>
      <c r="M97" s="456">
        <f t="shared" si="25"/>
        <v>0.29999999999999982</v>
      </c>
      <c r="N97" s="456">
        <f t="shared" si="25"/>
        <v>-0.10000000000000053</v>
      </c>
      <c r="O97" s="456">
        <f t="shared" si="25"/>
        <v>-0.60000000000000053</v>
      </c>
    </row>
    <row r="98" spans="2:15" s="3" customFormat="1" x14ac:dyDescent="0.3">
      <c r="B98" s="57" t="s">
        <v>531</v>
      </c>
      <c r="D98" s="57"/>
      <c r="E98" s="57"/>
      <c r="F98" s="57"/>
      <c r="G98" s="57"/>
      <c r="H98" s="62"/>
      <c r="I98" s="62"/>
      <c r="J98" s="459">
        <f>J97*1000/I55</f>
        <v>-0.21583085690446993</v>
      </c>
      <c r="K98" s="459">
        <f t="shared" ref="K98:O98" si="26">K97*1000/J55</f>
        <v>-4.5937065519697749E-2</v>
      </c>
      <c r="L98" s="459">
        <f t="shared" si="26"/>
        <v>3.7913424893370677E-2</v>
      </c>
      <c r="M98" s="459">
        <f t="shared" si="26"/>
        <v>1.5218636579611823E-2</v>
      </c>
      <c r="N98" s="459">
        <f t="shared" si="26"/>
        <v>-4.763235526676673E-3</v>
      </c>
      <c r="O98" s="459">
        <f t="shared" si="26"/>
        <v>-2.679698221385448E-2</v>
      </c>
    </row>
    <row r="99" spans="2:15" s="3" customFormat="1" x14ac:dyDescent="0.3">
      <c r="B99" s="3" t="s">
        <v>535</v>
      </c>
    </row>
    <row r="101" spans="2:15" s="3" customFormat="1" ht="14.4" x14ac:dyDescent="0.3">
      <c r="B101" s="340" t="s">
        <v>797</v>
      </c>
      <c r="C101" s="950" t="s">
        <v>80</v>
      </c>
      <c r="D101" s="950" t="s">
        <v>80</v>
      </c>
      <c r="E101" s="950" t="s">
        <v>80</v>
      </c>
      <c r="F101" s="950" t="s">
        <v>80</v>
      </c>
      <c r="G101" s="950" t="s">
        <v>80</v>
      </c>
      <c r="H101" s="950" t="s">
        <v>80</v>
      </c>
      <c r="I101" s="950" t="s">
        <v>80</v>
      </c>
      <c r="J101" s="950" t="s">
        <v>80</v>
      </c>
      <c r="K101" s="341"/>
      <c r="L101" s="216"/>
    </row>
    <row r="102" spans="2:15" s="3" customFormat="1" x14ac:dyDescent="0.3">
      <c r="B102" s="898"/>
      <c r="C102" s="942" t="s">
        <v>32</v>
      </c>
      <c r="D102" s="897" t="s">
        <v>27</v>
      </c>
      <c r="E102" s="897" t="s">
        <v>28</v>
      </c>
      <c r="F102" s="897" t="s">
        <v>29</v>
      </c>
      <c r="G102" s="897" t="s">
        <v>6</v>
      </c>
      <c r="H102" s="897" t="s">
        <v>30</v>
      </c>
      <c r="I102" s="897" t="s">
        <v>31</v>
      </c>
      <c r="J102" s="897" t="s">
        <v>43</v>
      </c>
    </row>
    <row r="103" spans="2:15" s="3" customFormat="1" x14ac:dyDescent="0.3">
      <c r="B103" s="943" t="s">
        <v>503</v>
      </c>
      <c r="C103" s="945">
        <v>162.30000000000001</v>
      </c>
      <c r="D103" s="946">
        <v>155</v>
      </c>
      <c r="E103" s="946">
        <v>173.1</v>
      </c>
      <c r="F103" s="946">
        <v>167.1</v>
      </c>
      <c r="G103" s="946">
        <v>149</v>
      </c>
      <c r="H103" s="946">
        <v>174</v>
      </c>
      <c r="I103" s="946">
        <v>173.3</v>
      </c>
      <c r="J103" s="946">
        <v>178.8</v>
      </c>
    </row>
    <row r="104" spans="2:15" s="3" customFormat="1" x14ac:dyDescent="0.3">
      <c r="B104" s="943" t="s">
        <v>796</v>
      </c>
      <c r="C104" s="945"/>
      <c r="D104" s="945"/>
      <c r="E104" s="945"/>
      <c r="F104" s="945"/>
      <c r="G104" s="945"/>
      <c r="H104" s="945">
        <f>H103*PROGNOOS!H84/1000000</f>
        <v>232.561092</v>
      </c>
      <c r="I104" s="945">
        <f>I103*PROGNOOS!I84/1000000</f>
        <v>231.41563510000003</v>
      </c>
      <c r="J104" s="945">
        <f>J103*PROGNOOS!J84/1000000</f>
        <v>238.5855348</v>
      </c>
    </row>
    <row r="105" spans="2:15" s="3" customFormat="1" x14ac:dyDescent="0.3">
      <c r="B105" s="943" t="s">
        <v>667</v>
      </c>
      <c r="C105" s="944"/>
      <c r="D105" s="944"/>
      <c r="E105" s="944"/>
      <c r="F105" s="944"/>
      <c r="G105" s="944"/>
      <c r="H105" s="945">
        <f>H104*1000</f>
        <v>232561.092</v>
      </c>
      <c r="I105" s="945">
        <f t="shared" ref="I105:J105" si="27">I104*1000</f>
        <v>231415.63510000004</v>
      </c>
      <c r="J105" s="945">
        <f t="shared" si="27"/>
        <v>238585.53479999999</v>
      </c>
      <c r="K105" s="3">
        <f>J105*(1+K61*0.3)</f>
        <v>239670.96195844907</v>
      </c>
    </row>
    <row r="107" spans="2:15" s="3" customFormat="1" x14ac:dyDescent="0.3">
      <c r="B107" s="947" t="s">
        <v>916</v>
      </c>
      <c r="C107" s="948" t="s">
        <v>75</v>
      </c>
      <c r="D107" s="59"/>
      <c r="E107" s="59"/>
      <c r="F107" s="59"/>
      <c r="G107" s="59"/>
      <c r="H107" s="59"/>
      <c r="I107" s="59"/>
      <c r="J107" s="949">
        <f>219862</f>
        <v>219862</v>
      </c>
      <c r="K107" s="392">
        <f>Elekter!D8+Transport!D13+Soojus!D7</f>
        <v>241297.90590679075</v>
      </c>
    </row>
    <row r="108" spans="2:15" s="3" customFormat="1" x14ac:dyDescent="0.3">
      <c r="B108" s="947" t="s">
        <v>877</v>
      </c>
      <c r="C108" s="948" t="s">
        <v>309</v>
      </c>
      <c r="D108" s="59"/>
      <c r="E108" s="59"/>
      <c r="F108" s="59"/>
      <c r="G108" s="59"/>
      <c r="H108" s="59"/>
      <c r="I108" s="949">
        <f>14849000</f>
        <v>14849000</v>
      </c>
      <c r="J108" s="59"/>
    </row>
    <row r="109" spans="2:15" s="3" customFormat="1" x14ac:dyDescent="0.3">
      <c r="B109" s="3" t="s">
        <v>485</v>
      </c>
    </row>
    <row r="122" spans="4:6" s="3" customFormat="1" x14ac:dyDescent="0.3">
      <c r="D122" s="408" t="s">
        <v>69</v>
      </c>
      <c r="E122" s="408"/>
      <c r="F122" s="408"/>
    </row>
    <row r="123" spans="4:6" s="3" customFormat="1" x14ac:dyDescent="0.3">
      <c r="D123" s="408" t="s">
        <v>70</v>
      </c>
      <c r="E123" s="408" t="s">
        <v>71</v>
      </c>
      <c r="F123" s="408" t="s">
        <v>72</v>
      </c>
    </row>
    <row r="124" spans="4:6" s="3" customFormat="1" ht="15" x14ac:dyDescent="0.3">
      <c r="D124" s="409" t="s">
        <v>504</v>
      </c>
      <c r="E124" s="410" t="s">
        <v>73</v>
      </c>
      <c r="F124" s="410" t="s">
        <v>74</v>
      </c>
    </row>
    <row r="125" spans="4:6" s="3" customFormat="1" ht="15" x14ac:dyDescent="0.3">
      <c r="D125" s="411" t="s">
        <v>505</v>
      </c>
      <c r="E125" s="411" t="s">
        <v>75</v>
      </c>
      <c r="F125" s="411" t="s">
        <v>76</v>
      </c>
    </row>
    <row r="126" spans="4:6" s="3" customFormat="1" ht="15" x14ac:dyDescent="0.3">
      <c r="D126" s="411" t="s">
        <v>506</v>
      </c>
      <c r="E126" s="411" t="s">
        <v>49</v>
      </c>
      <c r="F126" s="411" t="s">
        <v>77</v>
      </c>
    </row>
    <row r="127" spans="4:6" s="3" customFormat="1" ht="15" x14ac:dyDescent="0.3">
      <c r="D127" s="342" t="s">
        <v>456</v>
      </c>
      <c r="E127" s="216"/>
      <c r="F127" s="216"/>
    </row>
    <row r="128" spans="4:6" s="3" customFormat="1" ht="14.4" x14ac:dyDescent="0.3">
      <c r="D128" s="12" t="s">
        <v>78</v>
      </c>
      <c r="E128" s="216"/>
      <c r="F128" s="216"/>
    </row>
  </sheetData>
  <hyperlinks>
    <hyperlink ref="A1" location="Tiitel!A1" display="&quot;Tiitel&quot;"/>
  </hyperlinks>
  <pageMargins left="0.7" right="0.7" top="0.75" bottom="0.75" header="0.3" footer="0.3"/>
  <ignoredErrors>
    <ignoredError sqref="H86:AV87 I85:AV85" unlockedFormula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12"/>
  <dimension ref="A1:Z111"/>
  <sheetViews>
    <sheetView workbookViewId="0"/>
  </sheetViews>
  <sheetFormatPr defaultColWidth="9.109375" defaultRowHeight="13.8" outlineLevelRow="1" x14ac:dyDescent="0.3"/>
  <cols>
    <col min="1" max="1" width="3.44140625" style="3" customWidth="1"/>
    <col min="2" max="2" width="42.33203125" style="3" customWidth="1"/>
    <col min="3" max="9" width="9.109375" style="3"/>
    <col min="10" max="10" width="8.88671875" style="3" customWidth="1"/>
    <col min="11" max="16384" width="9.109375" style="3"/>
  </cols>
  <sheetData>
    <row r="1" spans="1:4" x14ac:dyDescent="0.3">
      <c r="A1" s="786" t="s">
        <v>338</v>
      </c>
    </row>
    <row r="3" spans="1:4" ht="14.4" x14ac:dyDescent="0.3">
      <c r="B3" s="787" t="s">
        <v>484</v>
      </c>
    </row>
    <row r="4" spans="1:4" ht="17.25" customHeight="1" x14ac:dyDescent="0.3">
      <c r="B4" s="789" t="s">
        <v>219</v>
      </c>
      <c r="C4" s="790"/>
    </row>
    <row r="5" spans="1:4" x14ac:dyDescent="0.3">
      <c r="B5" s="791" t="s">
        <v>214</v>
      </c>
      <c r="C5" s="792">
        <f>C15*(1-J75-J78)+C17*C22</f>
        <v>0.60553808617548444</v>
      </c>
    </row>
    <row r="6" spans="1:4" x14ac:dyDescent="0.3">
      <c r="B6" s="791" t="s">
        <v>221</v>
      </c>
      <c r="C6" s="792">
        <f>C16*J80+C22*C18</f>
        <v>0.10348976302968797</v>
      </c>
    </row>
    <row r="7" spans="1:4" x14ac:dyDescent="0.3">
      <c r="B7" s="793" t="s">
        <v>45</v>
      </c>
      <c r="C7" s="794"/>
    </row>
    <row r="8" spans="1:4" x14ac:dyDescent="0.3">
      <c r="B8" s="791" t="s">
        <v>215</v>
      </c>
      <c r="C8" s="794">
        <f>(J75+J78)*C15+C17*C21</f>
        <v>0.14638236019158893</v>
      </c>
      <c r="D8" s="3" t="s">
        <v>483</v>
      </c>
    </row>
    <row r="9" spans="1:4" x14ac:dyDescent="0.3">
      <c r="B9" s="791" t="s">
        <v>217</v>
      </c>
      <c r="C9" s="794">
        <f>1-D105+C18*C21</f>
        <v>0.74134434273363792</v>
      </c>
      <c r="D9" s="3" t="s">
        <v>223</v>
      </c>
    </row>
    <row r="10" spans="1:4" ht="14.4" x14ac:dyDescent="0.3">
      <c r="B10" s="793" t="s">
        <v>224</v>
      </c>
      <c r="C10" s="795"/>
    </row>
    <row r="11" spans="1:4" x14ac:dyDescent="0.3">
      <c r="B11" s="791" t="s">
        <v>225</v>
      </c>
      <c r="C11" s="792">
        <f>C17*C20</f>
        <v>0.19298830650095289</v>
      </c>
    </row>
    <row r="12" spans="1:4" x14ac:dyDescent="0.3">
      <c r="B12" s="796" t="s">
        <v>226</v>
      </c>
      <c r="C12" s="797">
        <f>C18*C20</f>
        <v>2.6925210194146391E-2</v>
      </c>
    </row>
    <row r="13" spans="1:4" x14ac:dyDescent="0.3">
      <c r="C13" s="40"/>
    </row>
    <row r="14" spans="1:4" x14ac:dyDescent="0.3">
      <c r="B14" s="7" t="s">
        <v>283</v>
      </c>
      <c r="C14" s="40"/>
    </row>
    <row r="15" spans="1:4" x14ac:dyDescent="0.3">
      <c r="B15" s="3" t="s">
        <v>212</v>
      </c>
      <c r="C15" s="233">
        <f>C65</f>
        <v>0.59363636363636363</v>
      </c>
    </row>
    <row r="16" spans="1:4" x14ac:dyDescent="0.3">
      <c r="B16" s="3" t="s">
        <v>220</v>
      </c>
      <c r="C16" s="40">
        <f>D105*(1-D106)*(1-D107)</f>
        <v>0.10558508472009956</v>
      </c>
    </row>
    <row r="17" spans="2:11" x14ac:dyDescent="0.3">
      <c r="B17" s="3" t="s">
        <v>213</v>
      </c>
      <c r="C17" s="233">
        <f>C67</f>
        <v>0.38878787878787879</v>
      </c>
    </row>
    <row r="18" spans="2:11" x14ac:dyDescent="0.3">
      <c r="B18" s="3" t="s">
        <v>218</v>
      </c>
      <c r="C18" s="40">
        <f>D105*D106</f>
        <v>5.4242640640241375E-2</v>
      </c>
    </row>
    <row r="19" spans="2:11" x14ac:dyDescent="0.3">
      <c r="B19" s="3" t="s">
        <v>918</v>
      </c>
      <c r="C19" s="40"/>
    </row>
    <row r="20" spans="2:11" x14ac:dyDescent="0.3">
      <c r="B20" s="215" t="s">
        <v>51</v>
      </c>
      <c r="C20" s="40">
        <f>J27</f>
        <v>0.49638457634695599</v>
      </c>
    </row>
    <row r="21" spans="2:11" x14ac:dyDescent="0.3">
      <c r="B21" s="215" t="s">
        <v>67</v>
      </c>
      <c r="C21" s="40">
        <f>J28</f>
        <v>0.12457271132676805</v>
      </c>
    </row>
    <row r="22" spans="2:11" x14ac:dyDescent="0.3">
      <c r="B22" s="215" t="s">
        <v>175</v>
      </c>
      <c r="C22" s="40">
        <f>J29</f>
        <v>0.28254924737264109</v>
      </c>
    </row>
    <row r="25" spans="2:11" ht="14.4" x14ac:dyDescent="0.3">
      <c r="B25" s="80" t="s">
        <v>200</v>
      </c>
      <c r="C25" s="69"/>
      <c r="D25" s="69"/>
      <c r="E25" s="69"/>
      <c r="F25" s="69"/>
      <c r="G25" s="69"/>
      <c r="H25" s="69"/>
      <c r="I25" s="69"/>
      <c r="J25" s="69"/>
    </row>
    <row r="26" spans="2:11" x14ac:dyDescent="0.3">
      <c r="B26" s="147"/>
      <c r="C26" s="148" t="s">
        <v>26</v>
      </c>
      <c r="D26" s="148" t="s">
        <v>27</v>
      </c>
      <c r="E26" s="148" t="s">
        <v>28</v>
      </c>
      <c r="F26" s="148" t="s">
        <v>29</v>
      </c>
      <c r="G26" s="148" t="s">
        <v>6</v>
      </c>
      <c r="H26" s="148" t="s">
        <v>30</v>
      </c>
      <c r="I26" s="148" t="s">
        <v>31</v>
      </c>
      <c r="J26" s="148" t="s">
        <v>281</v>
      </c>
      <c r="K26" s="79"/>
    </row>
    <row r="27" spans="2:11" x14ac:dyDescent="0.3">
      <c r="B27" s="82" t="s">
        <v>919</v>
      </c>
      <c r="C27" s="40">
        <f>C36/C34</f>
        <v>0.51183093343270081</v>
      </c>
      <c r="D27" s="40">
        <f t="shared" ref="D27:I27" si="0">D36/D34</f>
        <v>0.48196546436429094</v>
      </c>
      <c r="E27" s="40">
        <f>E36/E34</f>
        <v>0.4840482033625142</v>
      </c>
      <c r="F27" s="40">
        <f t="shared" si="0"/>
        <v>0.48573779910249837</v>
      </c>
      <c r="G27" s="40">
        <f t="shared" si="0"/>
        <v>0.48581117829606169</v>
      </c>
      <c r="H27" s="40">
        <f t="shared" si="0"/>
        <v>0.51393332645267831</v>
      </c>
      <c r="I27" s="40">
        <f t="shared" si="0"/>
        <v>0.51136512941794765</v>
      </c>
      <c r="J27" s="146">
        <f>AVERAGE(C27:I27)</f>
        <v>0.49638457634695599</v>
      </c>
    </row>
    <row r="28" spans="2:11" x14ac:dyDescent="0.3">
      <c r="B28" s="82" t="s">
        <v>274</v>
      </c>
      <c r="C28" s="40">
        <f>C51/C34</f>
        <v>0.11812302041468155</v>
      </c>
      <c r="D28" s="40">
        <f t="shared" ref="D28:I28" si="1">D51/D34</f>
        <v>0.14143165099895549</v>
      </c>
      <c r="E28" s="40">
        <f>E51/E34</f>
        <v>0.14922530310245047</v>
      </c>
      <c r="F28" s="40">
        <f t="shared" si="1"/>
        <v>0.13861586000217388</v>
      </c>
      <c r="G28" s="40">
        <f t="shared" si="1"/>
        <v>0.11635793582237579</v>
      </c>
      <c r="H28" s="40">
        <f t="shared" si="1"/>
        <v>9.6311968899439229E-2</v>
      </c>
      <c r="I28" s="40">
        <f t="shared" si="1"/>
        <v>0.11194324004729996</v>
      </c>
      <c r="J28" s="146">
        <f>AVERAGE(C28:I28)</f>
        <v>0.12457271132676805</v>
      </c>
    </row>
    <row r="29" spans="2:11" x14ac:dyDescent="0.3">
      <c r="B29" s="82" t="s">
        <v>275</v>
      </c>
      <c r="C29" s="40">
        <f>C43/C34</f>
        <v>0.26610949934790129</v>
      </c>
      <c r="D29" s="40">
        <f t="shared" ref="D29:I29" si="2">D43/D34</f>
        <v>0.25855057003800258</v>
      </c>
      <c r="E29" s="40">
        <f t="shared" si="2"/>
        <v>0.25057690194498372</v>
      </c>
      <c r="F29" s="40">
        <f t="shared" si="2"/>
        <v>0.26552382726976287</v>
      </c>
      <c r="G29" s="40">
        <f t="shared" si="2"/>
        <v>0.30999456121828711</v>
      </c>
      <c r="H29" s="40">
        <f t="shared" si="2"/>
        <v>0.32142980011697114</v>
      </c>
      <c r="I29" s="40">
        <f t="shared" si="2"/>
        <v>0.30565957167257912</v>
      </c>
      <c r="J29" s="146">
        <f>AVERAGE(C29:I29)</f>
        <v>0.28254924737264109</v>
      </c>
    </row>
    <row r="30" spans="2:11" x14ac:dyDescent="0.3">
      <c r="B30" s="373" t="s">
        <v>485</v>
      </c>
      <c r="C30" s="8"/>
      <c r="D30" s="8"/>
      <c r="E30" s="19"/>
    </row>
    <row r="31" spans="2:11" hidden="1" outlineLevel="1" x14ac:dyDescent="0.3">
      <c r="B31" s="4" t="s">
        <v>262</v>
      </c>
    </row>
    <row r="32" spans="2:11" ht="14.4" hidden="1" outlineLevel="1" x14ac:dyDescent="0.3">
      <c r="B32" s="81" t="s">
        <v>14</v>
      </c>
      <c r="C32" s="216"/>
      <c r="D32" s="216"/>
      <c r="E32" s="216"/>
      <c r="F32" s="216"/>
      <c r="G32" s="216"/>
      <c r="H32" s="216"/>
      <c r="I32" s="216"/>
      <c r="J32" s="216"/>
    </row>
    <row r="33" spans="1:11" hidden="1" outlineLevel="1" x14ac:dyDescent="0.3">
      <c r="B33" s="147"/>
      <c r="C33" s="148" t="s">
        <v>26</v>
      </c>
      <c r="D33" s="148" t="s">
        <v>27</v>
      </c>
      <c r="E33" s="148" t="s">
        <v>28</v>
      </c>
      <c r="F33" s="148" t="s">
        <v>29</v>
      </c>
      <c r="G33" s="148" t="s">
        <v>6</v>
      </c>
      <c r="H33" s="148" t="s">
        <v>30</v>
      </c>
      <c r="I33" s="148" t="s">
        <v>31</v>
      </c>
      <c r="J33" s="148" t="s">
        <v>43</v>
      </c>
      <c r="K33" s="79"/>
    </row>
    <row r="34" spans="1:11" ht="14.4" hidden="1" outlineLevel="1" x14ac:dyDescent="0.3">
      <c r="A34" s="216"/>
      <c r="B34" s="4" t="s">
        <v>13</v>
      </c>
      <c r="C34" s="8">
        <v>3757.1</v>
      </c>
      <c r="D34" s="8">
        <v>4499.7</v>
      </c>
      <c r="E34" s="8">
        <v>5460.2</v>
      </c>
      <c r="F34" s="8">
        <v>6440.1</v>
      </c>
      <c r="G34" s="8">
        <v>6251.4</v>
      </c>
      <c r="H34" s="8">
        <v>5813.4</v>
      </c>
      <c r="I34" s="8">
        <v>6088.8</v>
      </c>
      <c r="J34" s="8">
        <v>6872.6</v>
      </c>
      <c r="K34" s="79"/>
    </row>
    <row r="35" spans="1:11" ht="14.4" hidden="1" outlineLevel="1" x14ac:dyDescent="0.3">
      <c r="A35" s="216"/>
      <c r="B35" s="2" t="s">
        <v>181</v>
      </c>
      <c r="C35" s="79">
        <v>769.6</v>
      </c>
      <c r="D35" s="79">
        <v>871.6</v>
      </c>
      <c r="E35" s="79">
        <v>994.5</v>
      </c>
      <c r="F35" s="79">
        <v>1137.2</v>
      </c>
      <c r="G35" s="79">
        <v>1054.8</v>
      </c>
      <c r="H35" s="79">
        <v>1073.3</v>
      </c>
      <c r="I35" s="79">
        <v>1131.3</v>
      </c>
      <c r="J35" s="79">
        <v>1241.3</v>
      </c>
      <c r="K35" s="79"/>
    </row>
    <row r="36" spans="1:11" hidden="1" outlineLevel="1" x14ac:dyDescent="0.3">
      <c r="B36" s="82" t="s">
        <v>66</v>
      </c>
      <c r="C36" s="8">
        <v>1923</v>
      </c>
      <c r="D36" s="8">
        <v>2168.6999999999998</v>
      </c>
      <c r="E36" s="8">
        <v>2643</v>
      </c>
      <c r="F36" s="8">
        <v>3128.2</v>
      </c>
      <c r="G36" s="8">
        <v>3037</v>
      </c>
      <c r="H36" s="8">
        <v>2987.7</v>
      </c>
      <c r="I36" s="8">
        <v>3113.6</v>
      </c>
      <c r="J36" s="8"/>
    </row>
    <row r="37" spans="1:11" ht="14.4" hidden="1" outlineLevel="1" x14ac:dyDescent="0.3">
      <c r="A37" s="216"/>
      <c r="B37" s="2" t="s">
        <v>182</v>
      </c>
      <c r="C37" s="79">
        <v>1104.3</v>
      </c>
      <c r="D37" s="79">
        <v>1242.4000000000001</v>
      </c>
      <c r="E37" s="79">
        <v>1526.7</v>
      </c>
      <c r="F37" s="79">
        <v>1830</v>
      </c>
      <c r="G37" s="79">
        <v>1774.5</v>
      </c>
      <c r="H37" s="79">
        <v>1707.4</v>
      </c>
      <c r="I37" s="79">
        <v>1771.3</v>
      </c>
      <c r="J37" s="79">
        <v>1837.1</v>
      </c>
      <c r="K37" s="79"/>
    </row>
    <row r="38" spans="1:11" ht="14.4" hidden="1" outlineLevel="1" x14ac:dyDescent="0.3">
      <c r="A38" s="216"/>
      <c r="B38" s="2" t="s">
        <v>183</v>
      </c>
      <c r="C38" s="79">
        <v>3.5</v>
      </c>
      <c r="D38" s="79">
        <v>3.4</v>
      </c>
      <c r="E38" s="79">
        <v>3.4</v>
      </c>
      <c r="F38" s="79">
        <v>4.2</v>
      </c>
      <c r="G38" s="79">
        <v>4.2</v>
      </c>
      <c r="H38" s="79">
        <v>4.8</v>
      </c>
      <c r="I38" s="79">
        <v>5.3</v>
      </c>
      <c r="J38" s="79">
        <v>7.1</v>
      </c>
      <c r="K38" s="79"/>
    </row>
    <row r="39" spans="1:11" ht="14.4" hidden="1" outlineLevel="1" x14ac:dyDescent="0.3">
      <c r="A39" s="216"/>
      <c r="B39" s="2" t="s">
        <v>184</v>
      </c>
      <c r="C39" s="79">
        <v>81.400000000000006</v>
      </c>
      <c r="D39" s="79">
        <v>114.5</v>
      </c>
      <c r="E39" s="79">
        <v>138.30000000000001</v>
      </c>
      <c r="F39" s="79">
        <v>157.69999999999999</v>
      </c>
      <c r="G39" s="79">
        <v>133.6</v>
      </c>
      <c r="H39" s="79">
        <v>160.9</v>
      </c>
      <c r="I39" s="79">
        <v>178.4</v>
      </c>
      <c r="J39" s="79">
        <v>159.69999999999999</v>
      </c>
      <c r="K39" s="79"/>
    </row>
    <row r="40" spans="1:11" ht="14.4" hidden="1" outlineLevel="1" x14ac:dyDescent="0.3">
      <c r="A40" s="216"/>
      <c r="B40" s="2" t="s">
        <v>185</v>
      </c>
      <c r="C40" s="79">
        <v>21.5</v>
      </c>
      <c r="D40" s="79">
        <v>23.2</v>
      </c>
      <c r="E40" s="79">
        <v>26.9</v>
      </c>
      <c r="F40" s="79">
        <v>33.799999999999997</v>
      </c>
      <c r="G40" s="79">
        <v>27.5</v>
      </c>
      <c r="H40" s="79">
        <v>17.8</v>
      </c>
      <c r="I40" s="79">
        <v>22.3</v>
      </c>
      <c r="J40" s="79">
        <v>28.5</v>
      </c>
      <c r="K40" s="79"/>
    </row>
    <row r="41" spans="1:11" ht="14.4" hidden="1" outlineLevel="1" x14ac:dyDescent="0.3">
      <c r="A41" s="216"/>
      <c r="B41" s="2" t="s">
        <v>186</v>
      </c>
      <c r="C41" s="79">
        <v>21.5</v>
      </c>
      <c r="D41" s="79">
        <v>23.2</v>
      </c>
      <c r="E41" s="79">
        <v>26.9</v>
      </c>
      <c r="F41" s="79">
        <v>33.799999999999997</v>
      </c>
      <c r="G41" s="79">
        <v>27.5</v>
      </c>
      <c r="H41" s="79">
        <v>17.8</v>
      </c>
      <c r="I41" s="79">
        <v>22.3</v>
      </c>
      <c r="J41" s="79">
        <v>28.5</v>
      </c>
    </row>
    <row r="42" spans="1:11" ht="14.4" hidden="1" outlineLevel="1" x14ac:dyDescent="0.3">
      <c r="A42" s="216"/>
      <c r="B42" s="2" t="s">
        <v>187</v>
      </c>
      <c r="C42" s="79">
        <v>5.6</v>
      </c>
      <c r="D42" s="79">
        <v>5.6</v>
      </c>
      <c r="E42" s="79">
        <v>3.5</v>
      </c>
      <c r="F42" s="79">
        <v>3.6</v>
      </c>
      <c r="G42" s="79">
        <v>3.2</v>
      </c>
      <c r="H42" s="79">
        <v>3.3</v>
      </c>
      <c r="I42" s="79">
        <v>3.4</v>
      </c>
      <c r="J42" s="79">
        <v>3.3</v>
      </c>
    </row>
    <row r="43" spans="1:11" ht="14.4" hidden="1" outlineLevel="1" x14ac:dyDescent="0.3">
      <c r="A43" s="216"/>
      <c r="B43" s="4" t="s">
        <v>188</v>
      </c>
      <c r="C43" s="79">
        <v>999.8</v>
      </c>
      <c r="D43" s="79">
        <v>1163.4000000000001</v>
      </c>
      <c r="E43" s="79">
        <v>1368.2</v>
      </c>
      <c r="F43" s="79">
        <v>1710</v>
      </c>
      <c r="G43" s="79">
        <v>1937.9</v>
      </c>
      <c r="H43" s="79">
        <v>1868.6</v>
      </c>
      <c r="I43" s="79">
        <v>1861.1</v>
      </c>
      <c r="J43" s="79">
        <v>1916.7</v>
      </c>
    </row>
    <row r="44" spans="1:11" ht="14.4" hidden="1" outlineLevel="1" x14ac:dyDescent="0.3">
      <c r="A44" s="216"/>
      <c r="B44" s="2" t="s">
        <v>189</v>
      </c>
      <c r="C44" s="79">
        <v>150.5</v>
      </c>
      <c r="D44" s="79">
        <v>169.9</v>
      </c>
      <c r="E44" s="79">
        <v>215.6</v>
      </c>
      <c r="F44" s="79">
        <v>259.2</v>
      </c>
      <c r="G44" s="79">
        <v>271.5</v>
      </c>
      <c r="H44" s="79">
        <v>263.89999999999998</v>
      </c>
      <c r="I44" s="79">
        <v>280.5</v>
      </c>
      <c r="J44" s="79">
        <v>310.60000000000002</v>
      </c>
    </row>
    <row r="45" spans="1:11" ht="14.4" hidden="1" outlineLevel="1" x14ac:dyDescent="0.3">
      <c r="A45" s="216"/>
      <c r="B45" s="2" t="s">
        <v>190</v>
      </c>
      <c r="C45" s="79">
        <v>174.1</v>
      </c>
      <c r="D45" s="79">
        <v>223.4</v>
      </c>
      <c r="E45" s="79">
        <v>227.8</v>
      </c>
      <c r="F45" s="79">
        <v>233.7</v>
      </c>
      <c r="G45" s="79">
        <v>259.7</v>
      </c>
      <c r="H45" s="79">
        <v>235.9</v>
      </c>
      <c r="I45" s="79">
        <v>257.2</v>
      </c>
      <c r="J45" s="79">
        <v>273.8</v>
      </c>
    </row>
    <row r="46" spans="1:11" ht="14.4" hidden="1" outlineLevel="1" x14ac:dyDescent="0.3">
      <c r="A46" s="216"/>
      <c r="B46" s="2" t="s">
        <v>191</v>
      </c>
      <c r="C46" s="79">
        <v>2.1</v>
      </c>
      <c r="D46" s="79">
        <v>2</v>
      </c>
      <c r="E46" s="79">
        <v>2.5</v>
      </c>
      <c r="F46" s="79">
        <v>2.5</v>
      </c>
      <c r="G46" s="79">
        <v>2.2999999999999998</v>
      </c>
      <c r="H46" s="79">
        <v>2</v>
      </c>
      <c r="I46" s="79">
        <v>2</v>
      </c>
      <c r="J46" s="79">
        <v>2</v>
      </c>
    </row>
    <row r="47" spans="1:11" ht="14.4" hidden="1" outlineLevel="1" x14ac:dyDescent="0.3">
      <c r="A47" s="216"/>
      <c r="B47" s="2" t="s">
        <v>192</v>
      </c>
      <c r="C47" s="79">
        <v>525.1</v>
      </c>
      <c r="D47" s="79">
        <v>575.1</v>
      </c>
      <c r="E47" s="79">
        <v>682.3</v>
      </c>
      <c r="F47" s="79">
        <v>810.9</v>
      </c>
      <c r="G47" s="79">
        <v>769.9</v>
      </c>
      <c r="H47" s="79">
        <v>785.1</v>
      </c>
      <c r="I47" s="79">
        <v>803.6</v>
      </c>
      <c r="J47" s="79">
        <v>814.9</v>
      </c>
    </row>
    <row r="48" spans="1:11" ht="14.4" hidden="1" outlineLevel="1" x14ac:dyDescent="0.3">
      <c r="A48" s="216"/>
      <c r="B48" s="2" t="s">
        <v>193</v>
      </c>
      <c r="C48" s="79">
        <v>6.1</v>
      </c>
      <c r="D48" s="79">
        <v>6.2</v>
      </c>
      <c r="E48" s="79">
        <v>8.1</v>
      </c>
      <c r="F48" s="79">
        <v>12.2</v>
      </c>
      <c r="G48" s="79">
        <v>13.9</v>
      </c>
      <c r="H48" s="79">
        <v>17.600000000000001</v>
      </c>
      <c r="I48" s="79">
        <v>21.5</v>
      </c>
      <c r="J48" s="79">
        <v>22.3</v>
      </c>
    </row>
    <row r="49" spans="1:10" ht="14.4" hidden="1" outlineLevel="1" x14ac:dyDescent="0.3">
      <c r="A49" s="216"/>
      <c r="B49" s="2" t="s">
        <v>194</v>
      </c>
      <c r="C49" s="79">
        <v>165.9</v>
      </c>
      <c r="D49" s="79">
        <v>215.2</v>
      </c>
      <c r="E49" s="79">
        <v>217.2</v>
      </c>
      <c r="F49" s="79">
        <v>219.1</v>
      </c>
      <c r="G49" s="79">
        <v>243.5</v>
      </c>
      <c r="H49" s="79">
        <v>216.4</v>
      </c>
      <c r="I49" s="79">
        <v>233.7</v>
      </c>
      <c r="J49" s="79">
        <v>249.4</v>
      </c>
    </row>
    <row r="50" spans="1:10" ht="14.4" hidden="1" outlineLevel="1" x14ac:dyDescent="0.3">
      <c r="A50" s="216"/>
      <c r="B50" s="2" t="s">
        <v>195</v>
      </c>
      <c r="C50" s="79">
        <v>38.299999999999997</v>
      </c>
      <c r="D50" s="79">
        <v>111</v>
      </c>
      <c r="E50" s="79">
        <v>178</v>
      </c>
      <c r="F50" s="79">
        <v>197.6</v>
      </c>
      <c r="G50" s="79">
        <v>106.7</v>
      </c>
      <c r="H50" s="79">
        <v>137.4</v>
      </c>
      <c r="I50" s="79">
        <v>124.9</v>
      </c>
      <c r="J50" s="79">
        <v>156.9</v>
      </c>
    </row>
    <row r="51" spans="1:10" ht="14.4" hidden="1" outlineLevel="1" x14ac:dyDescent="0.3">
      <c r="A51" s="216"/>
      <c r="B51" s="4" t="s">
        <v>196</v>
      </c>
      <c r="C51" s="79">
        <v>443.8</v>
      </c>
      <c r="D51" s="79">
        <v>636.4</v>
      </c>
      <c r="E51" s="79">
        <v>814.8</v>
      </c>
      <c r="F51" s="79">
        <v>892.7</v>
      </c>
      <c r="G51" s="79">
        <v>727.4</v>
      </c>
      <c r="H51" s="79">
        <v>559.9</v>
      </c>
      <c r="I51" s="79">
        <v>681.6</v>
      </c>
      <c r="J51" s="79">
        <v>958.4</v>
      </c>
    </row>
    <row r="52" spans="1:10" ht="14.4" hidden="1" outlineLevel="1" x14ac:dyDescent="0.3">
      <c r="A52" s="216"/>
      <c r="B52" s="2" t="s">
        <v>197</v>
      </c>
      <c r="C52" s="79">
        <v>442.5</v>
      </c>
      <c r="D52" s="79">
        <v>627.20000000000005</v>
      </c>
      <c r="E52" s="79">
        <v>812.4</v>
      </c>
      <c r="F52" s="79">
        <v>874.9</v>
      </c>
      <c r="G52" s="79">
        <v>707.6</v>
      </c>
      <c r="H52" s="79">
        <v>556.79999999999995</v>
      </c>
      <c r="I52" s="79">
        <v>669.6</v>
      </c>
      <c r="J52" s="79">
        <v>944.8</v>
      </c>
    </row>
    <row r="53" spans="1:10" ht="14.4" hidden="1" outlineLevel="1" x14ac:dyDescent="0.3">
      <c r="A53" s="216"/>
      <c r="B53" s="2" t="s">
        <v>198</v>
      </c>
      <c r="C53" s="79">
        <v>-35.299999999999997</v>
      </c>
      <c r="D53" s="79">
        <v>-65.099999999999994</v>
      </c>
      <c r="E53" s="79">
        <v>-37.4</v>
      </c>
      <c r="F53" s="79">
        <v>-19.600000000000001</v>
      </c>
      <c r="G53" s="79">
        <v>-49.6</v>
      </c>
      <c r="H53" s="79">
        <v>-219.8</v>
      </c>
      <c r="I53" s="79">
        <v>-228.4</v>
      </c>
      <c r="J53" s="79">
        <v>-20.7</v>
      </c>
    </row>
    <row r="54" spans="1:10" ht="14.4" hidden="1" outlineLevel="1" x14ac:dyDescent="0.3">
      <c r="A54" s="216"/>
      <c r="B54" s="2" t="s">
        <v>199</v>
      </c>
      <c r="C54" s="79">
        <v>180.7</v>
      </c>
      <c r="D54" s="79">
        <v>329.5</v>
      </c>
      <c r="E54" s="79">
        <v>383.6</v>
      </c>
      <c r="F54" s="79">
        <v>-478.6</v>
      </c>
      <c r="G54" s="79">
        <v>-272.8</v>
      </c>
      <c r="H54" s="79">
        <v>28.2</v>
      </c>
      <c r="I54" s="79">
        <v>180.8</v>
      </c>
      <c r="J54" s="79">
        <v>-41.2</v>
      </c>
    </row>
    <row r="55" spans="1:10" ht="14.4" collapsed="1" x14ac:dyDescent="0.3">
      <c r="A55" s="216"/>
      <c r="B55" s="216"/>
      <c r="C55" s="216"/>
      <c r="D55" s="216"/>
      <c r="E55" s="216"/>
      <c r="F55" s="216"/>
      <c r="G55" s="216"/>
      <c r="H55" s="216"/>
      <c r="I55" s="216"/>
      <c r="J55" s="216"/>
    </row>
    <row r="56" spans="1:10" ht="14.4" x14ac:dyDescent="0.3">
      <c r="B56" s="80" t="s">
        <v>920</v>
      </c>
      <c r="C56" s="69"/>
      <c r="D56" s="216"/>
    </row>
    <row r="57" spans="1:10" ht="6" customHeight="1" x14ac:dyDescent="0.3">
      <c r="B57" s="234"/>
      <c r="C57" s="136"/>
      <c r="D57" s="217"/>
      <c r="E57" s="217"/>
      <c r="F57" s="218"/>
      <c r="G57" s="218"/>
      <c r="H57" s="218"/>
      <c r="I57" s="219"/>
      <c r="J57" s="220"/>
    </row>
    <row r="58" spans="1:10" x14ac:dyDescent="0.3">
      <c r="B58" s="235" t="s">
        <v>58</v>
      </c>
      <c r="C58" s="221">
        <f>C59*1.32</f>
        <v>1188</v>
      </c>
      <c r="D58" s="217"/>
      <c r="E58" s="217"/>
      <c r="F58" s="218"/>
      <c r="G58" s="218"/>
      <c r="H58" s="218"/>
      <c r="I58" s="219"/>
      <c r="J58" s="220"/>
    </row>
    <row r="59" spans="1:10" x14ac:dyDescent="0.3">
      <c r="B59" s="235" t="s">
        <v>59</v>
      </c>
      <c r="C59" s="222">
        <v>900</v>
      </c>
      <c r="D59" s="217"/>
      <c r="E59" s="217"/>
      <c r="F59" s="218"/>
      <c r="G59" s="218"/>
      <c r="H59" s="218"/>
      <c r="I59" s="219"/>
      <c r="J59" s="220"/>
    </row>
    <row r="60" spans="1:10" x14ac:dyDescent="0.3">
      <c r="B60" s="235" t="s">
        <v>276</v>
      </c>
      <c r="C60" s="222">
        <v>144</v>
      </c>
      <c r="D60" s="217"/>
      <c r="E60" s="217"/>
      <c r="F60" s="218"/>
      <c r="G60" s="218"/>
      <c r="H60" s="218"/>
      <c r="I60" s="219"/>
      <c r="J60" s="220"/>
    </row>
    <row r="61" spans="1:10" x14ac:dyDescent="0.3">
      <c r="B61" s="235" t="s">
        <v>57</v>
      </c>
      <c r="C61" s="223">
        <v>0.02</v>
      </c>
      <c r="D61" s="217"/>
      <c r="E61" s="217"/>
      <c r="F61" s="218"/>
      <c r="G61" s="218"/>
      <c r="H61" s="218"/>
      <c r="I61" s="219"/>
      <c r="J61" s="220"/>
    </row>
    <row r="62" spans="1:10" x14ac:dyDescent="0.3">
      <c r="B62" s="235" t="s">
        <v>277</v>
      </c>
      <c r="C62" s="223">
        <v>0.02</v>
      </c>
      <c r="D62" s="217"/>
      <c r="E62" s="217"/>
      <c r="F62" s="218"/>
      <c r="G62" s="218"/>
      <c r="H62" s="218"/>
      <c r="I62" s="219"/>
      <c r="J62" s="220"/>
    </row>
    <row r="63" spans="1:10" x14ac:dyDescent="0.3">
      <c r="B63" s="235" t="s">
        <v>278</v>
      </c>
      <c r="C63" s="223">
        <v>0.21</v>
      </c>
      <c r="D63" s="217"/>
      <c r="E63" s="217"/>
      <c r="F63" s="218"/>
      <c r="G63" s="218"/>
      <c r="H63" s="218"/>
      <c r="I63" s="219"/>
      <c r="J63" s="220"/>
    </row>
    <row r="64" spans="1:10" x14ac:dyDescent="0.3">
      <c r="B64" s="235" t="s">
        <v>921</v>
      </c>
      <c r="C64" s="221">
        <f>C59-(C59-C60)*C63-C59*(C61+C62)</f>
        <v>705.24</v>
      </c>
      <c r="D64" s="217"/>
      <c r="E64" s="217"/>
      <c r="F64" s="218"/>
      <c r="G64" s="218"/>
      <c r="H64" s="218"/>
      <c r="I64" s="219"/>
      <c r="J64" s="220"/>
    </row>
    <row r="65" spans="2:11" x14ac:dyDescent="0.3">
      <c r="B65" s="235" t="s">
        <v>521</v>
      </c>
      <c r="C65" s="224">
        <f>C64/C58</f>
        <v>0.59363636363636363</v>
      </c>
      <c r="D65" s="217"/>
      <c r="E65" s="217" t="s">
        <v>212</v>
      </c>
      <c r="F65" s="218"/>
      <c r="G65" s="218"/>
      <c r="H65" s="218"/>
      <c r="I65" s="219"/>
      <c r="J65" s="220"/>
    </row>
    <row r="66" spans="2:11" x14ac:dyDescent="0.3">
      <c r="B66" s="235" t="s">
        <v>696</v>
      </c>
      <c r="C66" s="219">
        <f>C58-C59+(C59-C60)*(C62+C63)</f>
        <v>461.88</v>
      </c>
      <c r="D66" s="217"/>
      <c r="E66" s="217"/>
      <c r="F66" s="218"/>
      <c r="G66" s="218"/>
      <c r="H66" s="218"/>
      <c r="I66" s="219"/>
      <c r="J66" s="220"/>
    </row>
    <row r="67" spans="2:11" ht="14.4" x14ac:dyDescent="0.3">
      <c r="B67" s="235" t="s">
        <v>520</v>
      </c>
      <c r="C67" s="224">
        <f>C66/C58</f>
        <v>0.38878787878787879</v>
      </c>
      <c r="D67" s="216"/>
      <c r="E67" s="3" t="s">
        <v>213</v>
      </c>
      <c r="F67" s="216"/>
      <c r="G67" s="216"/>
      <c r="H67" s="216"/>
      <c r="I67" s="216"/>
      <c r="J67" s="216"/>
    </row>
    <row r="68" spans="2:11" ht="14.4" x14ac:dyDescent="0.3">
      <c r="B68" s="225"/>
      <c r="C68" s="226"/>
      <c r="D68" s="216"/>
      <c r="E68" s="216"/>
      <c r="F68" s="216"/>
      <c r="G68" s="216"/>
      <c r="H68" s="216"/>
      <c r="I68" s="216"/>
      <c r="J68" s="216"/>
    </row>
    <row r="69" spans="2:11" ht="14.4" x14ac:dyDescent="0.3">
      <c r="B69" s="225"/>
      <c r="C69" s="226"/>
      <c r="D69" s="216"/>
      <c r="E69" s="216"/>
      <c r="F69" s="216"/>
      <c r="G69" s="216"/>
      <c r="H69" s="216"/>
      <c r="I69" s="216"/>
      <c r="J69" s="216"/>
    </row>
    <row r="70" spans="2:11" ht="14.4" x14ac:dyDescent="0.3">
      <c r="B70" s="80" t="s">
        <v>922</v>
      </c>
      <c r="C70" s="69"/>
      <c r="D70" s="69"/>
      <c r="E70" s="69"/>
      <c r="F70" s="69"/>
      <c r="G70" s="69"/>
      <c r="H70" s="69"/>
      <c r="I70" s="69"/>
      <c r="J70" s="69"/>
    </row>
    <row r="72" spans="2:11" x14ac:dyDescent="0.3">
      <c r="B72" s="227"/>
      <c r="C72" s="228">
        <v>2006</v>
      </c>
      <c r="D72" s="228">
        <v>2007</v>
      </c>
      <c r="E72" s="228">
        <v>2008</v>
      </c>
      <c r="F72" s="228">
        <v>2009</v>
      </c>
      <c r="G72" s="228">
        <v>2010</v>
      </c>
      <c r="H72" s="228">
        <v>2011</v>
      </c>
      <c r="I72" s="228">
        <v>2012</v>
      </c>
      <c r="J72" s="229" t="s">
        <v>266</v>
      </c>
    </row>
    <row r="73" spans="2:11" x14ac:dyDescent="0.3">
      <c r="B73" s="66" t="s">
        <v>108</v>
      </c>
    </row>
    <row r="74" spans="2:11" x14ac:dyDescent="0.3">
      <c r="B74" s="3" t="s">
        <v>107</v>
      </c>
      <c r="C74" s="164">
        <v>10.45</v>
      </c>
      <c r="D74" s="164">
        <v>10.73</v>
      </c>
      <c r="E74" s="164">
        <v>9.82</v>
      </c>
      <c r="F74" s="164">
        <v>8.36</v>
      </c>
      <c r="G74" s="164">
        <v>8.33</v>
      </c>
      <c r="H74" s="164">
        <v>8.3800000000000008</v>
      </c>
      <c r="I74" s="164">
        <v>8.11</v>
      </c>
    </row>
    <row r="75" spans="2:11" x14ac:dyDescent="0.3">
      <c r="B75" s="168" t="s">
        <v>63</v>
      </c>
      <c r="C75" s="230">
        <v>17.329999999999998</v>
      </c>
      <c r="D75" s="230">
        <v>15.49</v>
      </c>
      <c r="E75" s="230">
        <v>9.75</v>
      </c>
      <c r="F75" s="230">
        <v>7</v>
      </c>
      <c r="G75" s="230">
        <v>7.4</v>
      </c>
      <c r="H75" s="230">
        <v>8.4700000000000006</v>
      </c>
      <c r="I75" s="230"/>
      <c r="J75" s="224">
        <v>8.5000000000000006E-2</v>
      </c>
      <c r="K75" s="3" t="s">
        <v>279</v>
      </c>
    </row>
    <row r="76" spans="2:11" x14ac:dyDescent="0.3">
      <c r="B76" s="67" t="s">
        <v>109</v>
      </c>
      <c r="C76" s="164"/>
      <c r="D76" s="164"/>
      <c r="E76" s="164"/>
      <c r="F76" s="164"/>
      <c r="G76" s="164"/>
      <c r="H76" s="164"/>
      <c r="I76" s="164"/>
      <c r="J76" s="63"/>
    </row>
    <row r="77" spans="2:11" x14ac:dyDescent="0.3">
      <c r="B77" s="3" t="s">
        <v>107</v>
      </c>
      <c r="C77" s="164">
        <v>11.02</v>
      </c>
      <c r="D77" s="164">
        <v>10.83</v>
      </c>
      <c r="E77" s="164">
        <v>11.09</v>
      </c>
      <c r="F77" s="164">
        <v>13.25</v>
      </c>
      <c r="G77" s="164">
        <v>11.86</v>
      </c>
      <c r="H77" s="164">
        <v>11.18</v>
      </c>
      <c r="I77" s="164">
        <v>10.95</v>
      </c>
      <c r="J77" s="40"/>
    </row>
    <row r="78" spans="2:11" x14ac:dyDescent="0.3">
      <c r="B78" s="168" t="s">
        <v>63</v>
      </c>
      <c r="C78" s="230">
        <v>-6.26</v>
      </c>
      <c r="D78" s="230">
        <v>-1.76</v>
      </c>
      <c r="E78" s="230">
        <v>1.94</v>
      </c>
      <c r="F78" s="230">
        <v>11.4</v>
      </c>
      <c r="G78" s="230">
        <v>6.7</v>
      </c>
      <c r="H78" s="230">
        <v>5.63</v>
      </c>
      <c r="I78" s="230"/>
      <c r="J78" s="224">
        <v>0.08</v>
      </c>
      <c r="K78" s="3" t="s">
        <v>280</v>
      </c>
    </row>
    <row r="79" spans="2:11" x14ac:dyDescent="0.3">
      <c r="B79" s="42" t="s">
        <v>95</v>
      </c>
      <c r="C79" s="164"/>
      <c r="D79" s="164"/>
      <c r="E79" s="164"/>
      <c r="F79" s="164"/>
      <c r="G79" s="164"/>
      <c r="H79" s="164"/>
      <c r="I79" s="164"/>
      <c r="J79" s="63"/>
    </row>
    <row r="80" spans="2:11" x14ac:dyDescent="0.3">
      <c r="B80" s="168" t="s">
        <v>222</v>
      </c>
      <c r="C80" s="230"/>
      <c r="D80" s="230"/>
      <c r="E80" s="230"/>
      <c r="F80" s="230"/>
      <c r="G80" s="230"/>
      <c r="H80" s="230"/>
      <c r="I80" s="230"/>
      <c r="J80" s="224">
        <f>1-J78-J75</f>
        <v>0.83500000000000008</v>
      </c>
      <c r="K80" s="3" t="s">
        <v>219</v>
      </c>
    </row>
    <row r="81" spans="2:10" x14ac:dyDescent="0.3">
      <c r="B81" s="2"/>
      <c r="C81" s="5"/>
      <c r="D81" s="5"/>
      <c r="E81" s="39"/>
    </row>
    <row r="82" spans="2:10" x14ac:dyDescent="0.3">
      <c r="B82" s="2"/>
      <c r="C82" s="5"/>
      <c r="D82" s="5"/>
      <c r="E82" s="39"/>
    </row>
    <row r="83" spans="2:10" ht="14.4" x14ac:dyDescent="0.3">
      <c r="B83" s="80" t="s">
        <v>282</v>
      </c>
      <c r="C83" s="69"/>
      <c r="D83" s="69"/>
      <c r="E83" s="69"/>
      <c r="F83" s="69"/>
      <c r="G83" s="69"/>
      <c r="H83" s="69"/>
      <c r="I83" s="69"/>
      <c r="J83" s="69"/>
    </row>
    <row r="84" spans="2:10" x14ac:dyDescent="0.3">
      <c r="B84" s="34"/>
      <c r="D84" s="35"/>
      <c r="E84" s="35"/>
      <c r="F84" s="35"/>
      <c r="G84" s="35"/>
      <c r="H84" s="35"/>
      <c r="I84" s="35"/>
    </row>
    <row r="85" spans="2:10" x14ac:dyDescent="0.3">
      <c r="B85" s="43" t="s">
        <v>64</v>
      </c>
      <c r="C85" s="36" t="s">
        <v>65</v>
      </c>
    </row>
    <row r="86" spans="2:10" x14ac:dyDescent="0.3">
      <c r="B86" s="38"/>
      <c r="C86" s="38" t="s">
        <v>27</v>
      </c>
      <c r="D86" s="38" t="s">
        <v>28</v>
      </c>
      <c r="E86" s="38" t="s">
        <v>29</v>
      </c>
      <c r="F86" s="38" t="s">
        <v>6</v>
      </c>
      <c r="G86" s="38" t="s">
        <v>30</v>
      </c>
      <c r="H86" s="38" t="s">
        <v>31</v>
      </c>
      <c r="I86" s="38" t="s">
        <v>43</v>
      </c>
    </row>
    <row r="87" spans="2:10" x14ac:dyDescent="0.3">
      <c r="B87" s="34" t="s">
        <v>62</v>
      </c>
      <c r="C87" s="41">
        <v>23600</v>
      </c>
      <c r="D87" s="41">
        <v>24900</v>
      </c>
      <c r="E87" s="41">
        <v>25000</v>
      </c>
      <c r="F87" s="41">
        <v>23400</v>
      </c>
      <c r="G87" s="41">
        <v>24400</v>
      </c>
      <c r="H87" s="41">
        <v>25100</v>
      </c>
      <c r="I87" s="41">
        <v>25500</v>
      </c>
    </row>
    <row r="88" spans="2:10" x14ac:dyDescent="0.3">
      <c r="B88" s="34" t="s">
        <v>63</v>
      </c>
      <c r="C88" s="41">
        <v>10000</v>
      </c>
      <c r="D88" s="41">
        <v>12000</v>
      </c>
      <c r="E88" s="41">
        <v>12100</v>
      </c>
      <c r="F88" s="41">
        <v>10400</v>
      </c>
      <c r="G88" s="41">
        <v>10700</v>
      </c>
      <c r="H88" s="41">
        <v>12100</v>
      </c>
      <c r="I88" s="41">
        <v>13000</v>
      </c>
    </row>
    <row r="89" spans="2:10" x14ac:dyDescent="0.3">
      <c r="B89" s="34"/>
      <c r="D89" s="35"/>
      <c r="E89" s="35"/>
      <c r="F89" s="35"/>
      <c r="G89" s="35"/>
      <c r="H89" s="35"/>
      <c r="I89" s="35"/>
    </row>
    <row r="90" spans="2:10" x14ac:dyDescent="0.3">
      <c r="B90" s="43" t="s">
        <v>68</v>
      </c>
      <c r="C90" s="36" t="s">
        <v>65</v>
      </c>
    </row>
    <row r="91" spans="2:10" x14ac:dyDescent="0.3">
      <c r="B91" s="38"/>
      <c r="C91" s="38" t="s">
        <v>27</v>
      </c>
      <c r="D91" s="38" t="s">
        <v>28</v>
      </c>
      <c r="E91" s="38" t="s">
        <v>29</v>
      </c>
      <c r="F91" s="38" t="s">
        <v>6</v>
      </c>
      <c r="G91" s="38" t="s">
        <v>30</v>
      </c>
      <c r="H91" s="38" t="s">
        <v>31</v>
      </c>
      <c r="I91" s="38" t="s">
        <v>43</v>
      </c>
    </row>
    <row r="92" spans="2:10" x14ac:dyDescent="0.3">
      <c r="B92" s="34" t="s">
        <v>62</v>
      </c>
      <c r="C92" s="41">
        <v>23600</v>
      </c>
      <c r="D92" s="41">
        <v>25000</v>
      </c>
      <c r="E92" s="41">
        <v>25000</v>
      </c>
      <c r="F92" s="41">
        <v>23500</v>
      </c>
      <c r="G92" s="41">
        <v>24400</v>
      </c>
      <c r="H92" s="41">
        <v>25100</v>
      </c>
      <c r="I92" s="41">
        <v>25600</v>
      </c>
    </row>
    <row r="93" spans="2:10" x14ac:dyDescent="0.3">
      <c r="B93" s="34" t="s">
        <v>63</v>
      </c>
      <c r="C93" s="41">
        <v>15600</v>
      </c>
      <c r="D93" s="41">
        <v>17500</v>
      </c>
      <c r="E93" s="41">
        <v>17200</v>
      </c>
      <c r="F93" s="41">
        <v>15000</v>
      </c>
      <c r="G93" s="41">
        <v>15500</v>
      </c>
      <c r="H93" s="41">
        <v>17200</v>
      </c>
      <c r="I93" s="41">
        <v>18000</v>
      </c>
    </row>
    <row r="94" spans="2:10" x14ac:dyDescent="0.3">
      <c r="B94" s="42" t="s">
        <v>335</v>
      </c>
    </row>
    <row r="95" spans="2:10" x14ac:dyDescent="0.3">
      <c r="B95" s="168" t="s">
        <v>880</v>
      </c>
      <c r="C95" s="224">
        <f t="shared" ref="C95:I95" si="3">C88/C93</f>
        <v>0.64102564102564108</v>
      </c>
      <c r="D95" s="224">
        <f t="shared" si="3"/>
        <v>0.68571428571428572</v>
      </c>
      <c r="E95" s="224">
        <f t="shared" si="3"/>
        <v>0.70348837209302328</v>
      </c>
      <c r="F95" s="224">
        <f t="shared" si="3"/>
        <v>0.69333333333333336</v>
      </c>
      <c r="G95" s="224">
        <f t="shared" si="3"/>
        <v>0.69032258064516128</v>
      </c>
      <c r="H95" s="224">
        <f t="shared" si="3"/>
        <v>0.70348837209302328</v>
      </c>
      <c r="I95" s="224">
        <f t="shared" si="3"/>
        <v>0.72222222222222221</v>
      </c>
      <c r="J95" s="213"/>
    </row>
    <row r="96" spans="2:10" x14ac:dyDescent="0.3">
      <c r="B96" s="2"/>
      <c r="C96" s="5"/>
      <c r="D96" s="5"/>
      <c r="E96" s="39"/>
    </row>
    <row r="97" spans="2:26" ht="14.4" x14ac:dyDescent="0.3"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pans="2:26" ht="14.4" x14ac:dyDescent="0.3">
      <c r="B98" s="80" t="s">
        <v>47</v>
      </c>
      <c r="C98" s="69"/>
      <c r="D98" s="69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12"/>
      <c r="R98" s="216"/>
      <c r="S98" s="216"/>
      <c r="T98" s="216"/>
      <c r="U98" s="216"/>
      <c r="V98" s="216"/>
      <c r="W98" s="216"/>
      <c r="X98" s="216"/>
      <c r="Y98" s="216"/>
      <c r="Z98" s="216"/>
    </row>
    <row r="99" spans="2:26" ht="14.4" x14ac:dyDescent="0.3">
      <c r="B99" s="4" t="s">
        <v>31</v>
      </c>
      <c r="C99" s="210"/>
      <c r="D99" s="210"/>
      <c r="E99" s="6"/>
      <c r="F99" s="6"/>
      <c r="G99" s="6"/>
      <c r="H99" s="6"/>
      <c r="I99" s="6"/>
      <c r="J99" s="6"/>
      <c r="K99" s="6"/>
      <c r="L99" s="6"/>
      <c r="M99" s="6"/>
      <c r="N99" s="6"/>
      <c r="P99" s="216"/>
      <c r="Q99" s="6"/>
      <c r="R99" s="6"/>
      <c r="S99" s="6"/>
    </row>
    <row r="100" spans="2:26" ht="14.4" x14ac:dyDescent="0.3">
      <c r="B100" s="4" t="s">
        <v>33</v>
      </c>
      <c r="C100" s="5"/>
      <c r="D100" s="5"/>
      <c r="E100" s="208"/>
      <c r="F100" s="208"/>
      <c r="G100" s="208"/>
      <c r="H100" s="208"/>
      <c r="I100" s="208"/>
      <c r="J100" s="208"/>
      <c r="K100" s="208"/>
      <c r="L100" s="208"/>
      <c r="M100" s="209"/>
      <c r="N100" s="209"/>
      <c r="P100" s="216"/>
      <c r="Q100" s="231"/>
      <c r="R100" s="232"/>
      <c r="S100" s="216"/>
    </row>
    <row r="101" spans="2:26" x14ac:dyDescent="0.3">
      <c r="B101" s="211" t="s">
        <v>180</v>
      </c>
      <c r="C101" s="3" t="s">
        <v>334</v>
      </c>
      <c r="D101" s="5">
        <v>3080325.7</v>
      </c>
      <c r="E101" s="5"/>
    </row>
    <row r="102" spans="2:26" x14ac:dyDescent="0.3">
      <c r="B102" s="211" t="s">
        <v>176</v>
      </c>
      <c r="C102" s="3" t="s">
        <v>334</v>
      </c>
      <c r="D102" s="5">
        <v>167085</v>
      </c>
    </row>
    <row r="103" spans="2:26" x14ac:dyDescent="0.3">
      <c r="B103" s="211" t="s">
        <v>179</v>
      </c>
      <c r="C103" s="3" t="s">
        <v>334</v>
      </c>
      <c r="D103" s="5">
        <v>3082480.8</v>
      </c>
    </row>
    <row r="104" spans="2:26" x14ac:dyDescent="0.3">
      <c r="B104" s="211" t="s">
        <v>177</v>
      </c>
      <c r="C104" s="3" t="s">
        <v>334</v>
      </c>
      <c r="D104" s="5">
        <v>817557.9</v>
      </c>
      <c r="E104" s="5"/>
    </row>
    <row r="105" spans="2:26" x14ac:dyDescent="0.3">
      <c r="B105" s="212" t="s">
        <v>178</v>
      </c>
      <c r="C105" s="212"/>
      <c r="D105" s="224">
        <f>D104/D101</f>
        <v>0.26541281008044049</v>
      </c>
    </row>
    <row r="106" spans="2:26" x14ac:dyDescent="0.3">
      <c r="B106" s="212" t="s">
        <v>216</v>
      </c>
      <c r="C106" s="212"/>
      <c r="D106" s="224">
        <f>D102/D104</f>
        <v>0.20437084639509934</v>
      </c>
    </row>
    <row r="107" spans="2:26" x14ac:dyDescent="0.3">
      <c r="B107" s="212" t="s">
        <v>333</v>
      </c>
      <c r="C107" s="212"/>
      <c r="D107" s="788">
        <v>0.5</v>
      </c>
      <c r="E107" s="214" t="s">
        <v>336</v>
      </c>
    </row>
    <row r="108" spans="2:26" x14ac:dyDescent="0.3">
      <c r="B108" s="42" t="s">
        <v>46</v>
      </c>
      <c r="C108" s="5"/>
      <c r="D108" s="5"/>
      <c r="E108" s="39"/>
    </row>
    <row r="109" spans="2:26" x14ac:dyDescent="0.3">
      <c r="B109" s="2"/>
      <c r="C109" s="5"/>
      <c r="D109" s="5"/>
      <c r="E109" s="39"/>
    </row>
    <row r="110" spans="2:26" x14ac:dyDescent="0.3">
      <c r="B110" s="2"/>
      <c r="C110" s="5"/>
      <c r="D110" s="5"/>
      <c r="E110" s="39"/>
    </row>
    <row r="111" spans="2:26" x14ac:dyDescent="0.3">
      <c r="B111" s="2"/>
      <c r="C111" s="5"/>
      <c r="D111" s="5"/>
      <c r="E111" s="39"/>
    </row>
  </sheetData>
  <hyperlinks>
    <hyperlink ref="A1" location="Tiitel!A1" display="Tiitel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7"/>
  <sheetViews>
    <sheetView workbookViewId="0"/>
  </sheetViews>
  <sheetFormatPr defaultColWidth="9.109375" defaultRowHeight="14.4" x14ac:dyDescent="0.3"/>
  <cols>
    <col min="1" max="1" width="5.44140625" style="1" customWidth="1"/>
    <col min="2" max="2" width="2.6640625" style="1" customWidth="1"/>
    <col min="3" max="16384" width="9.109375" style="1"/>
  </cols>
  <sheetData>
    <row r="1" spans="1:13" x14ac:dyDescent="0.3">
      <c r="A1" s="786" t="s">
        <v>338</v>
      </c>
    </row>
    <row r="2" spans="1:13" s="863" customFormat="1" ht="15.6" x14ac:dyDescent="0.3">
      <c r="A2" s="862"/>
      <c r="B2" s="868" t="s">
        <v>745</v>
      </c>
    </row>
    <row r="3" spans="1:13" s="867" customFormat="1" ht="13.8" x14ac:dyDescent="0.3">
      <c r="A3" s="866"/>
    </row>
    <row r="4" spans="1:13" x14ac:dyDescent="0.3">
      <c r="B4" s="865">
        <v>1</v>
      </c>
      <c r="C4" s="864" t="s">
        <v>746</v>
      </c>
    </row>
    <row r="5" spans="1:13" x14ac:dyDescent="0.3">
      <c r="B5" s="865">
        <v>2</v>
      </c>
      <c r="C5" s="864" t="s">
        <v>747</v>
      </c>
    </row>
    <row r="6" spans="1:13" x14ac:dyDescent="0.3">
      <c r="B6" s="865">
        <v>3</v>
      </c>
      <c r="C6" s="864" t="s">
        <v>748</v>
      </c>
    </row>
    <row r="7" spans="1:13" x14ac:dyDescent="0.3">
      <c r="B7" s="884" t="s">
        <v>754</v>
      </c>
      <c r="C7" s="883" t="s">
        <v>774</v>
      </c>
      <c r="D7" s="883"/>
      <c r="E7" s="883"/>
      <c r="F7" s="883"/>
      <c r="G7" s="883"/>
      <c r="H7" s="883"/>
      <c r="I7" s="883"/>
      <c r="J7" s="883"/>
      <c r="K7" s="883"/>
      <c r="L7" s="883"/>
      <c r="M7" s="883"/>
    </row>
  </sheetData>
  <hyperlinks>
    <hyperlink ref="A1" location="Tiitel!A1" display="Tiitel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1"/>
  <dimension ref="A1:AQ331"/>
  <sheetViews>
    <sheetView tabSelected="1" zoomScale="85" zoomScaleNormal="85" workbookViewId="0">
      <pane ySplit="2" topLeftCell="A24" activePane="bottomLeft" state="frozen"/>
      <selection pane="bottomLeft" activeCell="N41" sqref="N41"/>
    </sheetView>
  </sheetViews>
  <sheetFormatPr defaultColWidth="7.33203125" defaultRowHeight="13.8" outlineLevelRow="1" x14ac:dyDescent="0.3"/>
  <cols>
    <col min="1" max="1" width="2.44140625" style="105" customWidth="1"/>
    <col min="2" max="2" width="26.5546875" style="105" customWidth="1"/>
    <col min="3" max="3" width="8.88671875" style="105" customWidth="1"/>
    <col min="4" max="4" width="8.5546875" style="106" customWidth="1"/>
    <col min="5" max="5" width="8.88671875" style="106" customWidth="1"/>
    <col min="6" max="6" width="9" style="106" bestFit="1" customWidth="1"/>
    <col min="7" max="21" width="9.109375" style="106" customWidth="1"/>
    <col min="22" max="256" width="7.33203125" style="106"/>
    <col min="257" max="257" width="2.44140625" style="106" customWidth="1"/>
    <col min="258" max="258" width="32.109375" style="106" customWidth="1"/>
    <col min="259" max="259" width="11.44140625" style="106" customWidth="1"/>
    <col min="260" max="260" width="3.44140625" style="106" customWidth="1"/>
    <col min="261" max="261" width="23.109375" style="106" customWidth="1"/>
    <col min="262" max="277" width="11.33203125" style="106" customWidth="1"/>
    <col min="278" max="512" width="7.33203125" style="106"/>
    <col min="513" max="513" width="2.44140625" style="106" customWidth="1"/>
    <col min="514" max="514" width="32.109375" style="106" customWidth="1"/>
    <col min="515" max="515" width="11.44140625" style="106" customWidth="1"/>
    <col min="516" max="516" width="3.44140625" style="106" customWidth="1"/>
    <col min="517" max="517" width="23.109375" style="106" customWidth="1"/>
    <col min="518" max="533" width="11.33203125" style="106" customWidth="1"/>
    <col min="534" max="768" width="7.33203125" style="106"/>
    <col min="769" max="769" width="2.44140625" style="106" customWidth="1"/>
    <col min="770" max="770" width="32.109375" style="106" customWidth="1"/>
    <col min="771" max="771" width="11.44140625" style="106" customWidth="1"/>
    <col min="772" max="772" width="3.44140625" style="106" customWidth="1"/>
    <col min="773" max="773" width="23.109375" style="106" customWidth="1"/>
    <col min="774" max="789" width="11.33203125" style="106" customWidth="1"/>
    <col min="790" max="1024" width="7.33203125" style="106"/>
    <col min="1025" max="1025" width="2.44140625" style="106" customWidth="1"/>
    <col min="1026" max="1026" width="32.109375" style="106" customWidth="1"/>
    <col min="1027" max="1027" width="11.44140625" style="106" customWidth="1"/>
    <col min="1028" max="1028" width="3.44140625" style="106" customWidth="1"/>
    <col min="1029" max="1029" width="23.109375" style="106" customWidth="1"/>
    <col min="1030" max="1045" width="11.33203125" style="106" customWidth="1"/>
    <col min="1046" max="1280" width="7.33203125" style="106"/>
    <col min="1281" max="1281" width="2.44140625" style="106" customWidth="1"/>
    <col min="1282" max="1282" width="32.109375" style="106" customWidth="1"/>
    <col min="1283" max="1283" width="11.44140625" style="106" customWidth="1"/>
    <col min="1284" max="1284" width="3.44140625" style="106" customWidth="1"/>
    <col min="1285" max="1285" width="23.109375" style="106" customWidth="1"/>
    <col min="1286" max="1301" width="11.33203125" style="106" customWidth="1"/>
    <col min="1302" max="1536" width="7.33203125" style="106"/>
    <col min="1537" max="1537" width="2.44140625" style="106" customWidth="1"/>
    <col min="1538" max="1538" width="32.109375" style="106" customWidth="1"/>
    <col min="1539" max="1539" width="11.44140625" style="106" customWidth="1"/>
    <col min="1540" max="1540" width="3.44140625" style="106" customWidth="1"/>
    <col min="1541" max="1541" width="23.109375" style="106" customWidth="1"/>
    <col min="1542" max="1557" width="11.33203125" style="106" customWidth="1"/>
    <col min="1558" max="1792" width="7.33203125" style="106"/>
    <col min="1793" max="1793" width="2.44140625" style="106" customWidth="1"/>
    <col min="1794" max="1794" width="32.109375" style="106" customWidth="1"/>
    <col min="1795" max="1795" width="11.44140625" style="106" customWidth="1"/>
    <col min="1796" max="1796" width="3.44140625" style="106" customWidth="1"/>
    <col min="1797" max="1797" width="23.109375" style="106" customWidth="1"/>
    <col min="1798" max="1813" width="11.33203125" style="106" customWidth="1"/>
    <col min="1814" max="2048" width="7.33203125" style="106"/>
    <col min="2049" max="2049" width="2.44140625" style="106" customWidth="1"/>
    <col min="2050" max="2050" width="32.109375" style="106" customWidth="1"/>
    <col min="2051" max="2051" width="11.44140625" style="106" customWidth="1"/>
    <col min="2052" max="2052" width="3.44140625" style="106" customWidth="1"/>
    <col min="2053" max="2053" width="23.109375" style="106" customWidth="1"/>
    <col min="2054" max="2069" width="11.33203125" style="106" customWidth="1"/>
    <col min="2070" max="2304" width="7.33203125" style="106"/>
    <col min="2305" max="2305" width="2.44140625" style="106" customWidth="1"/>
    <col min="2306" max="2306" width="32.109375" style="106" customWidth="1"/>
    <col min="2307" max="2307" width="11.44140625" style="106" customWidth="1"/>
    <col min="2308" max="2308" width="3.44140625" style="106" customWidth="1"/>
    <col min="2309" max="2309" width="23.109375" style="106" customWidth="1"/>
    <col min="2310" max="2325" width="11.33203125" style="106" customWidth="1"/>
    <col min="2326" max="2560" width="7.33203125" style="106"/>
    <col min="2561" max="2561" width="2.44140625" style="106" customWidth="1"/>
    <col min="2562" max="2562" width="32.109375" style="106" customWidth="1"/>
    <col min="2563" max="2563" width="11.44140625" style="106" customWidth="1"/>
    <col min="2564" max="2564" width="3.44140625" style="106" customWidth="1"/>
    <col min="2565" max="2565" width="23.109375" style="106" customWidth="1"/>
    <col min="2566" max="2581" width="11.33203125" style="106" customWidth="1"/>
    <col min="2582" max="2816" width="7.33203125" style="106"/>
    <col min="2817" max="2817" width="2.44140625" style="106" customWidth="1"/>
    <col min="2818" max="2818" width="32.109375" style="106" customWidth="1"/>
    <col min="2819" max="2819" width="11.44140625" style="106" customWidth="1"/>
    <col min="2820" max="2820" width="3.44140625" style="106" customWidth="1"/>
    <col min="2821" max="2821" width="23.109375" style="106" customWidth="1"/>
    <col min="2822" max="2837" width="11.33203125" style="106" customWidth="1"/>
    <col min="2838" max="3072" width="7.33203125" style="106"/>
    <col min="3073" max="3073" width="2.44140625" style="106" customWidth="1"/>
    <col min="3074" max="3074" width="32.109375" style="106" customWidth="1"/>
    <col min="3075" max="3075" width="11.44140625" style="106" customWidth="1"/>
    <col min="3076" max="3076" width="3.44140625" style="106" customWidth="1"/>
    <col min="3077" max="3077" width="23.109375" style="106" customWidth="1"/>
    <col min="3078" max="3093" width="11.33203125" style="106" customWidth="1"/>
    <col min="3094" max="3328" width="7.33203125" style="106"/>
    <col min="3329" max="3329" width="2.44140625" style="106" customWidth="1"/>
    <col min="3330" max="3330" width="32.109375" style="106" customWidth="1"/>
    <col min="3331" max="3331" width="11.44140625" style="106" customWidth="1"/>
    <col min="3332" max="3332" width="3.44140625" style="106" customWidth="1"/>
    <col min="3333" max="3333" width="23.109375" style="106" customWidth="1"/>
    <col min="3334" max="3349" width="11.33203125" style="106" customWidth="1"/>
    <col min="3350" max="3584" width="7.33203125" style="106"/>
    <col min="3585" max="3585" width="2.44140625" style="106" customWidth="1"/>
    <col min="3586" max="3586" width="32.109375" style="106" customWidth="1"/>
    <col min="3587" max="3587" width="11.44140625" style="106" customWidth="1"/>
    <col min="3588" max="3588" width="3.44140625" style="106" customWidth="1"/>
    <col min="3589" max="3589" width="23.109375" style="106" customWidth="1"/>
    <col min="3590" max="3605" width="11.33203125" style="106" customWidth="1"/>
    <col min="3606" max="3840" width="7.33203125" style="106"/>
    <col min="3841" max="3841" width="2.44140625" style="106" customWidth="1"/>
    <col min="3842" max="3842" width="32.109375" style="106" customWidth="1"/>
    <col min="3843" max="3843" width="11.44140625" style="106" customWidth="1"/>
    <col min="3844" max="3844" width="3.44140625" style="106" customWidth="1"/>
    <col min="3845" max="3845" width="23.109375" style="106" customWidth="1"/>
    <col min="3846" max="3861" width="11.33203125" style="106" customWidth="1"/>
    <col min="3862" max="4096" width="7.33203125" style="106"/>
    <col min="4097" max="4097" width="2.44140625" style="106" customWidth="1"/>
    <col min="4098" max="4098" width="32.109375" style="106" customWidth="1"/>
    <col min="4099" max="4099" width="11.44140625" style="106" customWidth="1"/>
    <col min="4100" max="4100" width="3.44140625" style="106" customWidth="1"/>
    <col min="4101" max="4101" width="23.109375" style="106" customWidth="1"/>
    <col min="4102" max="4117" width="11.33203125" style="106" customWidth="1"/>
    <col min="4118" max="4352" width="7.33203125" style="106"/>
    <col min="4353" max="4353" width="2.44140625" style="106" customWidth="1"/>
    <col min="4354" max="4354" width="32.109375" style="106" customWidth="1"/>
    <col min="4355" max="4355" width="11.44140625" style="106" customWidth="1"/>
    <col min="4356" max="4356" width="3.44140625" style="106" customWidth="1"/>
    <col min="4357" max="4357" width="23.109375" style="106" customWidth="1"/>
    <col min="4358" max="4373" width="11.33203125" style="106" customWidth="1"/>
    <col min="4374" max="4608" width="7.33203125" style="106"/>
    <col min="4609" max="4609" width="2.44140625" style="106" customWidth="1"/>
    <col min="4610" max="4610" width="32.109375" style="106" customWidth="1"/>
    <col min="4611" max="4611" width="11.44140625" style="106" customWidth="1"/>
    <col min="4612" max="4612" width="3.44140625" style="106" customWidth="1"/>
    <col min="4613" max="4613" width="23.109375" style="106" customWidth="1"/>
    <col min="4614" max="4629" width="11.33203125" style="106" customWidth="1"/>
    <col min="4630" max="4864" width="7.33203125" style="106"/>
    <col min="4865" max="4865" width="2.44140625" style="106" customWidth="1"/>
    <col min="4866" max="4866" width="32.109375" style="106" customWidth="1"/>
    <col min="4867" max="4867" width="11.44140625" style="106" customWidth="1"/>
    <col min="4868" max="4868" width="3.44140625" style="106" customWidth="1"/>
    <col min="4869" max="4869" width="23.109375" style="106" customWidth="1"/>
    <col min="4870" max="4885" width="11.33203125" style="106" customWidth="1"/>
    <col min="4886" max="5120" width="7.33203125" style="106"/>
    <col min="5121" max="5121" width="2.44140625" style="106" customWidth="1"/>
    <col min="5122" max="5122" width="32.109375" style="106" customWidth="1"/>
    <col min="5123" max="5123" width="11.44140625" style="106" customWidth="1"/>
    <col min="5124" max="5124" width="3.44140625" style="106" customWidth="1"/>
    <col min="5125" max="5125" width="23.109375" style="106" customWidth="1"/>
    <col min="5126" max="5141" width="11.33203125" style="106" customWidth="1"/>
    <col min="5142" max="5376" width="7.33203125" style="106"/>
    <col min="5377" max="5377" width="2.44140625" style="106" customWidth="1"/>
    <col min="5378" max="5378" width="32.109375" style="106" customWidth="1"/>
    <col min="5379" max="5379" width="11.44140625" style="106" customWidth="1"/>
    <col min="5380" max="5380" width="3.44140625" style="106" customWidth="1"/>
    <col min="5381" max="5381" width="23.109375" style="106" customWidth="1"/>
    <col min="5382" max="5397" width="11.33203125" style="106" customWidth="1"/>
    <col min="5398" max="5632" width="7.33203125" style="106"/>
    <col min="5633" max="5633" width="2.44140625" style="106" customWidth="1"/>
    <col min="5634" max="5634" width="32.109375" style="106" customWidth="1"/>
    <col min="5635" max="5635" width="11.44140625" style="106" customWidth="1"/>
    <col min="5636" max="5636" width="3.44140625" style="106" customWidth="1"/>
    <col min="5637" max="5637" width="23.109375" style="106" customWidth="1"/>
    <col min="5638" max="5653" width="11.33203125" style="106" customWidth="1"/>
    <col min="5654" max="5888" width="7.33203125" style="106"/>
    <col min="5889" max="5889" width="2.44140625" style="106" customWidth="1"/>
    <col min="5890" max="5890" width="32.109375" style="106" customWidth="1"/>
    <col min="5891" max="5891" width="11.44140625" style="106" customWidth="1"/>
    <col min="5892" max="5892" width="3.44140625" style="106" customWidth="1"/>
    <col min="5893" max="5893" width="23.109375" style="106" customWidth="1"/>
    <col min="5894" max="5909" width="11.33203125" style="106" customWidth="1"/>
    <col min="5910" max="6144" width="7.33203125" style="106"/>
    <col min="6145" max="6145" width="2.44140625" style="106" customWidth="1"/>
    <col min="6146" max="6146" width="32.109375" style="106" customWidth="1"/>
    <col min="6147" max="6147" width="11.44140625" style="106" customWidth="1"/>
    <col min="6148" max="6148" width="3.44140625" style="106" customWidth="1"/>
    <col min="6149" max="6149" width="23.109375" style="106" customWidth="1"/>
    <col min="6150" max="6165" width="11.33203125" style="106" customWidth="1"/>
    <col min="6166" max="6400" width="7.33203125" style="106"/>
    <col min="6401" max="6401" width="2.44140625" style="106" customWidth="1"/>
    <col min="6402" max="6402" width="32.109375" style="106" customWidth="1"/>
    <col min="6403" max="6403" width="11.44140625" style="106" customWidth="1"/>
    <col min="6404" max="6404" width="3.44140625" style="106" customWidth="1"/>
    <col min="6405" max="6405" width="23.109375" style="106" customWidth="1"/>
    <col min="6406" max="6421" width="11.33203125" style="106" customWidth="1"/>
    <col min="6422" max="6656" width="7.33203125" style="106"/>
    <col min="6657" max="6657" width="2.44140625" style="106" customWidth="1"/>
    <col min="6658" max="6658" width="32.109375" style="106" customWidth="1"/>
    <col min="6659" max="6659" width="11.44140625" style="106" customWidth="1"/>
    <col min="6660" max="6660" width="3.44140625" style="106" customWidth="1"/>
    <col min="6661" max="6661" width="23.109375" style="106" customWidth="1"/>
    <col min="6662" max="6677" width="11.33203125" style="106" customWidth="1"/>
    <col min="6678" max="6912" width="7.33203125" style="106"/>
    <col min="6913" max="6913" width="2.44140625" style="106" customWidth="1"/>
    <col min="6914" max="6914" width="32.109375" style="106" customWidth="1"/>
    <col min="6915" max="6915" width="11.44140625" style="106" customWidth="1"/>
    <col min="6916" max="6916" width="3.44140625" style="106" customWidth="1"/>
    <col min="6917" max="6917" width="23.109375" style="106" customWidth="1"/>
    <col min="6918" max="6933" width="11.33203125" style="106" customWidth="1"/>
    <col min="6934" max="7168" width="7.33203125" style="106"/>
    <col min="7169" max="7169" width="2.44140625" style="106" customWidth="1"/>
    <col min="7170" max="7170" width="32.109375" style="106" customWidth="1"/>
    <col min="7171" max="7171" width="11.44140625" style="106" customWidth="1"/>
    <col min="7172" max="7172" width="3.44140625" style="106" customWidth="1"/>
    <col min="7173" max="7173" width="23.109375" style="106" customWidth="1"/>
    <col min="7174" max="7189" width="11.33203125" style="106" customWidth="1"/>
    <col min="7190" max="7424" width="7.33203125" style="106"/>
    <col min="7425" max="7425" width="2.44140625" style="106" customWidth="1"/>
    <col min="7426" max="7426" width="32.109375" style="106" customWidth="1"/>
    <col min="7427" max="7427" width="11.44140625" style="106" customWidth="1"/>
    <col min="7428" max="7428" width="3.44140625" style="106" customWidth="1"/>
    <col min="7429" max="7429" width="23.109375" style="106" customWidth="1"/>
    <col min="7430" max="7445" width="11.33203125" style="106" customWidth="1"/>
    <col min="7446" max="7680" width="7.33203125" style="106"/>
    <col min="7681" max="7681" width="2.44140625" style="106" customWidth="1"/>
    <col min="7682" max="7682" width="32.109375" style="106" customWidth="1"/>
    <col min="7683" max="7683" width="11.44140625" style="106" customWidth="1"/>
    <col min="7684" max="7684" width="3.44140625" style="106" customWidth="1"/>
    <col min="7685" max="7685" width="23.109375" style="106" customWidth="1"/>
    <col min="7686" max="7701" width="11.33203125" style="106" customWidth="1"/>
    <col min="7702" max="7936" width="7.33203125" style="106"/>
    <col min="7937" max="7937" width="2.44140625" style="106" customWidth="1"/>
    <col min="7938" max="7938" width="32.109375" style="106" customWidth="1"/>
    <col min="7939" max="7939" width="11.44140625" style="106" customWidth="1"/>
    <col min="7940" max="7940" width="3.44140625" style="106" customWidth="1"/>
    <col min="7941" max="7941" width="23.109375" style="106" customWidth="1"/>
    <col min="7942" max="7957" width="11.33203125" style="106" customWidth="1"/>
    <col min="7958" max="8192" width="7.33203125" style="106"/>
    <col min="8193" max="8193" width="2.44140625" style="106" customWidth="1"/>
    <col min="8194" max="8194" width="32.109375" style="106" customWidth="1"/>
    <col min="8195" max="8195" width="11.44140625" style="106" customWidth="1"/>
    <col min="8196" max="8196" width="3.44140625" style="106" customWidth="1"/>
    <col min="8197" max="8197" width="23.109375" style="106" customWidth="1"/>
    <col min="8198" max="8213" width="11.33203125" style="106" customWidth="1"/>
    <col min="8214" max="8448" width="7.33203125" style="106"/>
    <col min="8449" max="8449" width="2.44140625" style="106" customWidth="1"/>
    <col min="8450" max="8450" width="32.109375" style="106" customWidth="1"/>
    <col min="8451" max="8451" width="11.44140625" style="106" customWidth="1"/>
    <col min="8452" max="8452" width="3.44140625" style="106" customWidth="1"/>
    <col min="8453" max="8453" width="23.109375" style="106" customWidth="1"/>
    <col min="8454" max="8469" width="11.33203125" style="106" customWidth="1"/>
    <col min="8470" max="8704" width="7.33203125" style="106"/>
    <col min="8705" max="8705" width="2.44140625" style="106" customWidth="1"/>
    <col min="8706" max="8706" width="32.109375" style="106" customWidth="1"/>
    <col min="8707" max="8707" width="11.44140625" style="106" customWidth="1"/>
    <col min="8708" max="8708" width="3.44140625" style="106" customWidth="1"/>
    <col min="8709" max="8709" width="23.109375" style="106" customWidth="1"/>
    <col min="8710" max="8725" width="11.33203125" style="106" customWidth="1"/>
    <col min="8726" max="8960" width="7.33203125" style="106"/>
    <col min="8961" max="8961" width="2.44140625" style="106" customWidth="1"/>
    <col min="8962" max="8962" width="32.109375" style="106" customWidth="1"/>
    <col min="8963" max="8963" width="11.44140625" style="106" customWidth="1"/>
    <col min="8964" max="8964" width="3.44140625" style="106" customWidth="1"/>
    <col min="8965" max="8965" width="23.109375" style="106" customWidth="1"/>
    <col min="8966" max="8981" width="11.33203125" style="106" customWidth="1"/>
    <col min="8982" max="9216" width="7.33203125" style="106"/>
    <col min="9217" max="9217" width="2.44140625" style="106" customWidth="1"/>
    <col min="9218" max="9218" width="32.109375" style="106" customWidth="1"/>
    <col min="9219" max="9219" width="11.44140625" style="106" customWidth="1"/>
    <col min="9220" max="9220" width="3.44140625" style="106" customWidth="1"/>
    <col min="9221" max="9221" width="23.109375" style="106" customWidth="1"/>
    <col min="9222" max="9237" width="11.33203125" style="106" customWidth="1"/>
    <col min="9238" max="9472" width="7.33203125" style="106"/>
    <col min="9473" max="9473" width="2.44140625" style="106" customWidth="1"/>
    <col min="9474" max="9474" width="32.109375" style="106" customWidth="1"/>
    <col min="9475" max="9475" width="11.44140625" style="106" customWidth="1"/>
    <col min="9476" max="9476" width="3.44140625" style="106" customWidth="1"/>
    <col min="9477" max="9477" width="23.109375" style="106" customWidth="1"/>
    <col min="9478" max="9493" width="11.33203125" style="106" customWidth="1"/>
    <col min="9494" max="9728" width="7.33203125" style="106"/>
    <col min="9729" max="9729" width="2.44140625" style="106" customWidth="1"/>
    <col min="9730" max="9730" width="32.109375" style="106" customWidth="1"/>
    <col min="9731" max="9731" width="11.44140625" style="106" customWidth="1"/>
    <col min="9732" max="9732" width="3.44140625" style="106" customWidth="1"/>
    <col min="9733" max="9733" width="23.109375" style="106" customWidth="1"/>
    <col min="9734" max="9749" width="11.33203125" style="106" customWidth="1"/>
    <col min="9750" max="9984" width="7.33203125" style="106"/>
    <col min="9985" max="9985" width="2.44140625" style="106" customWidth="1"/>
    <col min="9986" max="9986" width="32.109375" style="106" customWidth="1"/>
    <col min="9987" max="9987" width="11.44140625" style="106" customWidth="1"/>
    <col min="9988" max="9988" width="3.44140625" style="106" customWidth="1"/>
    <col min="9989" max="9989" width="23.109375" style="106" customWidth="1"/>
    <col min="9990" max="10005" width="11.33203125" style="106" customWidth="1"/>
    <col min="10006" max="10240" width="7.33203125" style="106"/>
    <col min="10241" max="10241" width="2.44140625" style="106" customWidth="1"/>
    <col min="10242" max="10242" width="32.109375" style="106" customWidth="1"/>
    <col min="10243" max="10243" width="11.44140625" style="106" customWidth="1"/>
    <col min="10244" max="10244" width="3.44140625" style="106" customWidth="1"/>
    <col min="10245" max="10245" width="23.109375" style="106" customWidth="1"/>
    <col min="10246" max="10261" width="11.33203125" style="106" customWidth="1"/>
    <col min="10262" max="10496" width="7.33203125" style="106"/>
    <col min="10497" max="10497" width="2.44140625" style="106" customWidth="1"/>
    <col min="10498" max="10498" width="32.109375" style="106" customWidth="1"/>
    <col min="10499" max="10499" width="11.44140625" style="106" customWidth="1"/>
    <col min="10500" max="10500" width="3.44140625" style="106" customWidth="1"/>
    <col min="10501" max="10501" width="23.109375" style="106" customWidth="1"/>
    <col min="10502" max="10517" width="11.33203125" style="106" customWidth="1"/>
    <col min="10518" max="10752" width="7.33203125" style="106"/>
    <col min="10753" max="10753" width="2.44140625" style="106" customWidth="1"/>
    <col min="10754" max="10754" width="32.109375" style="106" customWidth="1"/>
    <col min="10755" max="10755" width="11.44140625" style="106" customWidth="1"/>
    <col min="10756" max="10756" width="3.44140625" style="106" customWidth="1"/>
    <col min="10757" max="10757" width="23.109375" style="106" customWidth="1"/>
    <col min="10758" max="10773" width="11.33203125" style="106" customWidth="1"/>
    <col min="10774" max="11008" width="7.33203125" style="106"/>
    <col min="11009" max="11009" width="2.44140625" style="106" customWidth="1"/>
    <col min="11010" max="11010" width="32.109375" style="106" customWidth="1"/>
    <col min="11011" max="11011" width="11.44140625" style="106" customWidth="1"/>
    <col min="11012" max="11012" width="3.44140625" style="106" customWidth="1"/>
    <col min="11013" max="11013" width="23.109375" style="106" customWidth="1"/>
    <col min="11014" max="11029" width="11.33203125" style="106" customWidth="1"/>
    <col min="11030" max="11264" width="7.33203125" style="106"/>
    <col min="11265" max="11265" width="2.44140625" style="106" customWidth="1"/>
    <col min="11266" max="11266" width="32.109375" style="106" customWidth="1"/>
    <col min="11267" max="11267" width="11.44140625" style="106" customWidth="1"/>
    <col min="11268" max="11268" width="3.44140625" style="106" customWidth="1"/>
    <col min="11269" max="11269" width="23.109375" style="106" customWidth="1"/>
    <col min="11270" max="11285" width="11.33203125" style="106" customWidth="1"/>
    <col min="11286" max="11520" width="7.33203125" style="106"/>
    <col min="11521" max="11521" width="2.44140625" style="106" customWidth="1"/>
    <col min="11522" max="11522" width="32.109375" style="106" customWidth="1"/>
    <col min="11523" max="11523" width="11.44140625" style="106" customWidth="1"/>
    <col min="11524" max="11524" width="3.44140625" style="106" customWidth="1"/>
    <col min="11525" max="11525" width="23.109375" style="106" customWidth="1"/>
    <col min="11526" max="11541" width="11.33203125" style="106" customWidth="1"/>
    <col min="11542" max="11776" width="7.33203125" style="106"/>
    <col min="11777" max="11777" width="2.44140625" style="106" customWidth="1"/>
    <col min="11778" max="11778" width="32.109375" style="106" customWidth="1"/>
    <col min="11779" max="11779" width="11.44140625" style="106" customWidth="1"/>
    <col min="11780" max="11780" width="3.44140625" style="106" customWidth="1"/>
    <col min="11781" max="11781" width="23.109375" style="106" customWidth="1"/>
    <col min="11782" max="11797" width="11.33203125" style="106" customWidth="1"/>
    <col min="11798" max="12032" width="7.33203125" style="106"/>
    <col min="12033" max="12033" width="2.44140625" style="106" customWidth="1"/>
    <col min="12034" max="12034" width="32.109375" style="106" customWidth="1"/>
    <col min="12035" max="12035" width="11.44140625" style="106" customWidth="1"/>
    <col min="12036" max="12036" width="3.44140625" style="106" customWidth="1"/>
    <col min="12037" max="12037" width="23.109375" style="106" customWidth="1"/>
    <col min="12038" max="12053" width="11.33203125" style="106" customWidth="1"/>
    <col min="12054" max="12288" width="7.33203125" style="106"/>
    <col min="12289" max="12289" width="2.44140625" style="106" customWidth="1"/>
    <col min="12290" max="12290" width="32.109375" style="106" customWidth="1"/>
    <col min="12291" max="12291" width="11.44140625" style="106" customWidth="1"/>
    <col min="12292" max="12292" width="3.44140625" style="106" customWidth="1"/>
    <col min="12293" max="12293" width="23.109375" style="106" customWidth="1"/>
    <col min="12294" max="12309" width="11.33203125" style="106" customWidth="1"/>
    <col min="12310" max="12544" width="7.33203125" style="106"/>
    <col min="12545" max="12545" width="2.44140625" style="106" customWidth="1"/>
    <col min="12546" max="12546" width="32.109375" style="106" customWidth="1"/>
    <col min="12547" max="12547" width="11.44140625" style="106" customWidth="1"/>
    <col min="12548" max="12548" width="3.44140625" style="106" customWidth="1"/>
    <col min="12549" max="12549" width="23.109375" style="106" customWidth="1"/>
    <col min="12550" max="12565" width="11.33203125" style="106" customWidth="1"/>
    <col min="12566" max="12800" width="7.33203125" style="106"/>
    <col min="12801" max="12801" width="2.44140625" style="106" customWidth="1"/>
    <col min="12802" max="12802" width="32.109375" style="106" customWidth="1"/>
    <col min="12803" max="12803" width="11.44140625" style="106" customWidth="1"/>
    <col min="12804" max="12804" width="3.44140625" style="106" customWidth="1"/>
    <col min="12805" max="12805" width="23.109375" style="106" customWidth="1"/>
    <col min="12806" max="12821" width="11.33203125" style="106" customWidth="1"/>
    <col min="12822" max="13056" width="7.33203125" style="106"/>
    <col min="13057" max="13057" width="2.44140625" style="106" customWidth="1"/>
    <col min="13058" max="13058" width="32.109375" style="106" customWidth="1"/>
    <col min="13059" max="13059" width="11.44140625" style="106" customWidth="1"/>
    <col min="13060" max="13060" width="3.44140625" style="106" customWidth="1"/>
    <col min="13061" max="13061" width="23.109375" style="106" customWidth="1"/>
    <col min="13062" max="13077" width="11.33203125" style="106" customWidth="1"/>
    <col min="13078" max="13312" width="7.33203125" style="106"/>
    <col min="13313" max="13313" width="2.44140625" style="106" customWidth="1"/>
    <col min="13314" max="13314" width="32.109375" style="106" customWidth="1"/>
    <col min="13315" max="13315" width="11.44140625" style="106" customWidth="1"/>
    <col min="13316" max="13316" width="3.44140625" style="106" customWidth="1"/>
    <col min="13317" max="13317" width="23.109375" style="106" customWidth="1"/>
    <col min="13318" max="13333" width="11.33203125" style="106" customWidth="1"/>
    <col min="13334" max="13568" width="7.33203125" style="106"/>
    <col min="13569" max="13569" width="2.44140625" style="106" customWidth="1"/>
    <col min="13570" max="13570" width="32.109375" style="106" customWidth="1"/>
    <col min="13571" max="13571" width="11.44140625" style="106" customWidth="1"/>
    <col min="13572" max="13572" width="3.44140625" style="106" customWidth="1"/>
    <col min="13573" max="13573" width="23.109375" style="106" customWidth="1"/>
    <col min="13574" max="13589" width="11.33203125" style="106" customWidth="1"/>
    <col min="13590" max="13824" width="7.33203125" style="106"/>
    <col min="13825" max="13825" width="2.44140625" style="106" customWidth="1"/>
    <col min="13826" max="13826" width="32.109375" style="106" customWidth="1"/>
    <col min="13827" max="13827" width="11.44140625" style="106" customWidth="1"/>
    <col min="13828" max="13828" width="3.44140625" style="106" customWidth="1"/>
    <col min="13829" max="13829" width="23.109375" style="106" customWidth="1"/>
    <col min="13830" max="13845" width="11.33203125" style="106" customWidth="1"/>
    <col min="13846" max="14080" width="7.33203125" style="106"/>
    <col min="14081" max="14081" width="2.44140625" style="106" customWidth="1"/>
    <col min="14082" max="14082" width="32.109375" style="106" customWidth="1"/>
    <col min="14083" max="14083" width="11.44140625" style="106" customWidth="1"/>
    <col min="14084" max="14084" width="3.44140625" style="106" customWidth="1"/>
    <col min="14085" max="14085" width="23.109375" style="106" customWidth="1"/>
    <col min="14086" max="14101" width="11.33203125" style="106" customWidth="1"/>
    <col min="14102" max="14336" width="7.33203125" style="106"/>
    <col min="14337" max="14337" width="2.44140625" style="106" customWidth="1"/>
    <col min="14338" max="14338" width="32.109375" style="106" customWidth="1"/>
    <col min="14339" max="14339" width="11.44140625" style="106" customWidth="1"/>
    <col min="14340" max="14340" width="3.44140625" style="106" customWidth="1"/>
    <col min="14341" max="14341" width="23.109375" style="106" customWidth="1"/>
    <col min="14342" max="14357" width="11.33203125" style="106" customWidth="1"/>
    <col min="14358" max="14592" width="7.33203125" style="106"/>
    <col min="14593" max="14593" width="2.44140625" style="106" customWidth="1"/>
    <col min="14594" max="14594" width="32.109375" style="106" customWidth="1"/>
    <col min="14595" max="14595" width="11.44140625" style="106" customWidth="1"/>
    <col min="14596" max="14596" width="3.44140625" style="106" customWidth="1"/>
    <col min="14597" max="14597" width="23.109375" style="106" customWidth="1"/>
    <col min="14598" max="14613" width="11.33203125" style="106" customWidth="1"/>
    <col min="14614" max="14848" width="7.33203125" style="106"/>
    <col min="14849" max="14849" width="2.44140625" style="106" customWidth="1"/>
    <col min="14850" max="14850" width="32.109375" style="106" customWidth="1"/>
    <col min="14851" max="14851" width="11.44140625" style="106" customWidth="1"/>
    <col min="14852" max="14852" width="3.44140625" style="106" customWidth="1"/>
    <col min="14853" max="14853" width="23.109375" style="106" customWidth="1"/>
    <col min="14854" max="14869" width="11.33203125" style="106" customWidth="1"/>
    <col min="14870" max="15104" width="7.33203125" style="106"/>
    <col min="15105" max="15105" width="2.44140625" style="106" customWidth="1"/>
    <col min="15106" max="15106" width="32.109375" style="106" customWidth="1"/>
    <col min="15107" max="15107" width="11.44140625" style="106" customWidth="1"/>
    <col min="15108" max="15108" width="3.44140625" style="106" customWidth="1"/>
    <col min="15109" max="15109" width="23.109375" style="106" customWidth="1"/>
    <col min="15110" max="15125" width="11.33203125" style="106" customWidth="1"/>
    <col min="15126" max="15360" width="7.33203125" style="106"/>
    <col min="15361" max="15361" width="2.44140625" style="106" customWidth="1"/>
    <col min="15362" max="15362" width="32.109375" style="106" customWidth="1"/>
    <col min="15363" max="15363" width="11.44140625" style="106" customWidth="1"/>
    <col min="15364" max="15364" width="3.44140625" style="106" customWidth="1"/>
    <col min="15365" max="15365" width="23.109375" style="106" customWidth="1"/>
    <col min="15366" max="15381" width="11.33203125" style="106" customWidth="1"/>
    <col min="15382" max="15616" width="7.33203125" style="106"/>
    <col min="15617" max="15617" width="2.44140625" style="106" customWidth="1"/>
    <col min="15618" max="15618" width="32.109375" style="106" customWidth="1"/>
    <col min="15619" max="15619" width="11.44140625" style="106" customWidth="1"/>
    <col min="15620" max="15620" width="3.44140625" style="106" customWidth="1"/>
    <col min="15621" max="15621" width="23.109375" style="106" customWidth="1"/>
    <col min="15622" max="15637" width="11.33203125" style="106" customWidth="1"/>
    <col min="15638" max="15872" width="7.33203125" style="106"/>
    <col min="15873" max="15873" width="2.44140625" style="106" customWidth="1"/>
    <col min="15874" max="15874" width="32.109375" style="106" customWidth="1"/>
    <col min="15875" max="15875" width="11.44140625" style="106" customWidth="1"/>
    <col min="15876" max="15876" width="3.44140625" style="106" customWidth="1"/>
    <col min="15877" max="15877" width="23.109375" style="106" customWidth="1"/>
    <col min="15878" max="15893" width="11.33203125" style="106" customWidth="1"/>
    <col min="15894" max="16128" width="7.33203125" style="106"/>
    <col min="16129" max="16129" width="2.44140625" style="106" customWidth="1"/>
    <col min="16130" max="16130" width="32.109375" style="106" customWidth="1"/>
    <col min="16131" max="16131" width="11.44140625" style="106" customWidth="1"/>
    <col min="16132" max="16132" width="3.44140625" style="106" customWidth="1"/>
    <col min="16133" max="16133" width="23.109375" style="106" customWidth="1"/>
    <col min="16134" max="16149" width="11.33203125" style="106" customWidth="1"/>
    <col min="16150" max="16384" width="7.33203125" style="106"/>
  </cols>
  <sheetData>
    <row r="1" spans="1:18" x14ac:dyDescent="0.3">
      <c r="A1" s="294" t="s">
        <v>740</v>
      </c>
    </row>
    <row r="2" spans="1:18" ht="17.399999999999999" x14ac:dyDescent="0.3">
      <c r="A2" s="105">
        <v>1</v>
      </c>
      <c r="B2" s="237" t="s">
        <v>328</v>
      </c>
    </row>
    <row r="3" spans="1:18" ht="17.399999999999999" x14ac:dyDescent="0.3">
      <c r="B3" s="237"/>
    </row>
    <row r="4" spans="1:18" x14ac:dyDescent="0.3">
      <c r="B4" s="293"/>
      <c r="K4" s="1056" t="s">
        <v>48</v>
      </c>
      <c r="L4" s="1057"/>
      <c r="M4" s="1058"/>
    </row>
    <row r="5" spans="1:18" ht="15" customHeight="1" x14ac:dyDescent="0.3">
      <c r="A5" s="118"/>
      <c r="B5" s="423" t="s">
        <v>319</v>
      </c>
      <c r="C5" s="117"/>
      <c r="K5" s="744" t="str">
        <f>TULEMUSED!B127</f>
        <v>Hooned</v>
      </c>
      <c r="L5" s="744"/>
      <c r="M5" s="745">
        <f>INDEX(TULEMUSED!$C127:$T127,$B$126)</f>
        <v>1</v>
      </c>
    </row>
    <row r="6" spans="1:18" x14ac:dyDescent="0.3">
      <c r="A6" s="118"/>
      <c r="B6" s="117"/>
      <c r="C6" s="117"/>
      <c r="K6" s="744" t="str">
        <f>TULEMUSED!B128</f>
        <v>Transport</v>
      </c>
      <c r="L6" s="744"/>
      <c r="M6" s="745">
        <f>INDEX(TULEMUSED!$C128:$T128,$B$126)</f>
        <v>1</v>
      </c>
    </row>
    <row r="7" spans="1:18" x14ac:dyDescent="0.3">
      <c r="A7" s="118"/>
      <c r="B7" s="117"/>
      <c r="G7" s="1110">
        <v>1</v>
      </c>
      <c r="K7" s="744" t="str">
        <f>TULEMUSED!B129</f>
        <v>Elekter</v>
      </c>
      <c r="L7" s="744"/>
      <c r="M7" s="745">
        <f>INDEX(TULEMUSED!$C129:$T129,$B$126)</f>
        <v>1</v>
      </c>
      <c r="P7" s="744"/>
      <c r="Q7" s="356"/>
      <c r="R7" s="746"/>
    </row>
    <row r="8" spans="1:18" x14ac:dyDescent="0.3">
      <c r="A8" s="118"/>
      <c r="B8" s="117"/>
      <c r="C8" s="357"/>
      <c r="G8" s="106" t="str">
        <f>IF(G7=1,", 2015-2030",",  2015-2050")</f>
        <v>, 2015-2030</v>
      </c>
      <c r="K8" s="744" t="str">
        <f>TULEMUSED!B130</f>
        <v>Soojus</v>
      </c>
      <c r="L8" s="744"/>
      <c r="M8" s="745">
        <f>INDEX(TULEMUSED!$C130:$T130,$B$126)</f>
        <v>1</v>
      </c>
      <c r="P8" s="747"/>
      <c r="R8" s="746"/>
    </row>
    <row r="9" spans="1:18" x14ac:dyDescent="0.3">
      <c r="A9" s="118"/>
      <c r="B9" s="116"/>
      <c r="C9" s="117"/>
      <c r="K9" s="744" t="str">
        <f>TULEMUSED!B131</f>
        <v>Kütus</v>
      </c>
      <c r="L9" s="744"/>
      <c r="M9" s="745">
        <f>INDEX(TULEMUSED!$C131:$T131,$B$126)</f>
        <v>3</v>
      </c>
    </row>
    <row r="10" spans="1:18" x14ac:dyDescent="0.3">
      <c r="A10" s="118"/>
      <c r="B10" s="116"/>
      <c r="C10" s="117"/>
      <c r="K10" s="106" t="s">
        <v>409</v>
      </c>
      <c r="M10" s="745">
        <f>INDEX(TULEMUSED!$C132:$T132,$B$126)</f>
        <v>1</v>
      </c>
    </row>
    <row r="11" spans="1:18" x14ac:dyDescent="0.3">
      <c r="A11" s="118"/>
      <c r="B11" s="116"/>
      <c r="C11" s="117"/>
      <c r="K11" s="744" t="s">
        <v>401</v>
      </c>
      <c r="L11" s="744"/>
      <c r="M11" s="745">
        <f>INDEX(TULEMUSED!$C133:$T133,$B$126)</f>
        <v>1</v>
      </c>
    </row>
    <row r="12" spans="1:18" ht="15.75" customHeight="1" x14ac:dyDescent="0.3">
      <c r="A12" s="118"/>
      <c r="B12" s="470" t="str">
        <f>"Tulemused:"&amp;M123</f>
        <v>Tulemused: reaalmudel</v>
      </c>
      <c r="C12" s="117"/>
    </row>
    <row r="13" spans="1:18" x14ac:dyDescent="0.3">
      <c r="A13" s="118"/>
      <c r="B13" s="106"/>
      <c r="C13" s="106"/>
    </row>
    <row r="14" spans="1:18" x14ac:dyDescent="0.3">
      <c r="A14" s="118"/>
      <c r="B14" s="435" t="s">
        <v>764</v>
      </c>
      <c r="C14" s="106"/>
    </row>
    <row r="15" spans="1:18" ht="28.2" x14ac:dyDescent="0.35">
      <c r="A15" s="118"/>
      <c r="B15" s="317" t="s">
        <v>529</v>
      </c>
      <c r="C15" s="723" t="s">
        <v>686</v>
      </c>
      <c r="D15" s="723" t="s">
        <v>777</v>
      </c>
      <c r="E15" s="723" t="s">
        <v>761</v>
      </c>
      <c r="H15" s="966" t="str">
        <f>I138&amp;G8</f>
        <v>KOONDINDEKS - KONKURENTSIVÕIME, 2015-2030</v>
      </c>
      <c r="I15" s="902"/>
      <c r="J15" s="902"/>
      <c r="K15" s="902"/>
      <c r="L15" s="902"/>
      <c r="M15" s="902"/>
      <c r="N15" s="902"/>
      <c r="O15" s="902"/>
      <c r="P15" s="902"/>
      <c r="Q15" s="902"/>
      <c r="R15" s="902"/>
    </row>
    <row r="16" spans="1:18" x14ac:dyDescent="0.3">
      <c r="A16" s="118"/>
      <c r="B16" s="893" t="s">
        <v>762</v>
      </c>
      <c r="C16" s="926">
        <f>E25</f>
        <v>0.66030913212739806</v>
      </c>
      <c r="D16" s="740">
        <v>3</v>
      </c>
      <c r="E16" s="926">
        <f>D16*C16</f>
        <v>1.9809273963821941</v>
      </c>
    </row>
    <row r="17" spans="1:5" ht="14.4" thickBot="1" x14ac:dyDescent="0.35">
      <c r="A17" s="118"/>
      <c r="B17" s="894" t="s">
        <v>763</v>
      </c>
      <c r="C17" s="926">
        <f>E32</f>
        <v>-0.32802290279858759</v>
      </c>
      <c r="D17" s="740">
        <v>1</v>
      </c>
      <c r="E17" s="926">
        <f>D17*C17</f>
        <v>-0.32802290279858759</v>
      </c>
    </row>
    <row r="18" spans="1:5" ht="14.4" thickTop="1" x14ac:dyDescent="0.3">
      <c r="A18" s="118"/>
      <c r="B18" s="469"/>
      <c r="C18" s="722"/>
      <c r="D18" s="722" t="s">
        <v>693</v>
      </c>
      <c r="E18" s="927">
        <f>SUM(E16:E17)</f>
        <v>1.6529044935836064</v>
      </c>
    </row>
    <row r="19" spans="1:5" ht="19.5" customHeight="1" x14ac:dyDescent="0.3">
      <c r="A19" s="118"/>
      <c r="B19" s="895" t="s">
        <v>765</v>
      </c>
      <c r="C19" s="106"/>
    </row>
    <row r="20" spans="1:5" ht="27.6" x14ac:dyDescent="0.3">
      <c r="A20" s="118"/>
      <c r="B20" s="317" t="s">
        <v>529</v>
      </c>
      <c r="C20" s="723" t="s">
        <v>686</v>
      </c>
      <c r="D20" s="723" t="s">
        <v>766</v>
      </c>
      <c r="E20" s="723" t="s">
        <v>761</v>
      </c>
    </row>
    <row r="21" spans="1:5" x14ac:dyDescent="0.3">
      <c r="A21" s="118"/>
      <c r="B21" s="724" t="s">
        <v>722</v>
      </c>
      <c r="C21" s="725">
        <f>INDEX(L37:M37,$G$7)</f>
        <v>1.0933448464668847E-2</v>
      </c>
      <c r="D21" s="740">
        <v>5</v>
      </c>
      <c r="E21" s="926">
        <f>D21*C21*10</f>
        <v>0.54667242323344234</v>
      </c>
    </row>
    <row r="22" spans="1:5" x14ac:dyDescent="0.3">
      <c r="A22" s="118"/>
      <c r="B22" s="724" t="s">
        <v>497</v>
      </c>
      <c r="C22" s="725">
        <f>INDEX(L38:M38,$G$7)</f>
        <v>-2.680287122374227E-3</v>
      </c>
      <c r="D22" s="740">
        <v>4</v>
      </c>
      <c r="E22" s="926">
        <f t="shared" ref="E22:E24" si="0">D22*C22*10</f>
        <v>-0.10721148489496908</v>
      </c>
    </row>
    <row r="23" spans="1:5" x14ac:dyDescent="0.3">
      <c r="A23" s="118"/>
      <c r="B23" s="933" t="s">
        <v>851</v>
      </c>
      <c r="C23" s="725">
        <f>INDEX(L39:M39,$G$7)</f>
        <v>7.2187499920416832E-3</v>
      </c>
      <c r="D23" s="740">
        <v>2</v>
      </c>
      <c r="E23" s="926">
        <f t="shared" si="0"/>
        <v>0.14437499984083366</v>
      </c>
    </row>
    <row r="24" spans="1:5" ht="14.4" thickBot="1" x14ac:dyDescent="0.35">
      <c r="A24" s="118"/>
      <c r="B24" s="894" t="s">
        <v>850</v>
      </c>
      <c r="C24" s="725">
        <f>INDEX(L40:M40,$G$7)</f>
        <v>3.8236596974045578E-3</v>
      </c>
      <c r="D24" s="740">
        <v>2</v>
      </c>
      <c r="E24" s="926">
        <f t="shared" si="0"/>
        <v>7.6473193948091156E-2</v>
      </c>
    </row>
    <row r="25" spans="1:5" ht="15" thickTop="1" thickBot="1" x14ac:dyDescent="0.35">
      <c r="A25" s="118"/>
      <c r="B25" s="469"/>
      <c r="C25" s="722"/>
      <c r="D25" s="722" t="s">
        <v>693</v>
      </c>
      <c r="E25" s="927">
        <f>SUM(E21:E24)</f>
        <v>0.66030913212739806</v>
      </c>
    </row>
    <row r="26" spans="1:5" ht="18" thickTop="1" x14ac:dyDescent="0.3">
      <c r="A26" s="118"/>
      <c r="B26" s="721"/>
      <c r="C26" s="721"/>
      <c r="D26" s="721"/>
      <c r="E26" s="721"/>
    </row>
    <row r="27" spans="1:5" x14ac:dyDescent="0.3">
      <c r="A27" s="118"/>
      <c r="B27" s="435" t="s">
        <v>794</v>
      </c>
      <c r="C27" s="106"/>
    </row>
    <row r="28" spans="1:5" ht="27.6" x14ac:dyDescent="0.3">
      <c r="A28" s="118"/>
      <c r="B28" s="317" t="s">
        <v>529</v>
      </c>
      <c r="C28" s="723" t="s">
        <v>686</v>
      </c>
      <c r="D28" s="723" t="s">
        <v>777</v>
      </c>
      <c r="E28" s="723" t="s">
        <v>761</v>
      </c>
    </row>
    <row r="29" spans="1:5" x14ac:dyDescent="0.3">
      <c r="A29" s="118"/>
      <c r="B29" s="724" t="s">
        <v>721</v>
      </c>
      <c r="C29" s="725">
        <f>INDEX(L41:M41,$G$7)</f>
        <v>8.2132861417106191E-3</v>
      </c>
      <c r="D29" s="740">
        <v>1</v>
      </c>
      <c r="E29" s="926">
        <f t="shared" ref="E29:E30" si="1">-C29*D29*10</f>
        <v>-8.2132861417106184E-2</v>
      </c>
    </row>
    <row r="30" spans="1:5" x14ac:dyDescent="0.3">
      <c r="A30" s="118"/>
      <c r="B30" s="726" t="s">
        <v>494</v>
      </c>
      <c r="C30" s="725">
        <f>INDEX(L42:M42,$G$7)</f>
        <v>2.5927721359240083E-3</v>
      </c>
      <c r="D30" s="740">
        <v>3</v>
      </c>
      <c r="E30" s="926">
        <f t="shared" si="1"/>
        <v>-7.7783164077720249E-2</v>
      </c>
    </row>
    <row r="31" spans="1:5" ht="14.4" thickBot="1" x14ac:dyDescent="0.35">
      <c r="A31" s="118"/>
      <c r="B31" s="982" t="s">
        <v>854</v>
      </c>
      <c r="C31" s="725">
        <f>INDEX(L43:M43,$G$7)</f>
        <v>1.6810687730376115E-2</v>
      </c>
      <c r="D31" s="740">
        <v>1</v>
      </c>
      <c r="E31" s="926">
        <f>-C31*D31*10</f>
        <v>-0.16810687730376114</v>
      </c>
    </row>
    <row r="32" spans="1:5" ht="14.4" thickTop="1" x14ac:dyDescent="0.3">
      <c r="A32" s="118"/>
      <c r="B32" s="469"/>
      <c r="C32" s="722"/>
      <c r="D32" s="722" t="s">
        <v>693</v>
      </c>
      <c r="E32" s="927">
        <f>SUM(E29:E31)</f>
        <v>-0.32802290279858759</v>
      </c>
    </row>
    <row r="33" spans="1:39" x14ac:dyDescent="0.3">
      <c r="A33" s="118"/>
    </row>
    <row r="34" spans="1:39" ht="11.25" customHeight="1" x14ac:dyDescent="0.3">
      <c r="A34" s="118"/>
      <c r="B34" s="470"/>
      <c r="C34" s="106"/>
      <c r="Y34" s="886"/>
    </row>
    <row r="35" spans="1:39" x14ac:dyDescent="0.3">
      <c r="A35" s="118"/>
      <c r="B35" s="435" t="s">
        <v>760</v>
      </c>
      <c r="C35" s="435"/>
      <c r="D35" s="959" t="s">
        <v>803</v>
      </c>
      <c r="E35" s="435"/>
      <c r="F35" s="435"/>
      <c r="G35" s="435"/>
      <c r="H35" s="435"/>
      <c r="I35" s="435"/>
      <c r="J35" s="435"/>
      <c r="K35" s="115"/>
      <c r="L35" s="1112" t="s">
        <v>885</v>
      </c>
      <c r="M35" s="1113" t="s">
        <v>886</v>
      </c>
      <c r="N35" s="1115" t="s">
        <v>768</v>
      </c>
      <c r="X35" s="886"/>
      <c r="Y35" s="886"/>
    </row>
    <row r="36" spans="1:39" x14ac:dyDescent="0.3">
      <c r="A36" s="118"/>
      <c r="B36" s="317" t="s">
        <v>529</v>
      </c>
      <c r="C36" s="318" t="s">
        <v>293</v>
      </c>
      <c r="D36" s="318">
        <v>2015</v>
      </c>
      <c r="E36" s="318">
        <f t="shared" ref="E36" si="2">D36+5</f>
        <v>2020</v>
      </c>
      <c r="F36" s="318">
        <f t="shared" ref="F36" si="3">E36+5</f>
        <v>2025</v>
      </c>
      <c r="G36" s="318">
        <f t="shared" ref="G36" si="4">F36+5</f>
        <v>2030</v>
      </c>
      <c r="H36" s="318">
        <f t="shared" ref="H36" si="5">G36+5</f>
        <v>2035</v>
      </c>
      <c r="I36" s="318">
        <f t="shared" ref="I36" si="6">H36+5</f>
        <v>2040</v>
      </c>
      <c r="J36" s="318">
        <f t="shared" ref="J36" si="7">I36+5</f>
        <v>2045</v>
      </c>
      <c r="K36" s="892">
        <f t="shared" ref="K36" si="8">J36+5</f>
        <v>2050</v>
      </c>
      <c r="L36" s="1114" t="s">
        <v>281</v>
      </c>
      <c r="M36" s="1114" t="s">
        <v>281</v>
      </c>
      <c r="N36" s="1111">
        <v>2</v>
      </c>
      <c r="W36" s="886"/>
      <c r="X36" s="886"/>
      <c r="Z36" s="115" t="str">
        <f>D138</f>
        <v>Sts.1 BAU</v>
      </c>
    </row>
    <row r="37" spans="1:39" ht="15" customHeight="1" x14ac:dyDescent="0.3">
      <c r="A37" s="118"/>
      <c r="B37" s="887" t="s">
        <v>722</v>
      </c>
      <c r="C37" s="888" t="s">
        <v>853</v>
      </c>
      <c r="D37" s="889">
        <f>D53/(D52+D53)</f>
        <v>3.8648303715471868E-3</v>
      </c>
      <c r="E37" s="889">
        <f t="shared" ref="E37:K37" si="9">E53/(E52+E53)</f>
        <v>1.2677686372045926E-2</v>
      </c>
      <c r="F37" s="889">
        <f t="shared" si="9"/>
        <v>1.0993230972051602E-2</v>
      </c>
      <c r="G37" s="889">
        <f t="shared" si="9"/>
        <v>1.6198046143030671E-2</v>
      </c>
      <c r="H37" s="889">
        <f t="shared" si="9"/>
        <v>1.4883005177130147E-2</v>
      </c>
      <c r="I37" s="889">
        <f t="shared" si="9"/>
        <v>1.465033943549787E-2</v>
      </c>
      <c r="J37" s="889">
        <f t="shared" si="9"/>
        <v>1.480413923980752E-2</v>
      </c>
      <c r="K37" s="889">
        <f t="shared" si="9"/>
        <v>1.5001529539353506E-2</v>
      </c>
      <c r="L37" s="890">
        <f>SUM(D37:G37)/4</f>
        <v>1.0933448464668847E-2</v>
      </c>
      <c r="M37" s="890">
        <f>SUM(D37:K37)/8</f>
        <v>1.2884100906308054E-2</v>
      </c>
      <c r="N37" s="901">
        <v>1</v>
      </c>
      <c r="W37" s="886"/>
      <c r="X37" s="886"/>
      <c r="Z37" s="115" t="str">
        <f>D139</f>
        <v>Sts.2 Hooned/ Soojus 2</v>
      </c>
    </row>
    <row r="38" spans="1:39" ht="15" customHeight="1" x14ac:dyDescent="0.3">
      <c r="A38" s="118"/>
      <c r="B38" s="887" t="s">
        <v>496</v>
      </c>
      <c r="C38" s="888" t="s">
        <v>853</v>
      </c>
      <c r="D38" s="891">
        <f>D58</f>
        <v>-5.1217545021482371E-3</v>
      </c>
      <c r="E38" s="891">
        <f t="shared" ref="E38:K38" si="10">E58</f>
        <v>-3.6785878107232642E-3</v>
      </c>
      <c r="F38" s="891">
        <f t="shared" si="10"/>
        <v>2.4279268699483627E-4</v>
      </c>
      <c r="G38" s="891">
        <f t="shared" si="10"/>
        <v>-2.1635988636202414E-3</v>
      </c>
      <c r="H38" s="891">
        <f t="shared" si="10"/>
        <v>3.8732191965882732E-3</v>
      </c>
      <c r="I38" s="891">
        <f t="shared" si="10"/>
        <v>4.9239525808030945E-3</v>
      </c>
      <c r="J38" s="891">
        <f t="shared" si="10"/>
        <v>5.5609317999974527E-3</v>
      </c>
      <c r="K38" s="891">
        <f t="shared" si="10"/>
        <v>6.6914911521381909E-3</v>
      </c>
      <c r="L38" s="890">
        <f t="shared" ref="L38:L44" si="11">SUM(D38:G38)/4</f>
        <v>-2.680287122374227E-3</v>
      </c>
      <c r="M38" s="890">
        <f t="shared" ref="M38:M44" si="12">SUM(D38:K38)/8</f>
        <v>1.2910557800037629E-3</v>
      </c>
      <c r="N38" s="901">
        <v>2</v>
      </c>
      <c r="W38" s="886"/>
      <c r="X38" s="886"/>
      <c r="Z38" s="115" t="str">
        <f>D140</f>
        <v>Sts.3 Hooned/ Soojus 3</v>
      </c>
    </row>
    <row r="39" spans="1:39" ht="15" customHeight="1" x14ac:dyDescent="0.3">
      <c r="A39" s="118"/>
      <c r="B39" s="887" t="s">
        <v>659</v>
      </c>
      <c r="C39" s="888" t="s">
        <v>660</v>
      </c>
      <c r="D39" s="891">
        <f>D62</f>
        <v>3.2074224467663753E-3</v>
      </c>
      <c r="E39" s="891">
        <f t="shared" ref="E39:K39" si="13">E62</f>
        <v>8.3912948981186546E-3</v>
      </c>
      <c r="F39" s="891">
        <f t="shared" si="13"/>
        <v>7.0976537371004152E-3</v>
      </c>
      <c r="G39" s="891">
        <f t="shared" si="13"/>
        <v>1.0178628886181285E-2</v>
      </c>
      <c r="H39" s="891">
        <f t="shared" si="13"/>
        <v>8.5113778573635349E-3</v>
      </c>
      <c r="I39" s="891">
        <f t="shared" si="13"/>
        <v>8.3472900235727066E-3</v>
      </c>
      <c r="J39" s="891">
        <f t="shared" si="13"/>
        <v>8.5550146023383698E-3</v>
      </c>
      <c r="K39" s="891">
        <f t="shared" si="13"/>
        <v>8.6554916599888392E-3</v>
      </c>
      <c r="L39" s="890">
        <f t="shared" si="11"/>
        <v>7.2187499920416832E-3</v>
      </c>
      <c r="M39" s="890">
        <f t="shared" si="12"/>
        <v>7.8680217639287738E-3</v>
      </c>
      <c r="N39" s="901">
        <v>3</v>
      </c>
      <c r="P39" s="929" t="str">
        <f>"Joonis: "&amp;INDEX(B37:B43,N36)</f>
        <v>Joonis: Väliskaubanduse saldo</v>
      </c>
      <c r="Q39" s="904"/>
      <c r="R39" s="904"/>
      <c r="S39" s="904"/>
      <c r="T39" s="904"/>
      <c r="U39" s="902"/>
      <c r="V39" s="902"/>
      <c r="W39" s="902"/>
      <c r="X39" s="903"/>
      <c r="Z39" s="115" t="str">
        <f>D141</f>
        <v>Sts.4 Transport 2</v>
      </c>
      <c r="AC39" s="934" t="str">
        <f>"Joonis: "&amp;INDEX(B37:B43,N36)</f>
        <v>Joonis: Väliskaubanduse saldo</v>
      </c>
      <c r="AD39" s="902"/>
      <c r="AE39" s="902"/>
      <c r="AF39" s="902"/>
      <c r="AG39" s="902"/>
      <c r="AH39" s="902"/>
      <c r="AI39" s="902"/>
      <c r="AJ39" s="902"/>
      <c r="AK39" s="903"/>
      <c r="AL39" s="902"/>
      <c r="AM39" s="902"/>
    </row>
    <row r="40" spans="1:39" ht="15" customHeight="1" x14ac:dyDescent="0.3">
      <c r="A40" s="118"/>
      <c r="B40" s="887" t="s">
        <v>784</v>
      </c>
      <c r="C40" s="888" t="s">
        <v>660</v>
      </c>
      <c r="D40" s="891">
        <f t="shared" ref="D40:K40" si="14">D65-1</f>
        <v>6.7025300665801701E-4</v>
      </c>
      <c r="E40" s="891">
        <f t="shared" si="14"/>
        <v>4.4121552784754936E-3</v>
      </c>
      <c r="F40" s="891">
        <f t="shared" si="14"/>
        <v>3.9894558972877192E-3</v>
      </c>
      <c r="G40" s="891">
        <f t="shared" si="14"/>
        <v>6.2227746071970014E-3</v>
      </c>
      <c r="H40" s="891">
        <f t="shared" si="14"/>
        <v>6.5408063366927394E-3</v>
      </c>
      <c r="I40" s="891">
        <f t="shared" si="14"/>
        <v>6.4668920244228545E-3</v>
      </c>
      <c r="J40" s="891">
        <f t="shared" si="14"/>
        <v>6.4166856037790598E-3</v>
      </c>
      <c r="K40" s="891">
        <f t="shared" si="14"/>
        <v>6.5180939099380719E-3</v>
      </c>
      <c r="L40" s="890">
        <f t="shared" si="11"/>
        <v>3.8236596974045578E-3</v>
      </c>
      <c r="M40" s="890">
        <f t="shared" si="12"/>
        <v>5.1546395830563696E-3</v>
      </c>
      <c r="N40" s="901">
        <v>4</v>
      </c>
      <c r="P40" s="930" t="str">
        <f ca="1">"Punane joon "&amp;B194</f>
        <v>Punane joon BAU</v>
      </c>
      <c r="Q40" s="904"/>
      <c r="R40" s="904"/>
      <c r="S40" s="904"/>
      <c r="T40" s="904"/>
      <c r="U40" s="902"/>
      <c r="V40" s="902"/>
      <c r="W40" s="902"/>
      <c r="X40" s="903"/>
      <c r="Z40" s="115" t="str">
        <f>D146</f>
        <v>Sts.9 Elekter 3</v>
      </c>
    </row>
    <row r="41" spans="1:39" ht="15" customHeight="1" x14ac:dyDescent="0.3">
      <c r="A41" s="118"/>
      <c r="B41" s="887" t="s">
        <v>721</v>
      </c>
      <c r="C41" s="888" t="s">
        <v>755</v>
      </c>
      <c r="D41" s="891">
        <f>D78/(D73/D49)</f>
        <v>1.203040678918785E-3</v>
      </c>
      <c r="E41" s="891">
        <f t="shared" ref="E41:K41" si="15">E78/(E73/E49)</f>
        <v>9.4084419853722717E-3</v>
      </c>
      <c r="F41" s="891">
        <f t="shared" si="15"/>
        <v>9.2392087961324868E-3</v>
      </c>
      <c r="G41" s="891">
        <f t="shared" si="15"/>
        <v>1.3002453106418937E-2</v>
      </c>
      <c r="H41" s="891">
        <f t="shared" si="15"/>
        <v>1.4593469356154147E-2</v>
      </c>
      <c r="I41" s="891">
        <f t="shared" si="15"/>
        <v>1.5742498148510815E-2</v>
      </c>
      <c r="J41" s="891">
        <f t="shared" si="15"/>
        <v>1.7509092535150695E-2</v>
      </c>
      <c r="K41" s="891">
        <f t="shared" si="15"/>
        <v>1.8534100741188594E-2</v>
      </c>
      <c r="L41" s="890">
        <f t="shared" si="11"/>
        <v>8.2132861417106191E-3</v>
      </c>
      <c r="M41" s="890">
        <f t="shared" si="12"/>
        <v>1.240403816848084E-2</v>
      </c>
      <c r="N41" s="901">
        <v>5</v>
      </c>
      <c r="X41" s="886"/>
      <c r="Z41" s="115" t="str">
        <f>D142</f>
        <v>Sts.5 Transport 3</v>
      </c>
    </row>
    <row r="42" spans="1:39" ht="15" customHeight="1" x14ac:dyDescent="0.3">
      <c r="A42" s="118"/>
      <c r="B42" s="887" t="s">
        <v>494</v>
      </c>
      <c r="C42" s="888" t="s">
        <v>755</v>
      </c>
      <c r="D42" s="891">
        <f t="shared" ref="D42:K42" si="16">D79/(D75/D49)</f>
        <v>5.3408365657585377E-4</v>
      </c>
      <c r="E42" s="891">
        <f t="shared" si="16"/>
        <v>3.6568991480481795E-3</v>
      </c>
      <c r="F42" s="891">
        <f t="shared" si="16"/>
        <v>3.0357672656737907E-3</v>
      </c>
      <c r="G42" s="891">
        <f t="shared" si="16"/>
        <v>3.1443384733982086E-3</v>
      </c>
      <c r="H42" s="891">
        <f t="shared" si="16"/>
        <v>2.611951931949717E-3</v>
      </c>
      <c r="I42" s="891">
        <f t="shared" si="16"/>
        <v>2.1398201128079017E-3</v>
      </c>
      <c r="J42" s="891">
        <f t="shared" si="16"/>
        <v>1.2367429417986535E-3</v>
      </c>
      <c r="K42" s="891">
        <f t="shared" si="16"/>
        <v>1.0087962691278762E-3</v>
      </c>
      <c r="L42" s="890">
        <f t="shared" si="11"/>
        <v>2.5927721359240083E-3</v>
      </c>
      <c r="M42" s="890">
        <f t="shared" si="12"/>
        <v>2.1710499749225225E-3</v>
      </c>
      <c r="N42" s="901">
        <v>6</v>
      </c>
      <c r="W42" s="886"/>
      <c r="X42" s="886"/>
      <c r="Z42" s="115" t="str">
        <f>D143</f>
        <v>Sts.6 Kütused 2</v>
      </c>
    </row>
    <row r="43" spans="1:39" ht="15" customHeight="1" x14ac:dyDescent="0.3">
      <c r="A43" s="118"/>
      <c r="B43" s="887" t="s">
        <v>778</v>
      </c>
      <c r="C43" s="888" t="s">
        <v>755</v>
      </c>
      <c r="D43" s="891">
        <f>D69/(D67*1000/D49)</f>
        <v>8.4000601839543732E-4</v>
      </c>
      <c r="E43" s="891">
        <f t="shared" ref="E43:K43" si="17">E69/(E67*1000/E49)</f>
        <v>1.6631323986649415E-2</v>
      </c>
      <c r="F43" s="891">
        <f t="shared" si="17"/>
        <v>1.7666084665472877E-2</v>
      </c>
      <c r="G43" s="891">
        <f t="shared" si="17"/>
        <v>3.210533625098673E-2</v>
      </c>
      <c r="H43" s="891">
        <f t="shared" si="17"/>
        <v>3.5182229235840176E-2</v>
      </c>
      <c r="I43" s="891">
        <f t="shared" si="17"/>
        <v>3.7760086472862289E-2</v>
      </c>
      <c r="J43" s="891">
        <f t="shared" si="17"/>
        <v>4.2981636686593952E-2</v>
      </c>
      <c r="K43" s="891">
        <f t="shared" si="17"/>
        <v>4.5828723092860478E-2</v>
      </c>
      <c r="L43" s="890">
        <f t="shared" si="11"/>
        <v>1.6810687730376115E-2</v>
      </c>
      <c r="M43" s="890">
        <f t="shared" si="12"/>
        <v>2.8624428301207667E-2</v>
      </c>
      <c r="N43" s="901">
        <v>7</v>
      </c>
      <c r="W43" s="886"/>
      <c r="X43" s="886"/>
      <c r="Z43" s="115" t="str">
        <f>D145</f>
        <v>Sts.8 Elekter 2</v>
      </c>
    </row>
    <row r="44" spans="1:39" ht="15" customHeight="1" x14ac:dyDescent="0.3">
      <c r="A44" s="118"/>
      <c r="B44" s="887" t="s">
        <v>540</v>
      </c>
      <c r="C44" s="888" t="s">
        <v>755</v>
      </c>
      <c r="D44" s="891">
        <f t="shared" ref="D44:K44" si="18">D83/(E119/D49)</f>
        <v>0</v>
      </c>
      <c r="E44" s="891">
        <f t="shared" si="18"/>
        <v>0</v>
      </c>
      <c r="F44" s="891">
        <f t="shared" si="18"/>
        <v>0</v>
      </c>
      <c r="G44" s="891">
        <f t="shared" si="18"/>
        <v>0</v>
      </c>
      <c r="H44" s="891">
        <f t="shared" si="18"/>
        <v>0</v>
      </c>
      <c r="I44" s="891">
        <f t="shared" si="18"/>
        <v>0</v>
      </c>
      <c r="J44" s="891">
        <f t="shared" si="18"/>
        <v>0</v>
      </c>
      <c r="K44" s="891">
        <f t="shared" si="18"/>
        <v>0</v>
      </c>
      <c r="L44" s="890">
        <f t="shared" si="11"/>
        <v>0</v>
      </c>
      <c r="M44" s="890">
        <f t="shared" si="12"/>
        <v>0</v>
      </c>
      <c r="N44" s="901">
        <v>8</v>
      </c>
      <c r="W44" s="886"/>
      <c r="X44" s="886"/>
      <c r="Z44" s="115" t="str">
        <f>D144</f>
        <v>Sts.7 Kütused 3</v>
      </c>
    </row>
    <row r="45" spans="1:39" ht="15" customHeight="1" x14ac:dyDescent="0.3">
      <c r="A45" s="118"/>
      <c r="B45" s="470"/>
      <c r="C45" s="106"/>
      <c r="W45" s="886"/>
      <c r="X45" s="886"/>
      <c r="Z45" s="115" t="str">
        <f>D147</f>
        <v>Sts.10 Elekter 4</v>
      </c>
    </row>
    <row r="46" spans="1:39" outlineLevel="1" x14ac:dyDescent="0.3">
      <c r="A46" s="118"/>
      <c r="B46" s="435" t="s">
        <v>776</v>
      </c>
      <c r="C46" s="117"/>
      <c r="L46" s="118"/>
      <c r="Q46" s="886"/>
      <c r="R46" s="896"/>
      <c r="S46" s="886"/>
      <c r="T46" s="886"/>
      <c r="U46" s="886"/>
      <c r="V46" s="886"/>
      <c r="W46" s="886"/>
      <c r="X46" s="886"/>
    </row>
    <row r="47" spans="1:39" outlineLevel="1" x14ac:dyDescent="0.3">
      <c r="A47" s="118"/>
      <c r="B47" s="290" t="s">
        <v>529</v>
      </c>
      <c r="C47" s="291" t="s">
        <v>293</v>
      </c>
      <c r="D47" s="291">
        <v>2015</v>
      </c>
      <c r="E47" s="291">
        <f t="shared" ref="E47" si="19">D47+5</f>
        <v>2020</v>
      </c>
      <c r="F47" s="291">
        <f t="shared" ref="F47" si="20">E47+5</f>
        <v>2025</v>
      </c>
      <c r="G47" s="291">
        <f t="shared" ref="G47" si="21">F47+5</f>
        <v>2030</v>
      </c>
      <c r="H47" s="291">
        <f t="shared" ref="H47" si="22">G47+5</f>
        <v>2035</v>
      </c>
      <c r="I47" s="291">
        <f t="shared" ref="I47" si="23">H47+5</f>
        <v>2040</v>
      </c>
      <c r="J47" s="291">
        <f t="shared" ref="J47" si="24">I47+5</f>
        <v>2045</v>
      </c>
      <c r="K47" s="291">
        <f t="shared" ref="K47" si="25">J47+5</f>
        <v>2050</v>
      </c>
      <c r="L47" s="678"/>
      <c r="R47" s="118"/>
    </row>
    <row r="48" spans="1:39" ht="14.25" customHeight="1" outlineLevel="1" x14ac:dyDescent="0.3">
      <c r="A48" s="118"/>
      <c r="B48" s="471" t="s">
        <v>780</v>
      </c>
      <c r="C48" s="436"/>
      <c r="D48" s="436"/>
      <c r="E48" s="437"/>
      <c r="F48" s="437"/>
      <c r="G48" s="437"/>
      <c r="H48" s="437"/>
      <c r="I48" s="437"/>
      <c r="J48" s="437"/>
      <c r="K48" s="438"/>
      <c r="L48" s="436"/>
      <c r="R48" s="118"/>
    </row>
    <row r="49" spans="1:25" ht="14.25" customHeight="1" outlineLevel="1" x14ac:dyDescent="0.3">
      <c r="A49" s="118"/>
      <c r="B49" s="473" t="s">
        <v>512</v>
      </c>
      <c r="C49" s="742" t="s">
        <v>296</v>
      </c>
      <c r="D49" s="447">
        <f>IF(TULEMUSED!$M$122=2,PROGNOOS!D6,PROGNOOS!D5)</f>
        <v>18361.745996711616</v>
      </c>
      <c r="E49" s="447">
        <f>IF(TULEMUSED!$M$122=2,PROGNOOS!E6,PROGNOOS!E5)</f>
        <v>21842.175630889749</v>
      </c>
      <c r="F49" s="447">
        <f>IF(TULEMUSED!$M$122=2,PROGNOOS!F6,PROGNOOS!F5)</f>
        <v>25237.047519780914</v>
      </c>
      <c r="G49" s="447">
        <f>IF(TULEMUSED!$M$122=2,PROGNOOS!G6,PROGNOOS!G5)</f>
        <v>28643.226085251379</v>
      </c>
      <c r="H49" s="447">
        <f>IF(TULEMUSED!$M$122=2,PROGNOOS!H6,PROGNOOS!H5)</f>
        <v>31738.217318675375</v>
      </c>
      <c r="I49" s="447">
        <f>IF(TULEMUSED!$M$122=2,PROGNOOS!I6,PROGNOOS!I5)</f>
        <v>34529.691683963145</v>
      </c>
      <c r="J49" s="447">
        <f>IF(TULEMUSED!$M$122=2,PROGNOOS!J6,PROGNOOS!J5)</f>
        <v>36896.571132216166</v>
      </c>
      <c r="K49" s="447">
        <f>IF(TULEMUSED!$M$122=2,PROGNOOS!K6,PROGNOOS!K5)</f>
        <v>38693.022595027338</v>
      </c>
      <c r="L49" s="677">
        <f>SUMPRODUCT(D49:K49,$D$85:$K$85)/8</f>
        <v>29492.712245314458</v>
      </c>
      <c r="R49" s="118"/>
      <c r="Y49" s="115"/>
    </row>
    <row r="50" spans="1:25" ht="14.25" customHeight="1" outlineLevel="1" x14ac:dyDescent="0.3">
      <c r="A50" s="118"/>
      <c r="B50" s="321" t="s">
        <v>547</v>
      </c>
      <c r="C50" s="743" t="s">
        <v>296</v>
      </c>
      <c r="D50" s="448">
        <f>ARVUTUS!D14</f>
        <v>71.240365531110783</v>
      </c>
      <c r="E50" s="448">
        <f>ARVUTUS!E14</f>
        <v>280.46388551075529</v>
      </c>
      <c r="F50" s="448">
        <f>ARVUTUS!F14</f>
        <v>280.52051929864342</v>
      </c>
      <c r="G50" s="448">
        <f>ARVUTUS!G14</f>
        <v>471.60335064918502</v>
      </c>
      <c r="H50" s="448">
        <f>ARVUTUS!H14</f>
        <v>479.49640007140533</v>
      </c>
      <c r="I50" s="448">
        <f>ARVUTUS!I14</f>
        <v>513.39308675799066</v>
      </c>
      <c r="J50" s="448">
        <f>ARVUTUS!J14</f>
        <v>554.42983295861313</v>
      </c>
      <c r="K50" s="448">
        <f>ARVUTUS!K14</f>
        <v>589.29484545769765</v>
      </c>
      <c r="L50" s="677">
        <f>SUMPRODUCT(D50:K50,$D$85:$K$85)/8</f>
        <v>405.05528577942516</v>
      </c>
      <c r="R50" s="118"/>
      <c r="Y50" s="115"/>
    </row>
    <row r="51" spans="1:25" ht="14.25" customHeight="1" outlineLevel="1" thickBot="1" x14ac:dyDescent="0.35">
      <c r="A51" s="118"/>
      <c r="B51" s="748" t="s">
        <v>545</v>
      </c>
      <c r="C51" s="467" t="s">
        <v>50</v>
      </c>
      <c r="D51" s="749">
        <f>D50/D49</f>
        <v>3.8798252379631621E-3</v>
      </c>
      <c r="E51" s="749">
        <f t="shared" ref="E51:K51" si="26">E50/E49</f>
        <v>1.284047387267211E-2</v>
      </c>
      <c r="F51" s="749">
        <f t="shared" si="26"/>
        <v>1.1115425410946751E-2</v>
      </c>
      <c r="G51" s="749">
        <f t="shared" si="26"/>
        <v>1.64647428067475E-2</v>
      </c>
      <c r="H51" s="749">
        <f t="shared" si="26"/>
        <v>1.5107855468279892E-2</v>
      </c>
      <c r="I51" s="749">
        <f t="shared" si="26"/>
        <v>1.4868163071274374E-2</v>
      </c>
      <c r="J51" s="749">
        <f t="shared" si="26"/>
        <v>1.5026595045156211E-2</v>
      </c>
      <c r="K51" s="749">
        <f t="shared" si="26"/>
        <v>1.5230002877403311E-2</v>
      </c>
      <c r="L51" s="871">
        <f>SUM(D51:K51)/8</f>
        <v>1.3066635473805415E-2</v>
      </c>
      <c r="R51" s="118"/>
      <c r="Y51" s="115"/>
    </row>
    <row r="52" spans="1:25" ht="14.25" customHeight="1" outlineLevel="1" x14ac:dyDescent="0.3">
      <c r="A52" s="118"/>
      <c r="B52" s="473" t="s">
        <v>551</v>
      </c>
      <c r="C52" s="742" t="s">
        <v>706</v>
      </c>
      <c r="D52" s="447">
        <f>IF(TULEMUSED!$M$122=2,PROGNOOS!D6,PROGNOOS!D5)*1000000/(PROGNOOS!D28)/PROGNOOS!D24</f>
        <v>18584.871854049739</v>
      </c>
      <c r="E52" s="447">
        <f>IF(TULEMUSED!$M$122=2,PROGNOOS!E6,PROGNOOS!E5)*1000000/(PROGNOOS!E28)/PROGNOOS!E24</f>
        <v>21300.514121350421</v>
      </c>
      <c r="F52" s="447">
        <f>IF(TULEMUSED!$M$122=2,PROGNOOS!F6,PROGNOOS!F5)*1000000/(PROGNOOS!F28)/PROGNOOS!F24</f>
        <v>24027.421161504015</v>
      </c>
      <c r="G52" s="447">
        <f>IF(TULEMUSED!$M$122=2,PROGNOOS!G6,PROGNOOS!G5)*1000000/(PROGNOOS!G28)/PROGNOOS!G24</f>
        <v>26906.705640398384</v>
      </c>
      <c r="H52" s="447">
        <f>IF(TULEMUSED!$M$122=2,PROGNOOS!H6,PROGNOOS!H5)*1000000/(PROGNOOS!H28)/PROGNOOS!H24</f>
        <v>29698.307002269139</v>
      </c>
      <c r="I52" s="447">
        <f>IF(TULEMUSED!$M$122=2,PROGNOOS!I6,PROGNOOS!I5)*1000000/(PROGNOOS!I28)/PROGNOOS!I24</f>
        <v>32279.445692457117</v>
      </c>
      <c r="J52" s="447">
        <f>IF(TULEMUSED!$M$122=2,PROGNOOS!J6,PROGNOOS!J5)*1000000/(PROGNOOS!J28)/PROGNOOS!J24</f>
        <v>34368.25550641412</v>
      </c>
      <c r="K52" s="447">
        <f>IF(TULEMUSED!$M$122=2,PROGNOOS!K6,PROGNOOS!K5)*1000000/(PROGNOOS!K28)/PROGNOOS!K24</f>
        <v>36053.856252919286</v>
      </c>
      <c r="L52" s="677">
        <f>SUMPRODUCT(D52:K52,$D$85:$K$85)/8</f>
        <v>27902.422153920277</v>
      </c>
      <c r="Y52" s="115"/>
    </row>
    <row r="53" spans="1:25" ht="14.25" customHeight="1" outlineLevel="1" x14ac:dyDescent="0.3">
      <c r="A53" s="118"/>
      <c r="B53" s="321" t="s">
        <v>552</v>
      </c>
      <c r="C53" s="742" t="s">
        <v>706</v>
      </c>
      <c r="D53" s="448">
        <f>ARVUTUS!D16</f>
        <v>72.106054863653398</v>
      </c>
      <c r="E53" s="448">
        <f>ARVUTUS!E16</f>
        <v>273.50869504968347</v>
      </c>
      <c r="F53" s="448">
        <f>ARVUTUS!F16</f>
        <v>267.07500773810142</v>
      </c>
      <c r="G53" s="448">
        <f>ARVUTUS!G16</f>
        <v>443.01198814602174</v>
      </c>
      <c r="H53" s="448">
        <f>ARVUTUS!H16</f>
        <v>448.67772984288678</v>
      </c>
      <c r="I53" s="448">
        <f>ARVUTUS!I16</f>
        <v>479.9360624057976</v>
      </c>
      <c r="J53" s="448">
        <f>ARVUTUS!J16</f>
        <v>516.43785790334516</v>
      </c>
      <c r="K53" s="448">
        <f>ARVUTUS!K16</f>
        <v>549.10033447344608</v>
      </c>
      <c r="L53" s="677">
        <f>SUMPRODUCT(D53:K53,$D$85:$K$85)/8</f>
        <v>381.23171630286697</v>
      </c>
      <c r="Y53" s="115"/>
    </row>
    <row r="54" spans="1:25" ht="14.25" customHeight="1" outlineLevel="1" thickBot="1" x14ac:dyDescent="0.35">
      <c r="A54" s="118"/>
      <c r="B54" s="748" t="s">
        <v>707</v>
      </c>
      <c r="C54" s="467" t="s">
        <v>50</v>
      </c>
      <c r="D54" s="749">
        <f>D53/D52</f>
        <v>3.8798252379631617E-3</v>
      </c>
      <c r="E54" s="749">
        <f t="shared" ref="E54" si="27">E53/E52</f>
        <v>1.2840473872672113E-2</v>
      </c>
      <c r="F54" s="749">
        <f t="shared" ref="F54" si="28">F53/F52</f>
        <v>1.1115425410946751E-2</v>
      </c>
      <c r="G54" s="749">
        <f t="shared" ref="G54" si="29">G53/G52</f>
        <v>1.6464742806747503E-2</v>
      </c>
      <c r="H54" s="749">
        <f t="shared" ref="H54" si="30">H53/H52</f>
        <v>1.510785546827989E-2</v>
      </c>
      <c r="I54" s="749">
        <f t="shared" ref="I54" si="31">I53/I52</f>
        <v>1.4868163071274376E-2</v>
      </c>
      <c r="J54" s="749">
        <f t="shared" ref="J54" si="32">J53/J52</f>
        <v>1.5026595045156214E-2</v>
      </c>
      <c r="K54" s="749">
        <f t="shared" ref="K54" si="33">K53/K52</f>
        <v>1.5230002877403311E-2</v>
      </c>
      <c r="L54" s="453"/>
      <c r="Y54" s="115"/>
    </row>
    <row r="55" spans="1:25" ht="14.25" customHeight="1" outlineLevel="1" x14ac:dyDescent="0.3">
      <c r="A55" s="118"/>
      <c r="B55" s="474" t="s">
        <v>779</v>
      </c>
      <c r="C55" s="440"/>
      <c r="D55" s="436"/>
      <c r="E55" s="437"/>
      <c r="F55" s="437"/>
      <c r="G55" s="437"/>
      <c r="H55" s="437"/>
      <c r="I55" s="437"/>
      <c r="J55" s="437"/>
      <c r="K55" s="438"/>
      <c r="L55" s="436"/>
      <c r="Y55" s="886"/>
    </row>
    <row r="56" spans="1:25" outlineLevel="1" x14ac:dyDescent="0.3">
      <c r="A56" s="118"/>
      <c r="B56" s="779" t="s">
        <v>699</v>
      </c>
      <c r="C56" s="742" t="s">
        <v>296</v>
      </c>
      <c r="D56" s="447">
        <f>ARVUTUS!D27</f>
        <v>8.3739421034421682</v>
      </c>
      <c r="E56" s="447">
        <f>ARVUTUS!E27</f>
        <v>33.300674319341475</v>
      </c>
      <c r="F56" s="447">
        <f>ARVUTUS!F27</f>
        <v>66.448295630608442</v>
      </c>
      <c r="G56" s="447">
        <f>ARVUTUS!G27</f>
        <v>69.216368713948071</v>
      </c>
      <c r="H56" s="447">
        <f>ARVUTUS!H27</f>
        <v>129.28875380387478</v>
      </c>
      <c r="I56" s="447">
        <f>ARVUTUS!I27</f>
        <v>137.27481647803637</v>
      </c>
      <c r="J56" s="447">
        <f>ARVUTUS!J27</f>
        <v>147.47588825704216</v>
      </c>
      <c r="K56" s="447">
        <f>ARVUTUS!K27</f>
        <v>155.78285111547629</v>
      </c>
      <c r="L56" s="677">
        <f>SUMPRODUCT(D56:K56,$D$85:$K$85)/8</f>
        <v>93.395198802721225</v>
      </c>
      <c r="M56" s="198"/>
      <c r="O56" s="198" t="s">
        <v>785</v>
      </c>
      <c r="X56" s="198" t="s">
        <v>786</v>
      </c>
    </row>
    <row r="57" spans="1:25" ht="13.5" customHeight="1" outlineLevel="1" x14ac:dyDescent="0.3">
      <c r="A57" s="118"/>
      <c r="B57" s="321" t="s">
        <v>496</v>
      </c>
      <c r="C57" s="743" t="s">
        <v>296</v>
      </c>
      <c r="D57" s="447">
        <f>ARVUTUS!D73</f>
        <v>-94.409230888853742</v>
      </c>
      <c r="E57" s="447">
        <f>ARVUTUS!E73</f>
        <v>-81.380072066055703</v>
      </c>
      <c r="F57" s="447">
        <f>ARVUTUS!F73</f>
        <v>6.1954789097816807</v>
      </c>
      <c r="G57" s="447">
        <f>ARVUTUS!G73</f>
        <v>-62.992811882011615</v>
      </c>
      <c r="H57" s="447">
        <f>ARVUTUS!H73</f>
        <v>124.7862672456354</v>
      </c>
      <c r="I57" s="447">
        <f>ARVUTUS!I73</f>
        <v>172.55048769609397</v>
      </c>
      <c r="J57" s="447">
        <f>ARVUTUS!J73</f>
        <v>208.26246220897573</v>
      </c>
      <c r="K57" s="447">
        <f>ARVUTUS!K73</f>
        <v>262.85727958848935</v>
      </c>
      <c r="L57" s="677">
        <f>SUMPRODUCT(D57:K57,$D$85:$K$85)/8</f>
        <v>66.983732601506887</v>
      </c>
      <c r="X57" s="886"/>
    </row>
    <row r="58" spans="1:25" ht="13.5" customHeight="1" outlineLevel="1" thickBot="1" x14ac:dyDescent="0.35">
      <c r="A58" s="118"/>
      <c r="B58" s="751" t="s">
        <v>497</v>
      </c>
      <c r="C58" s="467" t="s">
        <v>50</v>
      </c>
      <c r="D58" s="750">
        <f>D57/(D49+D50)</f>
        <v>-5.1217545021482371E-3</v>
      </c>
      <c r="E58" s="750">
        <f t="shared" ref="E58:K58" si="34">E57/(E49+E50)</f>
        <v>-3.6785878107232642E-3</v>
      </c>
      <c r="F58" s="750">
        <f t="shared" si="34"/>
        <v>2.4279268699483627E-4</v>
      </c>
      <c r="G58" s="750">
        <f t="shared" si="34"/>
        <v>-2.1635988636202414E-3</v>
      </c>
      <c r="H58" s="750">
        <f t="shared" si="34"/>
        <v>3.8732191965882732E-3</v>
      </c>
      <c r="I58" s="750">
        <f t="shared" si="34"/>
        <v>4.9239525808030945E-3</v>
      </c>
      <c r="J58" s="750">
        <f t="shared" si="34"/>
        <v>5.5609317999974527E-3</v>
      </c>
      <c r="K58" s="750">
        <f t="shared" si="34"/>
        <v>6.6914911521381909E-3</v>
      </c>
      <c r="L58" s="871">
        <f>SUM(D58:K58)/8</f>
        <v>1.2910557800037629E-3</v>
      </c>
      <c r="X58" s="886"/>
    </row>
    <row r="59" spans="1:25" ht="13.5" customHeight="1" outlineLevel="1" x14ac:dyDescent="0.3">
      <c r="A59" s="118"/>
      <c r="B59" s="439" t="s">
        <v>756</v>
      </c>
      <c r="C59" s="449"/>
      <c r="D59" s="449"/>
      <c r="E59" s="450"/>
      <c r="F59" s="450"/>
      <c r="G59" s="450"/>
      <c r="H59" s="450"/>
      <c r="I59" s="450"/>
      <c r="J59" s="450"/>
      <c r="K59" s="451"/>
      <c r="L59" s="454"/>
      <c r="X59" s="886"/>
    </row>
    <row r="60" spans="1:25" ht="13.5" customHeight="1" outlineLevel="1" x14ac:dyDescent="0.3">
      <c r="A60" s="118"/>
      <c r="B60" s="473" t="s">
        <v>550</v>
      </c>
      <c r="C60" s="742" t="s">
        <v>320</v>
      </c>
      <c r="D60" s="447">
        <f>PROGNOOS!D11*1000</f>
        <v>635000</v>
      </c>
      <c r="E60" s="447">
        <f>PROGNOOS!E11*1000</f>
        <v>629933.32357000001</v>
      </c>
      <c r="F60" s="447">
        <f>PROGNOOS!F11*1000</f>
        <v>620540.84788854385</v>
      </c>
      <c r="G60" s="447">
        <f>PROGNOOS!G11*1000</f>
        <v>607653.47240596509</v>
      </c>
      <c r="H60" s="447">
        <f>PROGNOOS!H11*1000</f>
        <v>593262.21900437167</v>
      </c>
      <c r="I60" s="447">
        <f>PROGNOOS!I11*1000</f>
        <v>575951.61391094467</v>
      </c>
      <c r="J60" s="447">
        <f>PROGNOOS!J11*1000</f>
        <v>552229.67359772942</v>
      </c>
      <c r="K60" s="447">
        <f>PROGNOOS!K11*1000</f>
        <v>523164.95393469109</v>
      </c>
      <c r="L60" s="452"/>
      <c r="X60" s="886"/>
    </row>
    <row r="61" spans="1:25" ht="13.5" customHeight="1" outlineLevel="1" x14ac:dyDescent="0.3">
      <c r="A61" s="118"/>
      <c r="B61" s="321" t="s">
        <v>544</v>
      </c>
      <c r="C61" s="743" t="s">
        <v>320</v>
      </c>
      <c r="D61" s="448">
        <f>ARVUTUS!D19</f>
        <v>2036.7132536966483</v>
      </c>
      <c r="E61" s="448">
        <f>ARVUTUS!E19</f>
        <v>5285.9562842278692</v>
      </c>
      <c r="F61" s="448">
        <f>ARVUTUS!F19</f>
        <v>4404.3840680395833</v>
      </c>
      <c r="G61" s="448">
        <f>ARVUTUS!G19</f>
        <v>6185.079187019719</v>
      </c>
      <c r="H61" s="448">
        <f>ARVUTUS!H19</f>
        <v>5049.4789144441647</v>
      </c>
      <c r="I61" s="448">
        <f>ARVUTUS!I19</f>
        <v>4807.6351608594277</v>
      </c>
      <c r="J61" s="448">
        <f>ARVUTUS!J19</f>
        <v>4724.3329214731266</v>
      </c>
      <c r="K61" s="448">
        <f>ARVUTUS!K19</f>
        <v>4528.2498955801639</v>
      </c>
      <c r="L61" s="455"/>
      <c r="X61" s="886"/>
    </row>
    <row r="62" spans="1:25" ht="13.5" customHeight="1" outlineLevel="1" x14ac:dyDescent="0.3">
      <c r="A62" s="118"/>
      <c r="B62" s="464" t="s">
        <v>757</v>
      </c>
      <c r="C62" s="462" t="s">
        <v>50</v>
      </c>
      <c r="D62" s="465">
        <f>D61/D60</f>
        <v>3.2074224467663753E-3</v>
      </c>
      <c r="E62" s="465">
        <f t="shared" ref="E62:K62" si="35">E61/E60</f>
        <v>8.3912948981186546E-3</v>
      </c>
      <c r="F62" s="465">
        <f t="shared" si="35"/>
        <v>7.0976537371004152E-3</v>
      </c>
      <c r="G62" s="465">
        <f>G61/G60</f>
        <v>1.0178628886181285E-2</v>
      </c>
      <c r="H62" s="465">
        <f t="shared" si="35"/>
        <v>8.5113778573635349E-3</v>
      </c>
      <c r="I62" s="465">
        <f t="shared" si="35"/>
        <v>8.3472900235727066E-3</v>
      </c>
      <c r="J62" s="465">
        <f t="shared" si="35"/>
        <v>8.5550146023383698E-3</v>
      </c>
      <c r="K62" s="465">
        <f t="shared" si="35"/>
        <v>8.6554916599888392E-3</v>
      </c>
      <c r="L62" s="871">
        <f>SUM(D62:K62)/8</f>
        <v>7.8680217639287738E-3</v>
      </c>
      <c r="X62" s="886"/>
    </row>
    <row r="63" spans="1:25" ht="13.5" customHeight="1" outlineLevel="1" x14ac:dyDescent="0.3">
      <c r="A63" s="118"/>
      <c r="B63" s="473" t="s">
        <v>538</v>
      </c>
      <c r="C63" s="742" t="s">
        <v>517</v>
      </c>
      <c r="D63" s="447">
        <f>D49*1000000/D60</f>
        <v>28916.13542789231</v>
      </c>
      <c r="E63" s="447">
        <f t="shared" ref="E63:K63" si="36">E49*1000000/E60</f>
        <v>34673.789770486052</v>
      </c>
      <c r="F63" s="447">
        <f t="shared" si="36"/>
        <v>40669.437967947881</v>
      </c>
      <c r="G63" s="447">
        <f t="shared" si="36"/>
        <v>47137.435044747392</v>
      </c>
      <c r="H63" s="447">
        <f t="shared" si="36"/>
        <v>53497.789513613883</v>
      </c>
      <c r="I63" s="447">
        <f t="shared" si="36"/>
        <v>59952.417616286468</v>
      </c>
      <c r="J63" s="447">
        <f>J49*1000000/J60</f>
        <v>66813.814788035816</v>
      </c>
      <c r="K63" s="447">
        <f t="shared" si="36"/>
        <v>73959.507998422909</v>
      </c>
      <c r="L63" s="677">
        <f>SUMPRODUCT(D63:K63,$D$85:$K$85)/8</f>
        <v>50702.541015929091</v>
      </c>
      <c r="X63" s="886"/>
    </row>
    <row r="64" spans="1:25" ht="13.5" customHeight="1" outlineLevel="1" x14ac:dyDescent="0.3">
      <c r="A64" s="118"/>
      <c r="B64" s="473" t="s">
        <v>783</v>
      </c>
      <c r="C64" s="742" t="s">
        <v>517</v>
      </c>
      <c r="D64" s="448">
        <f>(D49+D50)*1000000/(D60+D61)</f>
        <v>28935.516554603786</v>
      </c>
      <c r="E64" s="448">
        <f t="shared" ref="E64:K64" si="37">(E49+E50)*1000000/(E60+E61)</f>
        <v>34826.775915046652</v>
      </c>
      <c r="F64" s="448">
        <f t="shared" si="37"/>
        <v>40831.68689708849</v>
      </c>
      <c r="G64" s="448">
        <f t="shared" si="37"/>
        <v>47430.760678592247</v>
      </c>
      <c r="H64" s="448">
        <f t="shared" si="37"/>
        <v>53847.708194263585</v>
      </c>
      <c r="I64" s="448">
        <f t="shared" si="37"/>
        <v>60340.123427614097</v>
      </c>
      <c r="J64" s="448">
        <f t="shared" si="37"/>
        <v>67242.538031519769</v>
      </c>
      <c r="K64" s="448">
        <f t="shared" si="37"/>
        <v>74441.583017089448</v>
      </c>
      <c r="L64" s="677">
        <f>SUMPRODUCT(D64:K64,$D$85:$K$85)/8</f>
        <v>50987.086589477265</v>
      </c>
      <c r="R64" s="886"/>
      <c r="S64" s="896"/>
      <c r="T64" s="886"/>
      <c r="U64" s="886"/>
      <c r="V64" s="886"/>
      <c r="W64" s="886"/>
      <c r="X64" s="886"/>
    </row>
    <row r="65" spans="1:19" ht="13.5" customHeight="1" outlineLevel="1" thickBot="1" x14ac:dyDescent="0.35">
      <c r="A65" s="118"/>
      <c r="B65" s="466" t="s">
        <v>546</v>
      </c>
      <c r="C65" s="467"/>
      <c r="D65" s="956">
        <f>D64/D63</f>
        <v>1.000670253006658</v>
      </c>
      <c r="E65" s="956">
        <f t="shared" ref="E65:K65" si="38">E64/E63</f>
        <v>1.0044121552784755</v>
      </c>
      <c r="F65" s="956">
        <f t="shared" si="38"/>
        <v>1.0039894558972877</v>
      </c>
      <c r="G65" s="956">
        <f t="shared" si="38"/>
        <v>1.006222774607197</v>
      </c>
      <c r="H65" s="956">
        <f t="shared" si="38"/>
        <v>1.0065408063366927</v>
      </c>
      <c r="I65" s="956">
        <f t="shared" si="38"/>
        <v>1.0064668920244229</v>
      </c>
      <c r="J65" s="956">
        <f t="shared" si="38"/>
        <v>1.0064166856037791</v>
      </c>
      <c r="K65" s="956">
        <f t="shared" si="38"/>
        <v>1.0065180939099381</v>
      </c>
      <c r="L65" s="872">
        <f>L64/L63</f>
        <v>1.0056120574599758</v>
      </c>
      <c r="S65" s="118"/>
    </row>
    <row r="66" spans="1:19" ht="18" customHeight="1" outlineLevel="1" x14ac:dyDescent="0.3">
      <c r="A66" s="118"/>
      <c r="B66" s="474" t="s">
        <v>781</v>
      </c>
      <c r="C66" s="468"/>
      <c r="D66" s="440"/>
      <c r="E66" s="475"/>
      <c r="F66" s="475"/>
      <c r="G66" s="475"/>
      <c r="H66" s="475"/>
      <c r="I66" s="475"/>
      <c r="J66" s="475"/>
      <c r="K66" s="475"/>
      <c r="L66" s="1004"/>
      <c r="S66" s="118"/>
    </row>
    <row r="67" spans="1:19" outlineLevel="1" x14ac:dyDescent="0.3">
      <c r="A67" s="118"/>
      <c r="B67" s="473" t="s">
        <v>799</v>
      </c>
      <c r="C67" s="742" t="s">
        <v>490</v>
      </c>
      <c r="D67" s="447">
        <f>PROGNOOS!D48</f>
        <v>23053.248754773816</v>
      </c>
      <c r="E67" s="447">
        <f>PROGNOOS!E48</f>
        <v>17182.671126235877</v>
      </c>
      <c r="F67" s="447">
        <f>PROGNOOS!F48</f>
        <v>17836.298341088586</v>
      </c>
      <c r="G67" s="447">
        <f>PROGNOOS!G48</f>
        <v>17963.627980383564</v>
      </c>
      <c r="H67" s="447">
        <f>PROGNOOS!H48</f>
        <v>17085.852809706419</v>
      </c>
      <c r="I67" s="447">
        <f>PROGNOOS!I48</f>
        <v>16329.001821558066</v>
      </c>
      <c r="J67" s="447">
        <f>PROGNOOS!J48</f>
        <v>14729.240413545269</v>
      </c>
      <c r="K67" s="447">
        <f>PROGNOOS!K48</f>
        <v>14101.117746458523</v>
      </c>
      <c r="L67" s="677"/>
      <c r="S67" s="118"/>
    </row>
    <row r="68" spans="1:19" outlineLevel="1" x14ac:dyDescent="0.3">
      <c r="A68" s="118"/>
      <c r="B68" s="473" t="s">
        <v>800</v>
      </c>
      <c r="C68" s="742" t="s">
        <v>490</v>
      </c>
      <c r="D68" s="447">
        <f>E118</f>
        <v>19.440000000000001</v>
      </c>
      <c r="E68" s="447">
        <f t="shared" ref="E68:K68" si="39">F118</f>
        <v>289.44</v>
      </c>
      <c r="F68" s="447">
        <f t="shared" si="39"/>
        <v>318.60000000000002</v>
      </c>
      <c r="G68" s="447">
        <f t="shared" si="39"/>
        <v>586.22400000000005</v>
      </c>
      <c r="H68" s="447">
        <f t="shared" si="39"/>
        <v>610.20000000000005</v>
      </c>
      <c r="I68" s="447">
        <f t="shared" si="39"/>
        <v>625.75199999999995</v>
      </c>
      <c r="J68" s="447">
        <f t="shared" si="39"/>
        <v>642.6</v>
      </c>
      <c r="K68" s="447">
        <f t="shared" si="39"/>
        <v>656.0784000000001</v>
      </c>
      <c r="L68" s="677">
        <f>SUMPRODUCT(D68:K68,$D$85:$K$85)/8</f>
        <v>468.54179999999997</v>
      </c>
      <c r="S68" s="118"/>
    </row>
    <row r="69" spans="1:19" outlineLevel="1" x14ac:dyDescent="0.3">
      <c r="A69" s="118"/>
      <c r="B69" s="321" t="s">
        <v>489</v>
      </c>
      <c r="C69" s="743" t="s">
        <v>539</v>
      </c>
      <c r="D69" s="460">
        <f>D68*1000/(D49+D50)</f>
        <v>1.0546310629198965</v>
      </c>
      <c r="E69" s="460">
        <f>E68*1000/(E49+E50)</f>
        <v>13.083429750117528</v>
      </c>
      <c r="F69" s="460">
        <f t="shared" ref="F69:K69" si="40">F68*1000/(F49+F50)</f>
        <v>12.485515841951379</v>
      </c>
      <c r="G69" s="460">
        <f t="shared" si="40"/>
        <v>20.134893844754796</v>
      </c>
      <c r="H69" s="460">
        <f t="shared" si="40"/>
        <v>18.939891431369258</v>
      </c>
      <c r="I69" s="460">
        <f t="shared" si="40"/>
        <v>17.856647155755603</v>
      </c>
      <c r="J69" s="460">
        <f t="shared" si="40"/>
        <v>17.158419893704462</v>
      </c>
      <c r="K69" s="460">
        <f t="shared" si="40"/>
        <v>16.701621562780673</v>
      </c>
      <c r="L69" s="677">
        <f>SUMPRODUCT(D69:K69,$D$85:$K$85)/8</f>
        <v>14.6768813179192</v>
      </c>
      <c r="S69" s="118"/>
    </row>
    <row r="70" spans="1:19" ht="6.75" customHeight="1" outlineLevel="1" x14ac:dyDescent="0.3">
      <c r="A70" s="118"/>
      <c r="B70" s="960"/>
      <c r="C70" s="961"/>
      <c r="D70" s="963"/>
      <c r="E70" s="963"/>
      <c r="F70" s="963"/>
      <c r="G70" s="963"/>
      <c r="H70" s="963"/>
      <c r="I70" s="963"/>
      <c r="J70" s="963"/>
      <c r="K70" s="963"/>
      <c r="L70" s="957"/>
      <c r="S70" s="118"/>
    </row>
    <row r="71" spans="1:19" outlineLevel="1" x14ac:dyDescent="0.3">
      <c r="A71" s="118"/>
      <c r="B71" s="321" t="s">
        <v>491</v>
      </c>
      <c r="C71" s="743" t="s">
        <v>492</v>
      </c>
      <c r="D71" s="777">
        <f>VALDKONNAD!E31/(D49+D50)</f>
        <v>0.4668223702025327</v>
      </c>
      <c r="E71" s="777">
        <f>VALDKONNAD!F31/(E49+E50)</f>
        <v>2.0096520104948792</v>
      </c>
      <c r="F71" s="777">
        <f>VALDKONNAD!G31/(F49+F50)</f>
        <v>2.2481061858650637</v>
      </c>
      <c r="G71" s="777">
        <f>VALDKONNAD!H31/(G49+G50)</f>
        <v>2.5910011435371327</v>
      </c>
      <c r="H71" s="777">
        <f>VALDKONNAD!I31/(H49+H50)</f>
        <v>2.6708693418323128</v>
      </c>
      <c r="I71" s="777">
        <f>VALDKONNAD!J31/(I49+I50)</f>
        <v>2.6519711021503531</v>
      </c>
      <c r="J71" s="777">
        <f>VALDKONNAD!K31/(J49+J50)</f>
        <v>2.6805920239062546</v>
      </c>
      <c r="K71" s="777">
        <f>VALDKONNAD!L31/(K49+K50)</f>
        <v>2.7075016564795624</v>
      </c>
      <c r="L71" s="928">
        <f>SUMPRODUCT(D71:K71,$D$85:$K$85)/8</f>
        <v>2.2533144793085111</v>
      </c>
      <c r="S71" s="118"/>
    </row>
    <row r="72" spans="1:19" ht="5.25" customHeight="1" outlineLevel="1" x14ac:dyDescent="0.3">
      <c r="A72" s="118"/>
      <c r="B72" s="960"/>
      <c r="C72" s="961"/>
      <c r="D72" s="964"/>
      <c r="E72" s="964"/>
      <c r="F72" s="964"/>
      <c r="G72" s="964"/>
      <c r="H72" s="964"/>
      <c r="I72" s="964"/>
      <c r="J72" s="964"/>
      <c r="K72" s="964"/>
      <c r="L72" s="1002"/>
      <c r="S72" s="118"/>
    </row>
    <row r="73" spans="1:19" outlineLevel="1" x14ac:dyDescent="0.3">
      <c r="A73" s="118"/>
      <c r="B73" s="473" t="s">
        <v>801</v>
      </c>
      <c r="C73" s="742" t="s">
        <v>75</v>
      </c>
      <c r="D73" s="447">
        <f>PROGNOOS!D46</f>
        <v>316103.40590679075</v>
      </c>
      <c r="E73" s="447">
        <f>PROGNOOS!E46</f>
        <v>293971.72054996953</v>
      </c>
      <c r="F73" s="447">
        <f>PROGNOOS!F46</f>
        <v>361165.17517524504</v>
      </c>
      <c r="G73" s="447">
        <f>PROGNOOS!G46</f>
        <v>391203.04315110284</v>
      </c>
      <c r="H73" s="447">
        <f>PROGNOOS!H46</f>
        <v>380802.46810641745</v>
      </c>
      <c r="I73" s="447">
        <f>PROGNOOS!I46</f>
        <v>372207.49990314653</v>
      </c>
      <c r="J73" s="447">
        <f>PROGNOOS!J46</f>
        <v>353217.76179656875</v>
      </c>
      <c r="K73" s="447">
        <f>PROGNOOS!K46</f>
        <v>347683.44888838171</v>
      </c>
      <c r="L73" s="1003"/>
      <c r="S73" s="118"/>
    </row>
    <row r="74" spans="1:19" outlineLevel="1" x14ac:dyDescent="0.3">
      <c r="A74" s="118"/>
      <c r="B74" s="1001" t="s">
        <v>852</v>
      </c>
      <c r="C74" s="743" t="s">
        <v>493</v>
      </c>
      <c r="D74" s="460">
        <f>D73/D$49</f>
        <v>17.215323965564131</v>
      </c>
      <c r="E74" s="460">
        <f t="shared" ref="E74:K74" si="41">E73/E$49</f>
        <v>13.45890288210243</v>
      </c>
      <c r="F74" s="460">
        <f t="shared" si="41"/>
        <v>14.310912355819836</v>
      </c>
      <c r="G74" s="460">
        <f t="shared" si="41"/>
        <v>13.657785683315064</v>
      </c>
      <c r="H74" s="460">
        <f t="shared" si="41"/>
        <v>11.998231163485858</v>
      </c>
      <c r="I74" s="460">
        <f t="shared" si="41"/>
        <v>10.779346172847912</v>
      </c>
      <c r="J74" s="460">
        <f t="shared" si="41"/>
        <v>9.5731866392364413</v>
      </c>
      <c r="K74" s="460">
        <f t="shared" si="41"/>
        <v>8.9856885187631867</v>
      </c>
      <c r="L74" s="1003"/>
      <c r="S74" s="118"/>
    </row>
    <row r="75" spans="1:19" outlineLevel="1" x14ac:dyDescent="0.3">
      <c r="A75" s="118"/>
      <c r="B75" s="473" t="s">
        <v>802</v>
      </c>
      <c r="C75" s="742" t="s">
        <v>75</v>
      </c>
      <c r="D75" s="447">
        <f>PROGNOOS!D47</f>
        <v>272352.67106270837</v>
      </c>
      <c r="E75" s="447">
        <f>PROGNOOS!E47</f>
        <v>245050.3304128194</v>
      </c>
      <c r="F75" s="447">
        <f>PROGNOOS!F47</f>
        <v>301727.24290917959</v>
      </c>
      <c r="G75" s="447">
        <f>PROGNOOS!G47</f>
        <v>327584.43516994244</v>
      </c>
      <c r="H75" s="447">
        <f>PROGNOOS!H47</f>
        <v>315950.88659201603</v>
      </c>
      <c r="I75" s="447">
        <f>PROGNOOS!I47</f>
        <v>308059.08979881566</v>
      </c>
      <c r="J75" s="447">
        <f>PROGNOOS!J47</f>
        <v>292538.20874092798</v>
      </c>
      <c r="K75" s="447">
        <f>PROGNOOS!K47</f>
        <v>287451.50227314542</v>
      </c>
      <c r="L75" s="1003"/>
      <c r="S75" s="118"/>
    </row>
    <row r="76" spans="1:19" outlineLevel="1" x14ac:dyDescent="0.3">
      <c r="A76" s="118"/>
      <c r="B76" s="1001" t="s">
        <v>852</v>
      </c>
      <c r="C76" s="743" t="s">
        <v>493</v>
      </c>
      <c r="D76" s="460">
        <f>D75/D$49</f>
        <v>14.832612928611674</v>
      </c>
      <c r="E76" s="460">
        <f t="shared" ref="E76" si="42">E75/E$49</f>
        <v>11.219135609653422</v>
      </c>
      <c r="F76" s="460">
        <f t="shared" ref="F76" si="43">F75/F$49</f>
        <v>11.955726701892699</v>
      </c>
      <c r="G76" s="460">
        <f t="shared" ref="G76" si="44">G75/G$49</f>
        <v>11.436715759424118</v>
      </c>
      <c r="H76" s="460">
        <f t="shared" ref="H76" si="45">H75/H$49</f>
        <v>9.9549033715294541</v>
      </c>
      <c r="I76" s="460">
        <f t="shared" ref="I76" si="46">I75/I$49</f>
        <v>8.9215708213777543</v>
      </c>
      <c r="J76" s="460">
        <f t="shared" ref="J76" si="47">J75/J$49</f>
        <v>7.9286014869142907</v>
      </c>
      <c r="K76" s="460">
        <f t="shared" ref="K76" si="48">K75/K$49</f>
        <v>7.4290268114150244</v>
      </c>
      <c r="L76" s="1003"/>
      <c r="S76" s="118"/>
    </row>
    <row r="77" spans="1:19" ht="6.75" customHeight="1" outlineLevel="1" x14ac:dyDescent="0.3">
      <c r="A77" s="118"/>
      <c r="B77" s="960"/>
      <c r="C77" s="961"/>
      <c r="D77" s="962"/>
      <c r="E77" s="962"/>
      <c r="F77" s="962"/>
      <c r="G77" s="962"/>
      <c r="H77" s="962"/>
      <c r="I77" s="962"/>
      <c r="J77" s="962"/>
      <c r="K77" s="962"/>
      <c r="L77" s="958"/>
      <c r="S77" s="118"/>
    </row>
    <row r="78" spans="1:19" outlineLevel="1" x14ac:dyDescent="0.3">
      <c r="A78" s="118"/>
      <c r="B78" s="321" t="s">
        <v>820</v>
      </c>
      <c r="C78" s="743" t="s">
        <v>493</v>
      </c>
      <c r="D78" s="777">
        <f t="shared" ref="D78:K79" si="49">E112/(D$49+D$50)</f>
        <v>2.0710735031339102E-2</v>
      </c>
      <c r="E78" s="777">
        <f t="shared" si="49"/>
        <v>0.12662730695302038</v>
      </c>
      <c r="F78" s="777">
        <f t="shared" si="49"/>
        <v>0.13222150731857171</v>
      </c>
      <c r="G78" s="777">
        <f t="shared" si="49"/>
        <v>0.17758471788482402</v>
      </c>
      <c r="H78" s="777">
        <f t="shared" si="49"/>
        <v>0.17509581881238459</v>
      </c>
      <c r="I78" s="777">
        <f t="shared" si="49"/>
        <v>0.1696938371682154</v>
      </c>
      <c r="J78" s="777">
        <f t="shared" si="49"/>
        <v>0.16761781072265913</v>
      </c>
      <c r="K78" s="777">
        <f t="shared" si="49"/>
        <v>0.16654165623569864</v>
      </c>
      <c r="L78" s="928">
        <f t="shared" ref="L78:L83" si="50">SUMPRODUCT(D78:K78,$D$85:$K$85)/8</f>
        <v>0.14201167376583912</v>
      </c>
    </row>
    <row r="79" spans="1:19" outlineLevel="1" x14ac:dyDescent="0.3">
      <c r="A79" s="118"/>
      <c r="B79" s="375" t="s">
        <v>494</v>
      </c>
      <c r="C79" s="743" t="s">
        <v>493</v>
      </c>
      <c r="D79" s="777">
        <f t="shared" si="49"/>
        <v>7.9218561494872053E-3</v>
      </c>
      <c r="E79" s="777">
        <f t="shared" si="49"/>
        <v>4.1027247452778595E-2</v>
      </c>
      <c r="F79" s="777">
        <f t="shared" si="49"/>
        <v>3.6294803758947926E-2</v>
      </c>
      <c r="G79" s="777">
        <f t="shared" si="49"/>
        <v>3.5960905371676864E-2</v>
      </c>
      <c r="H79" s="777">
        <f t="shared" si="49"/>
        <v>2.6001729093639108E-2</v>
      </c>
      <c r="I79" s="777">
        <f t="shared" si="49"/>
        <v>1.9090556681424231E-2</v>
      </c>
      <c r="J79" s="777">
        <f t="shared" si="49"/>
        <v>9.8056419272755588E-3</v>
      </c>
      <c r="K79" s="777">
        <f t="shared" si="49"/>
        <v>7.4943745306064388E-3</v>
      </c>
      <c r="L79" s="928">
        <f t="shared" si="50"/>
        <v>2.2949639370729493E-2</v>
      </c>
    </row>
    <row r="80" spans="1:19" outlineLevel="1" x14ac:dyDescent="0.3">
      <c r="A80" s="118"/>
      <c r="B80" s="375" t="s">
        <v>495</v>
      </c>
      <c r="C80" s="743" t="s">
        <v>493</v>
      </c>
      <c r="D80" s="777">
        <f>E114/(TULEMUSED!D$49+TULEMUSED!D$50)</f>
        <v>1.2788878881851897E-2</v>
      </c>
      <c r="E80" s="777">
        <f>F114/(TULEMUSED!E$49+TULEMUSED!E$50)</f>
        <v>8.5600059500241771E-2</v>
      </c>
      <c r="F80" s="777">
        <f>G114/(TULEMUSED!F$49+TULEMUSED!F$50)</f>
        <v>9.5926703559623766E-2</v>
      </c>
      <c r="G80" s="777">
        <f>H114/(TULEMUSED!G$49+TULEMUSED!G$50)</f>
        <v>0.14162381251314718</v>
      </c>
      <c r="H80" s="777">
        <f>I114/(TULEMUSED!H$49+TULEMUSED!H$50)</f>
        <v>0.14909408971874547</v>
      </c>
      <c r="I80" s="777">
        <f>J114/(TULEMUSED!I$49+TULEMUSED!I$50)</f>
        <v>0.15060328048679114</v>
      </c>
      <c r="J80" s="777">
        <f>K114/(TULEMUSED!J$49+TULEMUSED!J$50)</f>
        <v>0.15781216879538357</v>
      </c>
      <c r="K80" s="777">
        <f>L114/(TULEMUSED!K$49+TULEMUSED!K$50)</f>
        <v>0.15904728170509219</v>
      </c>
      <c r="L80" s="928">
        <f t="shared" si="50"/>
        <v>0.11906203439510964</v>
      </c>
    </row>
    <row r="81" spans="1:32" outlineLevel="1" x14ac:dyDescent="0.3">
      <c r="A81" s="118"/>
      <c r="B81" s="472" t="s">
        <v>542</v>
      </c>
      <c r="C81" s="743" t="s">
        <v>493</v>
      </c>
      <c r="D81" s="777">
        <f t="shared" ref="D81:K81" si="51">E115/(D$49+D$50)</f>
        <v>0</v>
      </c>
      <c r="E81" s="777">
        <f t="shared" si="51"/>
        <v>0</v>
      </c>
      <c r="F81" s="777">
        <f t="shared" si="51"/>
        <v>0</v>
      </c>
      <c r="G81" s="777">
        <f t="shared" si="51"/>
        <v>0</v>
      </c>
      <c r="H81" s="777">
        <f t="shared" si="51"/>
        <v>0</v>
      </c>
      <c r="I81" s="777">
        <f t="shared" si="51"/>
        <v>0</v>
      </c>
      <c r="J81" s="777">
        <f t="shared" si="51"/>
        <v>0</v>
      </c>
      <c r="K81" s="777">
        <f t="shared" si="51"/>
        <v>0</v>
      </c>
      <c r="L81" s="928">
        <f t="shared" si="50"/>
        <v>0</v>
      </c>
    </row>
    <row r="82" spans="1:32" outlineLevel="1" x14ac:dyDescent="0.3">
      <c r="A82" s="118"/>
      <c r="B82" s="472" t="s">
        <v>543</v>
      </c>
      <c r="C82" s="743" t="s">
        <v>493</v>
      </c>
      <c r="D82" s="777">
        <f>VALDKONNAD!E30/(TULEMUSED!D$49+TULEMUSED!D$50)</f>
        <v>0</v>
      </c>
      <c r="E82" s="777">
        <f>VALDKONNAD!F30/(TULEMUSED!E$49+TULEMUSED!E$50)</f>
        <v>0</v>
      </c>
      <c r="F82" s="777">
        <f>VALDKONNAD!G30/(TULEMUSED!F$49+TULEMUSED!F$50)</f>
        <v>0</v>
      </c>
      <c r="G82" s="777">
        <f>VALDKONNAD!H30/(TULEMUSED!G$49+TULEMUSED!G$50)</f>
        <v>0</v>
      </c>
      <c r="H82" s="777">
        <f>VALDKONNAD!I30/(TULEMUSED!H$49+TULEMUSED!H$50)</f>
        <v>0</v>
      </c>
      <c r="I82" s="777">
        <f>VALDKONNAD!J30/(TULEMUSED!I$49+TULEMUSED!I$50)</f>
        <v>0</v>
      </c>
      <c r="J82" s="777">
        <f>VALDKONNAD!K30/(TULEMUSED!J$49+TULEMUSED!J$50)</f>
        <v>0</v>
      </c>
      <c r="K82" s="777">
        <f>VALDKONNAD!L30/(TULEMUSED!K$49+TULEMUSED!K$50)</f>
        <v>0</v>
      </c>
      <c r="L82" s="928">
        <f t="shared" si="50"/>
        <v>0</v>
      </c>
    </row>
    <row r="83" spans="1:32" outlineLevel="1" x14ac:dyDescent="0.3">
      <c r="A83" s="118"/>
      <c r="B83" s="321" t="s">
        <v>540</v>
      </c>
      <c r="C83" s="743" t="s">
        <v>493</v>
      </c>
      <c r="D83" s="777">
        <f t="shared" ref="D83:K83" si="52">E120/(D$49+D$50)</f>
        <v>0</v>
      </c>
      <c r="E83" s="777">
        <f t="shared" si="52"/>
        <v>0</v>
      </c>
      <c r="F83" s="777">
        <f t="shared" si="52"/>
        <v>0</v>
      </c>
      <c r="G83" s="777">
        <f t="shared" si="52"/>
        <v>0</v>
      </c>
      <c r="H83" s="777">
        <f t="shared" si="52"/>
        <v>0</v>
      </c>
      <c r="I83" s="777">
        <f t="shared" si="52"/>
        <v>0</v>
      </c>
      <c r="J83" s="777">
        <f t="shared" si="52"/>
        <v>0</v>
      </c>
      <c r="K83" s="777">
        <f t="shared" si="52"/>
        <v>0</v>
      </c>
      <c r="L83" s="928">
        <f t="shared" si="50"/>
        <v>0</v>
      </c>
    </row>
    <row r="84" spans="1:32" ht="7.5" customHeight="1" outlineLevel="1" x14ac:dyDescent="0.3">
      <c r="A84" s="118"/>
      <c r="B84" s="106"/>
      <c r="C84" s="476"/>
      <c r="L84" s="374"/>
    </row>
    <row r="85" spans="1:32" outlineLevel="1" x14ac:dyDescent="0.3">
      <c r="A85" s="118"/>
      <c r="B85" s="461" t="s">
        <v>462</v>
      </c>
      <c r="C85" s="462"/>
      <c r="D85" s="870">
        <v>1</v>
      </c>
      <c r="E85" s="870">
        <v>1</v>
      </c>
      <c r="F85" s="870">
        <v>1</v>
      </c>
      <c r="G85" s="870">
        <v>1</v>
      </c>
      <c r="H85" s="870">
        <v>1</v>
      </c>
      <c r="I85" s="870">
        <v>1</v>
      </c>
      <c r="J85" s="870">
        <v>1</v>
      </c>
      <c r="K85" s="870">
        <v>1</v>
      </c>
      <c r="L85" s="463"/>
    </row>
    <row r="86" spans="1:32" outlineLevel="1" x14ac:dyDescent="0.3">
      <c r="A86" s="118"/>
      <c r="B86" s="371" t="s">
        <v>530</v>
      </c>
      <c r="C86" s="117"/>
    </row>
    <row r="87" spans="1:32" outlineLevel="1" x14ac:dyDescent="0.3">
      <c r="A87" s="118"/>
      <c r="B87" s="476" t="s">
        <v>549</v>
      </c>
      <c r="C87" s="355"/>
      <c r="D87" s="355"/>
      <c r="E87" s="355"/>
      <c r="F87" s="356"/>
      <c r="J87" s="356"/>
      <c r="L87" s="356"/>
    </row>
    <row r="88" spans="1:32" x14ac:dyDescent="0.3">
      <c r="A88" s="118"/>
      <c r="B88" s="197"/>
      <c r="C88" s="117"/>
    </row>
    <row r="89" spans="1:32" s="105" customFormat="1" ht="21" customHeight="1" outlineLevel="1" x14ac:dyDescent="0.3">
      <c r="B89" s="380" t="s">
        <v>701</v>
      </c>
      <c r="C89" s="117"/>
      <c r="E89" s="107"/>
    </row>
    <row r="90" spans="1:32" s="105" customFormat="1" outlineLevel="1" x14ac:dyDescent="0.3">
      <c r="B90" s="317" t="s">
        <v>210</v>
      </c>
      <c r="C90" s="364" t="s">
        <v>293</v>
      </c>
      <c r="D90" s="364" t="s">
        <v>488</v>
      </c>
      <c r="E90" s="318">
        <v>2015</v>
      </c>
      <c r="F90" s="318">
        <f t="shared" ref="F90:L90" si="53">E90+5</f>
        <v>2020</v>
      </c>
      <c r="G90" s="318">
        <f t="shared" si="53"/>
        <v>2025</v>
      </c>
      <c r="H90" s="318">
        <f t="shared" si="53"/>
        <v>2030</v>
      </c>
      <c r="I90" s="318">
        <f t="shared" si="53"/>
        <v>2035</v>
      </c>
      <c r="J90" s="318">
        <f t="shared" si="53"/>
        <v>2040</v>
      </c>
      <c r="K90" s="318">
        <f t="shared" si="53"/>
        <v>2045</v>
      </c>
      <c r="L90" s="318">
        <f t="shared" si="53"/>
        <v>2050</v>
      </c>
      <c r="M90" s="900" t="s">
        <v>768</v>
      </c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</row>
    <row r="91" spans="1:32" s="105" customFormat="1" outlineLevel="1" x14ac:dyDescent="0.3">
      <c r="B91" s="345" t="s">
        <v>366</v>
      </c>
      <c r="C91" s="365"/>
      <c r="D91" s="319"/>
      <c r="E91" s="319"/>
      <c r="F91" s="319"/>
      <c r="G91" s="319"/>
      <c r="H91" s="319"/>
      <c r="I91" s="319"/>
      <c r="J91" s="319"/>
      <c r="K91" s="319"/>
      <c r="L91" s="319"/>
      <c r="M91" s="1111">
        <v>2</v>
      </c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</row>
    <row r="92" spans="1:32" s="105" customFormat="1" outlineLevel="1" x14ac:dyDescent="0.3">
      <c r="A92" s="114"/>
      <c r="B92" s="1010" t="s">
        <v>231</v>
      </c>
      <c r="C92" s="1011" t="s">
        <v>296</v>
      </c>
      <c r="D92" s="1012">
        <v>1</v>
      </c>
      <c r="E92" s="1013">
        <f>VALDKONNAD!E6*E$122</f>
        <v>3.9899999999999998</v>
      </c>
      <c r="F92" s="1013">
        <f>VALDKONNAD!F6*F$122</f>
        <v>20.615000000000002</v>
      </c>
      <c r="G92" s="1013">
        <f>VALDKONNAD!G6*G$122</f>
        <v>26.6</v>
      </c>
      <c r="H92" s="1013">
        <f>VALDKONNAD!H6*H$122</f>
        <v>34.978999999999999</v>
      </c>
      <c r="I92" s="1013">
        <f>VALDKONNAD!I6*I$122</f>
        <v>39.900000000000006</v>
      </c>
      <c r="J92" s="1013">
        <f>VALDKONNAD!J6*J$122</f>
        <v>43.092000000000006</v>
      </c>
      <c r="K92" s="1013">
        <f>VALDKONNAD!K6*K$122</f>
        <v>46.550000000000004</v>
      </c>
      <c r="L92" s="1013">
        <f>VALDKONNAD!L6*L$122</f>
        <v>49.316400000000002</v>
      </c>
      <c r="M92" s="901">
        <v>1</v>
      </c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</row>
    <row r="93" spans="1:32" s="105" customFormat="1" outlineLevel="1" x14ac:dyDescent="0.3">
      <c r="A93" s="114"/>
      <c r="B93" s="1010" t="s">
        <v>209</v>
      </c>
      <c r="C93" s="1011" t="s">
        <v>296</v>
      </c>
      <c r="D93" s="1012">
        <v>2</v>
      </c>
      <c r="E93" s="1013">
        <f>VALDKONNAD!E7*E$122</f>
        <v>0</v>
      </c>
      <c r="F93" s="1013">
        <f>VALDKONNAD!F7*F$122</f>
        <v>0</v>
      </c>
      <c r="G93" s="1013">
        <f>VALDKONNAD!G7*G$122</f>
        <v>0</v>
      </c>
      <c r="H93" s="1013">
        <f>VALDKONNAD!H7*H$122</f>
        <v>0</v>
      </c>
      <c r="I93" s="1013">
        <f>VALDKONNAD!I7*I$122</f>
        <v>0</v>
      </c>
      <c r="J93" s="1013">
        <f>VALDKONNAD!J7*J$122</f>
        <v>0</v>
      </c>
      <c r="K93" s="1013">
        <f>VALDKONNAD!K7*K$122</f>
        <v>0</v>
      </c>
      <c r="L93" s="1013">
        <f>VALDKONNAD!L7*L$122</f>
        <v>0</v>
      </c>
      <c r="M93" s="901">
        <v>2</v>
      </c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</row>
    <row r="94" spans="1:32" s="105" customFormat="1" outlineLevel="1" x14ac:dyDescent="0.3">
      <c r="A94" s="114"/>
      <c r="B94" s="1010" t="s">
        <v>872</v>
      </c>
      <c r="C94" s="1011" t="s">
        <v>296</v>
      </c>
      <c r="D94" s="1012">
        <v>4</v>
      </c>
      <c r="E94" s="1013">
        <f>VALDKONNAD!E8*E$122</f>
        <v>0</v>
      </c>
      <c r="F94" s="1013">
        <f>VALDKONNAD!F8*F$122</f>
        <v>0</v>
      </c>
      <c r="G94" s="1013">
        <f>VALDKONNAD!G8*G$122</f>
        <v>0</v>
      </c>
      <c r="H94" s="1013">
        <f>VALDKONNAD!H8*H$122</f>
        <v>0</v>
      </c>
      <c r="I94" s="1013">
        <f>VALDKONNAD!I8*I$122</f>
        <v>0</v>
      </c>
      <c r="J94" s="1013">
        <f>VALDKONNAD!J8*J$122</f>
        <v>0</v>
      </c>
      <c r="K94" s="1013">
        <f>VALDKONNAD!K8*K$122</f>
        <v>0</v>
      </c>
      <c r="L94" s="1013">
        <f>VALDKONNAD!L8*L$122</f>
        <v>0</v>
      </c>
      <c r="M94" s="901">
        <v>3</v>
      </c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</row>
    <row r="95" spans="1:32" s="105" customFormat="1" outlineLevel="1" x14ac:dyDescent="0.3">
      <c r="A95" s="114"/>
      <c r="B95" s="1010" t="s">
        <v>124</v>
      </c>
      <c r="C95" s="1011" t="s">
        <v>296</v>
      </c>
      <c r="D95" s="1012">
        <v>10</v>
      </c>
      <c r="E95" s="1013">
        <f>VALDKONNAD!E9*E$122</f>
        <v>0</v>
      </c>
      <c r="F95" s="1013">
        <f>VALDKONNAD!F9*F$122</f>
        <v>0</v>
      </c>
      <c r="G95" s="1013">
        <f>VALDKONNAD!G9*G$122</f>
        <v>0</v>
      </c>
      <c r="H95" s="1013">
        <f>VALDKONNAD!H9*H$122</f>
        <v>0</v>
      </c>
      <c r="I95" s="1013">
        <f>VALDKONNAD!I9*I$122</f>
        <v>0</v>
      </c>
      <c r="J95" s="1013">
        <f>VALDKONNAD!J9*J$122</f>
        <v>0</v>
      </c>
      <c r="K95" s="1013">
        <f>VALDKONNAD!K9*K$122</f>
        <v>0</v>
      </c>
      <c r="L95" s="1013">
        <f>VALDKONNAD!L9*L$122</f>
        <v>0</v>
      </c>
      <c r="M95" s="901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</row>
    <row r="96" spans="1:32" s="105" customFormat="1" outlineLevel="1" x14ac:dyDescent="0.3">
      <c r="A96" s="114"/>
      <c r="B96" s="1010" t="s">
        <v>486</v>
      </c>
      <c r="C96" s="1011" t="s">
        <v>296</v>
      </c>
      <c r="D96" s="1012">
        <v>23</v>
      </c>
      <c r="E96" s="1013">
        <f>VALDKONNAD!E10*E$122</f>
        <v>19.927708316706074</v>
      </c>
      <c r="F96" s="1013">
        <f>VALDKONNAD!F10*F$122</f>
        <v>56.156978974006158</v>
      </c>
      <c r="G96" s="1013">
        <f>VALDKONNAD!G10*G$122</f>
        <v>60.033246254543961</v>
      </c>
      <c r="H96" s="1013">
        <f>VALDKONNAD!H10*H$122</f>
        <v>93.78327807920148</v>
      </c>
      <c r="I96" s="1013">
        <f>VALDKONNAD!I10*I$122</f>
        <v>72.948553545205471</v>
      </c>
      <c r="J96" s="1013">
        <f>VALDKONNAD!J10*J$122</f>
        <v>75.453419145205473</v>
      </c>
      <c r="K96" s="1013">
        <f>VALDKONNAD!K10*K$122</f>
        <v>79.076516745205467</v>
      </c>
      <c r="L96" s="1013">
        <f>VALDKONNAD!L10*L$122</f>
        <v>81.590462985205477</v>
      </c>
      <c r="M96" s="901">
        <v>4</v>
      </c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</row>
    <row r="97" spans="1:32" s="105" customFormat="1" outlineLevel="1" x14ac:dyDescent="0.3">
      <c r="A97" s="114"/>
      <c r="B97" s="1010" t="s">
        <v>285</v>
      </c>
      <c r="C97" s="1011" t="s">
        <v>296</v>
      </c>
      <c r="D97" s="1012">
        <v>24</v>
      </c>
      <c r="E97" s="1013">
        <f>VALDKONNAD!E11*E$122</f>
        <v>2.0249999999999999</v>
      </c>
      <c r="F97" s="1013">
        <f>VALDKONNAD!F11*F$122</f>
        <v>15.981817808219178</v>
      </c>
      <c r="G97" s="1013">
        <f>VALDKONNAD!G11*G$122</f>
        <v>19.019317808219178</v>
      </c>
      <c r="H97" s="1013">
        <f>VALDKONNAD!H11*H$122</f>
        <v>29.894999178082191</v>
      </c>
      <c r="I97" s="1013">
        <f>VALDKONNAD!I11*I$122</f>
        <v>32.39249917808219</v>
      </c>
      <c r="J97" s="1013">
        <f>VALDKONNAD!J11*J$122</f>
        <v>34.012499178082194</v>
      </c>
      <c r="K97" s="1013">
        <f>VALDKONNAD!K11*K$122</f>
        <v>35.76749917808219</v>
      </c>
      <c r="L97" s="1013">
        <f>VALDKONNAD!L11*L$122</f>
        <v>37.171499178082193</v>
      </c>
      <c r="M97" s="901">
        <v>5</v>
      </c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</row>
    <row r="98" spans="1:32" s="105" customFormat="1" outlineLevel="1" x14ac:dyDescent="0.3">
      <c r="A98" s="114"/>
      <c r="B98" s="1010" t="s">
        <v>315</v>
      </c>
      <c r="C98" s="1011" t="s">
        <v>296</v>
      </c>
      <c r="D98" s="1012">
        <v>26</v>
      </c>
      <c r="E98" s="1013">
        <f>VALDKONNAD!E12*E$122</f>
        <v>2.4750000000000001</v>
      </c>
      <c r="F98" s="1013">
        <f>VALDKONNAD!F12*F$122</f>
        <v>19.533332876712329</v>
      </c>
      <c r="G98" s="1013">
        <f>VALDKONNAD!G12*G$122</f>
        <v>23.245832876712331</v>
      </c>
      <c r="H98" s="1013">
        <f>VALDKONNAD!H12*H$122</f>
        <v>36.538332328767126</v>
      </c>
      <c r="I98" s="1013">
        <f>VALDKONNAD!I12*I$122</f>
        <v>39.590832328767121</v>
      </c>
      <c r="J98" s="1013">
        <f>VALDKONNAD!J12*J$122</f>
        <v>41.570832328767132</v>
      </c>
      <c r="K98" s="1013">
        <f>VALDKONNAD!K12*K$122</f>
        <v>43.715832328767121</v>
      </c>
      <c r="L98" s="1013">
        <f>VALDKONNAD!L12*L$122</f>
        <v>45.431832328767129</v>
      </c>
      <c r="M98" s="901">
        <v>6</v>
      </c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</row>
    <row r="99" spans="1:32" s="105" customFormat="1" outlineLevel="1" x14ac:dyDescent="0.3">
      <c r="A99" s="114"/>
      <c r="B99" s="1010" t="s">
        <v>38</v>
      </c>
      <c r="C99" s="1011" t="s">
        <v>296</v>
      </c>
      <c r="D99" s="1012">
        <v>29</v>
      </c>
      <c r="E99" s="1013">
        <f>VALDKONNAD!E13*E$122</f>
        <v>29.844942699021313</v>
      </c>
      <c r="F99" s="1013">
        <f>VALDKONNAD!F13*F$122</f>
        <v>57.415806205870631</v>
      </c>
      <c r="G99" s="1013">
        <f>VALDKONNAD!G13*G$122</f>
        <v>29.69422723700983</v>
      </c>
      <c r="H99" s="1013">
        <f>VALDKONNAD!H13*H$122</f>
        <v>65.810756245229001</v>
      </c>
      <c r="I99" s="1013">
        <f>VALDKONNAD!I13*I$122</f>
        <v>29.896850115068492</v>
      </c>
      <c r="J99" s="1013">
        <f>VALDKONNAD!J13*J$122</f>
        <v>28.771030915068494</v>
      </c>
      <c r="K99" s="1013">
        <f>VALDKONNAD!K13*K$122</f>
        <v>30.280387715068493</v>
      </c>
      <c r="L99" s="1013">
        <f>VALDKONNAD!L13*L$122</f>
        <v>30.334060035068493</v>
      </c>
      <c r="M99" s="901">
        <v>7</v>
      </c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</row>
    <row r="100" spans="1:32" s="105" customFormat="1" outlineLevel="1" x14ac:dyDescent="0.3">
      <c r="B100" s="1010" t="s">
        <v>487</v>
      </c>
      <c r="C100" s="1011" t="s">
        <v>296</v>
      </c>
      <c r="D100" s="1012">
        <v>30</v>
      </c>
      <c r="E100" s="1013">
        <f>VALDKONNAD!E14*E$122</f>
        <v>0</v>
      </c>
      <c r="F100" s="1013">
        <f>VALDKONNAD!F14*F$122</f>
        <v>0</v>
      </c>
      <c r="G100" s="1013">
        <f>VALDKONNAD!G14*G$122</f>
        <v>0</v>
      </c>
      <c r="H100" s="1013">
        <f>VALDKONNAD!H14*H$122</f>
        <v>0</v>
      </c>
      <c r="I100" s="1013">
        <f>VALDKONNAD!I14*I$122</f>
        <v>0</v>
      </c>
      <c r="J100" s="1013">
        <f>VALDKONNAD!J14*J$122</f>
        <v>0</v>
      </c>
      <c r="K100" s="1013">
        <f>VALDKONNAD!K14*K$122</f>
        <v>0</v>
      </c>
      <c r="L100" s="1013">
        <f>VALDKONNAD!L14*L$122</f>
        <v>0</v>
      </c>
      <c r="M100" s="901">
        <v>8</v>
      </c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</row>
    <row r="101" spans="1:32" outlineLevel="1" x14ac:dyDescent="0.3">
      <c r="B101" s="1010" t="s">
        <v>137</v>
      </c>
      <c r="C101" s="1011" t="s">
        <v>296</v>
      </c>
      <c r="D101" s="1012">
        <v>31</v>
      </c>
      <c r="E101" s="1013">
        <f>VALDKONNAD!E15*E$122</f>
        <v>0</v>
      </c>
      <c r="F101" s="1013">
        <f>VALDKONNAD!F15*F$122</f>
        <v>0</v>
      </c>
      <c r="G101" s="1013">
        <f>VALDKONNAD!G15*G$122</f>
        <v>0</v>
      </c>
      <c r="H101" s="1013">
        <f>VALDKONNAD!H15*H$122</f>
        <v>0</v>
      </c>
      <c r="I101" s="1013">
        <f>VALDKONNAD!I15*I$122</f>
        <v>0</v>
      </c>
      <c r="J101" s="1013">
        <f>VALDKONNAD!J15*J$122</f>
        <v>0</v>
      </c>
      <c r="K101" s="1013">
        <f>VALDKONNAD!K15*K$122</f>
        <v>0</v>
      </c>
      <c r="L101" s="1013">
        <f>VALDKONNAD!L15*L$122</f>
        <v>0</v>
      </c>
      <c r="M101" s="901">
        <v>9</v>
      </c>
    </row>
    <row r="102" spans="1:32" outlineLevel="1" x14ac:dyDescent="0.3">
      <c r="B102" s="1010" t="s">
        <v>138</v>
      </c>
      <c r="C102" s="1011" t="s">
        <v>296</v>
      </c>
      <c r="D102" s="1012">
        <v>32</v>
      </c>
      <c r="E102" s="1013">
        <f>VALDKONNAD!E16*E$122</f>
        <v>0</v>
      </c>
      <c r="F102" s="1013">
        <f>VALDKONNAD!F16*F$122</f>
        <v>0</v>
      </c>
      <c r="G102" s="1013">
        <f>VALDKONNAD!G16*G$122</f>
        <v>0</v>
      </c>
      <c r="H102" s="1013">
        <f>VALDKONNAD!H16*H$122</f>
        <v>0</v>
      </c>
      <c r="I102" s="1013">
        <f>VALDKONNAD!I16*I$122</f>
        <v>0</v>
      </c>
      <c r="J102" s="1013">
        <f>VALDKONNAD!J16*J$122</f>
        <v>0</v>
      </c>
      <c r="K102" s="1013">
        <f>VALDKONNAD!K16*K$122</f>
        <v>0</v>
      </c>
      <c r="L102" s="1013">
        <f>VALDKONNAD!L16*L$122</f>
        <v>0</v>
      </c>
      <c r="M102" s="901">
        <v>10</v>
      </c>
    </row>
    <row r="103" spans="1:32" outlineLevel="1" x14ac:dyDescent="0.3">
      <c r="B103" s="1010" t="s">
        <v>453</v>
      </c>
      <c r="C103" s="1011" t="s">
        <v>296</v>
      </c>
      <c r="D103" s="1012">
        <v>33</v>
      </c>
      <c r="E103" s="1013">
        <f>VALDKONNAD!E17*E$122</f>
        <v>2.31</v>
      </c>
      <c r="F103" s="1013">
        <f>VALDKONNAD!F17*F$122</f>
        <v>12.864178082191783</v>
      </c>
      <c r="G103" s="1013">
        <f>VALDKONNAD!G17*G$122</f>
        <v>16.329178082191781</v>
      </c>
      <c r="H103" s="1013">
        <f>VALDKONNAD!H17*H$122</f>
        <v>22.29519178082192</v>
      </c>
      <c r="I103" s="1013">
        <f>VALDKONNAD!I17*I$122</f>
        <v>25.144191780821924</v>
      </c>
      <c r="J103" s="1013">
        <f>VALDKONNAD!J17*J$122</f>
        <v>26.992191780821923</v>
      </c>
      <c r="K103" s="1013">
        <f>VALDKONNAD!K17*K$122</f>
        <v>28.994191780821922</v>
      </c>
      <c r="L103" s="1013">
        <f>VALDKONNAD!L17*L$122</f>
        <v>30.595791780821923</v>
      </c>
      <c r="M103" s="901">
        <v>11</v>
      </c>
    </row>
    <row r="104" spans="1:32" outlineLevel="1" x14ac:dyDescent="0.3">
      <c r="B104" s="1010" t="s">
        <v>705</v>
      </c>
      <c r="C104" s="1011" t="s">
        <v>296</v>
      </c>
      <c r="D104" s="1012">
        <v>55</v>
      </c>
      <c r="E104" s="1013">
        <f>VALDKONNAD!E18*E$122</f>
        <v>0</v>
      </c>
      <c r="F104" s="1013">
        <f>VALDKONNAD!F18*F$122</f>
        <v>0</v>
      </c>
      <c r="G104" s="1013">
        <f>VALDKONNAD!G18*G$122</f>
        <v>0</v>
      </c>
      <c r="H104" s="1013">
        <f>VALDKONNAD!H18*H$122</f>
        <v>0</v>
      </c>
      <c r="I104" s="1013">
        <f>VALDKONNAD!I18*I$122</f>
        <v>0</v>
      </c>
      <c r="J104" s="1013">
        <f>VALDKONNAD!J18*J$122</f>
        <v>0</v>
      </c>
      <c r="K104" s="1013">
        <f>VALDKONNAD!K18*K$122</f>
        <v>0</v>
      </c>
      <c r="L104" s="1013">
        <f>VALDKONNAD!L18*L$122</f>
        <v>0</v>
      </c>
      <c r="M104" s="901">
        <v>12</v>
      </c>
    </row>
    <row r="105" spans="1:32" outlineLevel="1" x14ac:dyDescent="0.3">
      <c r="B105" s="1014" t="s">
        <v>204</v>
      </c>
      <c r="C105" s="1011" t="s">
        <v>296</v>
      </c>
      <c r="D105" s="1015">
        <v>101</v>
      </c>
      <c r="E105" s="1016">
        <f>VALDKONNAD!E19*E$122</f>
        <v>10.728092290413976</v>
      </c>
      <c r="F105" s="1016">
        <f>VALDKONNAD!F19*F$122</f>
        <v>62.433289959889294</v>
      </c>
      <c r="G105" s="1016">
        <f>VALDKONNAD!G19*G$122</f>
        <v>24.870852596551487</v>
      </c>
      <c r="H105" s="1016">
        <f>VALDKONNAD!H19*H$122</f>
        <v>100.96032108466125</v>
      </c>
      <c r="I105" s="1016">
        <f>VALDKONNAD!I19*I$122</f>
        <v>61.166425796926006</v>
      </c>
      <c r="J105" s="1016">
        <f>VALDKONNAD!J19*J$122</f>
        <v>70.976748436173409</v>
      </c>
      <c r="K105" s="1016">
        <f>VALDKONNAD!K19*K$122</f>
        <v>81.388057849466946</v>
      </c>
      <c r="L105" s="1016">
        <f>VALDKONNAD!L19*L$122</f>
        <v>92.050302299215957</v>
      </c>
      <c r="M105" s="901">
        <v>13</v>
      </c>
    </row>
    <row r="106" spans="1:32" outlineLevel="1" x14ac:dyDescent="0.3">
      <c r="B106" s="1014" t="s">
        <v>364</v>
      </c>
      <c r="C106" s="1011" t="s">
        <v>296</v>
      </c>
      <c r="D106" s="1015">
        <v>102</v>
      </c>
      <c r="E106" s="1016">
        <f>VALDKONNAD!E20*E$122</f>
        <v>15.360997874935169</v>
      </c>
      <c r="F106" s="1016">
        <f>VALDKONNAD!F20*F$122</f>
        <v>48.235957831702187</v>
      </c>
      <c r="G106" s="1016">
        <f>VALDKONNAD!G20*G$122</f>
        <v>14.098779550267528</v>
      </c>
      <c r="H106" s="1016">
        <f>VALDKONNAD!H20*H$122</f>
        <v>63.89877955026752</v>
      </c>
      <c r="I106" s="1016">
        <f>VALDKONNAD!I20*I$122</f>
        <v>0</v>
      </c>
      <c r="J106" s="1016">
        <f>VALDKONNAD!J20*J$122</f>
        <v>0</v>
      </c>
      <c r="K106" s="1016">
        <f>VALDKONNAD!K20*K$122</f>
        <v>0</v>
      </c>
      <c r="L106" s="1016">
        <f>VALDKONNAD!L20*L$122</f>
        <v>0</v>
      </c>
      <c r="M106" s="901">
        <v>14</v>
      </c>
    </row>
    <row r="107" spans="1:32" outlineLevel="1" x14ac:dyDescent="0.3">
      <c r="B107" s="1014" t="s">
        <v>457</v>
      </c>
      <c r="C107" s="1011" t="s">
        <v>296</v>
      </c>
      <c r="D107" s="1015">
        <v>103</v>
      </c>
      <c r="E107" s="1016">
        <f>VALDKONNAD!E21*E$122</f>
        <v>-67.851829318842121</v>
      </c>
      <c r="F107" s="1016">
        <f>VALDKONNAD!F21*F$122</f>
        <v>4.7586588144570641</v>
      </c>
      <c r="G107" s="1016">
        <f>VALDKONNAD!G21*G$122</f>
        <v>84.111649329905205</v>
      </c>
      <c r="H107" s="1016">
        <f>VALDKONNAD!H21*H$122</f>
        <v>72.546872528803263</v>
      </c>
      <c r="I107" s="1016">
        <f>VALDKONNAD!I21*I$122</f>
        <v>239.4421549322571</v>
      </c>
      <c r="J107" s="1016">
        <f>VALDKONNAD!J21*J$122</f>
        <v>293.93105258034319</v>
      </c>
      <c r="K107" s="1016">
        <f>VALDKONNAD!K21*K$122</f>
        <v>338.40314748732027</v>
      </c>
      <c r="L107" s="1016">
        <f>VALDKONNAD!L21*L$122</f>
        <v>399.94602131198513</v>
      </c>
      <c r="M107" s="901">
        <v>15</v>
      </c>
    </row>
    <row r="108" spans="1:32" outlineLevel="1" x14ac:dyDescent="0.3">
      <c r="B108" s="1014" t="s">
        <v>110</v>
      </c>
      <c r="C108" s="1011" t="s">
        <v>296</v>
      </c>
      <c r="D108" s="1015">
        <v>104</v>
      </c>
      <c r="E108" s="1016">
        <f>VALDKONNAD!E22*E$122</f>
        <v>0</v>
      </c>
      <c r="F108" s="1016">
        <f>VALDKONNAD!F22*F$122</f>
        <v>0</v>
      </c>
      <c r="G108" s="1016">
        <f>VALDKONNAD!G22*G$122</f>
        <v>0</v>
      </c>
      <c r="H108" s="1016">
        <f>VALDKONNAD!H22*H$122</f>
        <v>0</v>
      </c>
      <c r="I108" s="1016">
        <f>VALDKONNAD!I22*I$122</f>
        <v>0</v>
      </c>
      <c r="J108" s="1016">
        <f>VALDKONNAD!J22*J$122</f>
        <v>0</v>
      </c>
      <c r="K108" s="1016">
        <f>VALDKONNAD!K22*K$122</f>
        <v>0</v>
      </c>
      <c r="L108" s="1016">
        <f>VALDKONNAD!L22*L$122</f>
        <v>0</v>
      </c>
      <c r="M108" s="901">
        <v>16</v>
      </c>
    </row>
    <row r="109" spans="1:32" outlineLevel="1" x14ac:dyDescent="0.3">
      <c r="B109" s="1014" t="s">
        <v>468</v>
      </c>
      <c r="C109" s="1011" t="s">
        <v>296</v>
      </c>
      <c r="D109" s="1015">
        <v>105</v>
      </c>
      <c r="E109" s="1016">
        <f>VALDKONNAD!E23*E$122</f>
        <v>0</v>
      </c>
      <c r="F109" s="1016">
        <f>VALDKONNAD!F23*F$122</f>
        <v>0</v>
      </c>
      <c r="G109" s="1016">
        <f>VALDKONNAD!G23*G$122</f>
        <v>0</v>
      </c>
      <c r="H109" s="1016">
        <f>VALDKONNAD!H23*H$122</f>
        <v>0</v>
      </c>
      <c r="I109" s="1016">
        <f>VALDKONNAD!I23*I$122</f>
        <v>0</v>
      </c>
      <c r="J109" s="1016">
        <f>VALDKONNAD!J23*J$122</f>
        <v>0</v>
      </c>
      <c r="K109" s="1016">
        <f>VALDKONNAD!K23*K$122</f>
        <v>0</v>
      </c>
      <c r="L109" s="1016">
        <f>VALDKONNAD!L23*L$122</f>
        <v>0</v>
      </c>
      <c r="M109" s="901">
        <v>17</v>
      </c>
    </row>
    <row r="110" spans="1:32" outlineLevel="1" x14ac:dyDescent="0.3">
      <c r="B110" s="1014" t="s">
        <v>666</v>
      </c>
      <c r="C110" s="1011"/>
      <c r="D110" s="1015">
        <v>106</v>
      </c>
      <c r="E110" s="1016">
        <f>VALDKONNAD!E24*E$122</f>
        <v>4.8</v>
      </c>
      <c r="F110" s="1016">
        <f>VALDKONNAD!F24*F$122</f>
        <v>29.200000000000003</v>
      </c>
      <c r="G110" s="1016">
        <f>VALDKONNAD!G24*G$122</f>
        <v>36.4</v>
      </c>
      <c r="H110" s="1016">
        <f>VALDKONNAD!H24*H$122</f>
        <v>51.76</v>
      </c>
      <c r="I110" s="1016">
        <f>VALDKONNAD!I24*I$122</f>
        <v>57.68</v>
      </c>
      <c r="J110" s="1016">
        <f>VALDKONNAD!J24*J$122</f>
        <v>61.52</v>
      </c>
      <c r="K110" s="1016">
        <f>VALDKONNAD!K24*K$122</f>
        <v>65.680000000000007</v>
      </c>
      <c r="L110" s="1016">
        <f>VALDKONNAD!L24*L$122</f>
        <v>69.00800000000001</v>
      </c>
      <c r="M110" s="901">
        <v>18</v>
      </c>
    </row>
    <row r="111" spans="1:32" outlineLevel="1" x14ac:dyDescent="0.3">
      <c r="B111" s="1017" t="s">
        <v>321</v>
      </c>
      <c r="C111" s="1018"/>
      <c r="D111" s="1013"/>
      <c r="E111" s="1013"/>
      <c r="F111" s="1013"/>
      <c r="G111" s="1013"/>
      <c r="H111" s="1013"/>
      <c r="I111" s="1013"/>
      <c r="J111" s="1013"/>
      <c r="K111" s="1013"/>
      <c r="L111" s="1013"/>
      <c r="M111" s="901">
        <v>19</v>
      </c>
    </row>
    <row r="112" spans="1:32" outlineLevel="1" x14ac:dyDescent="0.3">
      <c r="B112" s="1019" t="s">
        <v>650</v>
      </c>
      <c r="C112" s="1020" t="s">
        <v>75</v>
      </c>
      <c r="D112" s="1013"/>
      <c r="E112" s="1013">
        <f>VALDKONNAD!E26</f>
        <v>381.76069638469636</v>
      </c>
      <c r="F112" s="1013">
        <f>VALDKONNAD!F26</f>
        <v>2801.3302646542647</v>
      </c>
      <c r="G112" s="1013">
        <f>VALDKONNAD!G26</f>
        <v>3373.9713092313091</v>
      </c>
      <c r="H112" s="1013">
        <f>VALDKONNAD!H26</f>
        <v>5170.3487716391719</v>
      </c>
      <c r="I112" s="1013">
        <f>VALDKONNAD!I26</f>
        <v>5641.1869638469634</v>
      </c>
      <c r="J112" s="1013">
        <f>VALDKONNAD!J26</f>
        <v>5946.595520954721</v>
      </c>
      <c r="K112" s="1013">
        <f>VALDKONNAD!K26</f>
        <v>6277.4547911547907</v>
      </c>
      <c r="L112" s="1013">
        <f>VALDKONNAD!L26</f>
        <v>6542.1422073148478</v>
      </c>
      <c r="M112" s="901">
        <v>20</v>
      </c>
    </row>
    <row r="113" spans="1:32" outlineLevel="1" x14ac:dyDescent="0.3">
      <c r="B113" s="1021" t="s">
        <v>323</v>
      </c>
      <c r="C113" s="1020" t="s">
        <v>75</v>
      </c>
      <c r="D113" s="1013"/>
      <c r="E113" s="1013">
        <f>VALDKONNAD!E27</f>
        <v>146.02346636714634</v>
      </c>
      <c r="F113" s="1013">
        <f>VALDKONNAD!F27</f>
        <v>907.6310057479817</v>
      </c>
      <c r="G113" s="1013">
        <f>VALDKONNAD!G27</f>
        <v>926.15512438399423</v>
      </c>
      <c r="H113" s="1013">
        <f>VALDKONNAD!H27</f>
        <v>1046.9956262569322</v>
      </c>
      <c r="I113" s="1013">
        <f>VALDKONNAD!I27</f>
        <v>837.71626413127399</v>
      </c>
      <c r="J113" s="1013">
        <f>VALDKONNAD!J27</f>
        <v>668.99199610740607</v>
      </c>
      <c r="K113" s="1013">
        <f>VALDKONNAD!K27</f>
        <v>367.23110528255523</v>
      </c>
      <c r="L113" s="1013">
        <f>VALDKONNAD!L27</f>
        <v>294.39639932916816</v>
      </c>
      <c r="M113" s="901">
        <v>21</v>
      </c>
    </row>
    <row r="114" spans="1:32" outlineLevel="1" x14ac:dyDescent="0.3">
      <c r="B114" s="1021" t="s">
        <v>806</v>
      </c>
      <c r="C114" s="1020" t="s">
        <v>75</v>
      </c>
      <c r="D114" s="1013"/>
      <c r="E114" s="1013">
        <f>VALDKONNAD!E28</f>
        <v>235.73723001755002</v>
      </c>
      <c r="F114" s="1013">
        <f>VALDKONNAD!F28</f>
        <v>1893.6992589062829</v>
      </c>
      <c r="G114" s="1013">
        <f>VALDKONNAD!G28</f>
        <v>2447.8161848473146</v>
      </c>
      <c r="H114" s="1013">
        <f>VALDKONNAD!H28</f>
        <v>4123.3531453822397</v>
      </c>
      <c r="I114" s="1013">
        <f>VALDKONNAD!I28</f>
        <v>4803.4706997156891</v>
      </c>
      <c r="J114" s="1013">
        <f>VALDKONNAD!J28</f>
        <v>5277.6035248473145</v>
      </c>
      <c r="K114" s="1013">
        <f>VALDKONNAD!K28</f>
        <v>5910.2236858722354</v>
      </c>
      <c r="L114" s="1013">
        <f>VALDKONNAD!L28</f>
        <v>6247.7458079856797</v>
      </c>
      <c r="M114" s="901">
        <v>22</v>
      </c>
    </row>
    <row r="115" spans="1:32" outlineLevel="1" x14ac:dyDescent="0.3">
      <c r="B115" s="1022" t="s">
        <v>325</v>
      </c>
      <c r="C115" s="1020" t="s">
        <v>75</v>
      </c>
      <c r="D115" s="1013"/>
      <c r="E115" s="1013">
        <f>VALDKONNAD!E29</f>
        <v>0</v>
      </c>
      <c r="F115" s="1013">
        <f>VALDKONNAD!F29</f>
        <v>0</v>
      </c>
      <c r="G115" s="1013">
        <f>VALDKONNAD!G29</f>
        <v>0</v>
      </c>
      <c r="H115" s="1013">
        <f>VALDKONNAD!H29</f>
        <v>0</v>
      </c>
      <c r="I115" s="1013">
        <f>VALDKONNAD!I29</f>
        <v>0</v>
      </c>
      <c r="J115" s="1013">
        <f>VALDKONNAD!J29</f>
        <v>0</v>
      </c>
      <c r="K115" s="1013">
        <f>VALDKONNAD!K29</f>
        <v>0</v>
      </c>
      <c r="L115" s="1013">
        <f>VALDKONNAD!L29</f>
        <v>0</v>
      </c>
      <c r="M115" s="901">
        <v>23</v>
      </c>
    </row>
    <row r="116" spans="1:32" outlineLevel="1" x14ac:dyDescent="0.3">
      <c r="B116" s="1022" t="s">
        <v>541</v>
      </c>
      <c r="C116" s="1020" t="s">
        <v>75</v>
      </c>
      <c r="D116" s="1013"/>
      <c r="E116" s="1013">
        <f>VALDKONNAD!E30</f>
        <v>0</v>
      </c>
      <c r="F116" s="1013">
        <f>VALDKONNAD!F30</f>
        <v>0</v>
      </c>
      <c r="G116" s="1013">
        <f>VALDKONNAD!G30</f>
        <v>0</v>
      </c>
      <c r="H116" s="1013">
        <f>VALDKONNAD!H30</f>
        <v>0</v>
      </c>
      <c r="I116" s="1013">
        <f>VALDKONNAD!I30</f>
        <v>0</v>
      </c>
      <c r="J116" s="1013">
        <f>VALDKONNAD!J30</f>
        <v>0</v>
      </c>
      <c r="K116" s="1013">
        <f>VALDKONNAD!K30</f>
        <v>0</v>
      </c>
      <c r="L116" s="1013">
        <f>VALDKONNAD!L30</f>
        <v>0</v>
      </c>
      <c r="M116" s="901">
        <v>24</v>
      </c>
    </row>
    <row r="117" spans="1:32" outlineLevel="1" x14ac:dyDescent="0.3">
      <c r="B117" s="1019" t="s">
        <v>326</v>
      </c>
      <c r="C117" s="1020" t="s">
        <v>306</v>
      </c>
      <c r="D117" s="1013"/>
      <c r="E117" s="1013">
        <f>VALDKONNAD!E31</f>
        <v>8604.9303835331102</v>
      </c>
      <c r="F117" s="1013">
        <f>VALDKONNAD!F31</f>
        <v>44458.806981587739</v>
      </c>
      <c r="G117" s="1013">
        <f>VALDKONNAD!G31</f>
        <v>57366.202556887394</v>
      </c>
      <c r="H117" s="1013">
        <f>VALDKONNAD!H31</f>
        <v>75436.556362306932</v>
      </c>
      <c r="I117" s="1013">
        <f>VALDKONNAD!I31</f>
        <v>86049.303835331099</v>
      </c>
      <c r="J117" s="1013">
        <f>VALDKONNAD!J31</f>
        <v>92933.248142157594</v>
      </c>
      <c r="K117" s="1013">
        <f>VALDKONNAD!K31</f>
        <v>100390.85447455297</v>
      </c>
      <c r="L117" s="1013">
        <f>VALDKONNAD!L31</f>
        <v>106356.93954046923</v>
      </c>
      <c r="M117" s="901">
        <v>25</v>
      </c>
    </row>
    <row r="118" spans="1:32" outlineLevel="1" x14ac:dyDescent="0.3">
      <c r="B118" s="1019" t="s">
        <v>387</v>
      </c>
      <c r="C118" s="1020" t="s">
        <v>388</v>
      </c>
      <c r="D118" s="1013"/>
      <c r="E118" s="1013">
        <f>VALDKONNAD!E32</f>
        <v>19.440000000000001</v>
      </c>
      <c r="F118" s="1013">
        <f>VALDKONNAD!F32</f>
        <v>289.44</v>
      </c>
      <c r="G118" s="1013">
        <f>VALDKONNAD!G32</f>
        <v>318.60000000000002</v>
      </c>
      <c r="H118" s="1013">
        <f>VALDKONNAD!H32</f>
        <v>586.22400000000005</v>
      </c>
      <c r="I118" s="1013">
        <f>VALDKONNAD!I32</f>
        <v>610.20000000000005</v>
      </c>
      <c r="J118" s="1013">
        <f>VALDKONNAD!J32</f>
        <v>625.75199999999995</v>
      </c>
      <c r="K118" s="1013">
        <f>VALDKONNAD!K32</f>
        <v>642.6</v>
      </c>
      <c r="L118" s="1013">
        <f>VALDKONNAD!L32</f>
        <v>656.0784000000001</v>
      </c>
      <c r="M118" s="901">
        <v>26</v>
      </c>
    </row>
    <row r="119" spans="1:32" outlineLevel="1" x14ac:dyDescent="0.3">
      <c r="B119" s="1019" t="s">
        <v>752</v>
      </c>
      <c r="C119" s="1020" t="s">
        <v>75</v>
      </c>
      <c r="D119" s="1013"/>
      <c r="E119" s="1013">
        <f>Transport!D13</f>
        <v>35255.733686729611</v>
      </c>
      <c r="F119" s="1013">
        <f>Transport!E13</f>
        <v>40642.171713964759</v>
      </c>
      <c r="G119" s="1013">
        <f>Transport!F13</f>
        <v>44253.760988894821</v>
      </c>
      <c r="H119" s="1013">
        <f>Transport!G13</f>
        <v>47865.350263824876</v>
      </c>
      <c r="I119" s="1013">
        <f>Transport!H13</f>
        <v>45670.769252873397</v>
      </c>
      <c r="J119" s="1013">
        <f>Transport!I13</f>
        <v>43476.188241921911</v>
      </c>
      <c r="K119" s="1013">
        <f>Transport!J13</f>
        <v>42378.897736446168</v>
      </c>
      <c r="L119" s="1013">
        <f>Transport!K13</f>
        <v>39087.026220018954</v>
      </c>
      <c r="M119" s="901">
        <v>27</v>
      </c>
    </row>
    <row r="120" spans="1:32" outlineLevel="1" x14ac:dyDescent="0.3">
      <c r="B120" s="1019" t="s">
        <v>753</v>
      </c>
      <c r="C120" s="1020" t="s">
        <v>75</v>
      </c>
      <c r="D120" s="1013"/>
      <c r="E120" s="1013">
        <f>VALDKONNAD!E33</f>
        <v>0</v>
      </c>
      <c r="F120" s="1013">
        <f>VALDKONNAD!F33</f>
        <v>0</v>
      </c>
      <c r="G120" s="1013">
        <f>VALDKONNAD!G33</f>
        <v>0</v>
      </c>
      <c r="H120" s="1013">
        <f>VALDKONNAD!H33</f>
        <v>0</v>
      </c>
      <c r="I120" s="1013">
        <f>VALDKONNAD!I33</f>
        <v>0</v>
      </c>
      <c r="J120" s="1013">
        <f>VALDKONNAD!J33</f>
        <v>0</v>
      </c>
      <c r="K120" s="1013">
        <f>VALDKONNAD!K33</f>
        <v>0</v>
      </c>
      <c r="L120" s="1013">
        <f>VALDKONNAD!L33</f>
        <v>0</v>
      </c>
      <c r="M120" s="901">
        <v>28</v>
      </c>
    </row>
    <row r="121" spans="1:32" outlineLevel="1" x14ac:dyDescent="0.3"/>
    <row r="122" spans="1:32" s="105" customFormat="1" outlineLevel="1" x14ac:dyDescent="0.3">
      <c r="B122" s="354" t="s">
        <v>460</v>
      </c>
      <c r="C122" s="300"/>
      <c r="D122" s="358"/>
      <c r="E122" s="358">
        <f>IF($M$122=1,PROGNOOS!D21,1)</f>
        <v>1</v>
      </c>
      <c r="F122" s="358">
        <f>IF($M$122=1,PROGNOOS!E21,1)</f>
        <v>1</v>
      </c>
      <c r="G122" s="358">
        <f>IF($M$122=1,PROGNOOS!F21,1)</f>
        <v>1</v>
      </c>
      <c r="H122" s="358">
        <f>IF($M$122=1,PROGNOOS!G21,1)</f>
        <v>1</v>
      </c>
      <c r="I122" s="358">
        <f>IF($M$122=1,PROGNOOS!H21,1)</f>
        <v>1</v>
      </c>
      <c r="J122" s="358">
        <f>IF($M$122=1,PROGNOOS!I21,1)</f>
        <v>1</v>
      </c>
      <c r="K122" s="358">
        <f>IF($M$122=1,PROGNOOS!J21,1)</f>
        <v>1</v>
      </c>
      <c r="L122" s="358">
        <f>IF($M$122=1,PROGNOOS!K21,1)</f>
        <v>1</v>
      </c>
      <c r="M122" s="382">
        <v>2</v>
      </c>
      <c r="N122" s="353" t="s">
        <v>461</v>
      </c>
    </row>
    <row r="123" spans="1:32" outlineLevel="1" x14ac:dyDescent="0.3">
      <c r="M123" s="381" t="str">
        <f>IF(M122=1," nominaalmudel"," reaalmudel")</f>
        <v xml:space="preserve"> reaalmudel</v>
      </c>
    </row>
    <row r="124" spans="1:32" x14ac:dyDescent="0.3">
      <c r="M124" s="381"/>
    </row>
    <row r="125" spans="1:32" ht="18.75" customHeight="1" outlineLevel="1" x14ac:dyDescent="0.3">
      <c r="B125" s="380" t="s">
        <v>263</v>
      </c>
      <c r="C125" s="106"/>
    </row>
    <row r="126" spans="1:32" ht="41.25" customHeight="1" outlineLevel="1" x14ac:dyDescent="0.3">
      <c r="B126" s="349">
        <v>7</v>
      </c>
      <c r="C126" s="292" t="s">
        <v>647</v>
      </c>
      <c r="D126" s="292" t="s">
        <v>687</v>
      </c>
      <c r="E126" s="292" t="s">
        <v>688</v>
      </c>
      <c r="F126" s="292" t="s">
        <v>807</v>
      </c>
      <c r="G126" s="292" t="s">
        <v>808</v>
      </c>
      <c r="H126" s="292" t="s">
        <v>809</v>
      </c>
      <c r="I126" s="292" t="s">
        <v>810</v>
      </c>
      <c r="J126" s="292" t="s">
        <v>812</v>
      </c>
      <c r="K126" s="292" t="s">
        <v>811</v>
      </c>
      <c r="L126" s="292" t="s">
        <v>815</v>
      </c>
      <c r="M126" s="292" t="s">
        <v>816</v>
      </c>
      <c r="N126" s="292" t="s">
        <v>817</v>
      </c>
      <c r="O126" s="292" t="s">
        <v>818</v>
      </c>
      <c r="P126" s="292" t="s">
        <v>856</v>
      </c>
      <c r="Q126" s="292" t="s">
        <v>857</v>
      </c>
      <c r="R126" s="292" t="s">
        <v>878</v>
      </c>
      <c r="S126" s="292" t="s">
        <v>819</v>
      </c>
      <c r="T126" s="292" t="s">
        <v>814</v>
      </c>
      <c r="U126" s="292" t="s">
        <v>813</v>
      </c>
      <c r="V126" s="292" t="s">
        <v>636</v>
      </c>
      <c r="W126" s="292" t="s">
        <v>637</v>
      </c>
      <c r="X126" s="292" t="s">
        <v>638</v>
      </c>
      <c r="Y126" s="292" t="s">
        <v>639</v>
      </c>
      <c r="Z126" s="292" t="s">
        <v>640</v>
      </c>
      <c r="AA126" s="292" t="s">
        <v>641</v>
      </c>
      <c r="AB126" s="292" t="s">
        <v>642</v>
      </c>
      <c r="AC126" s="292" t="s">
        <v>643</v>
      </c>
      <c r="AD126" s="292" t="s">
        <v>644</v>
      </c>
      <c r="AE126" s="292" t="s">
        <v>645</v>
      </c>
      <c r="AF126" s="292" t="s">
        <v>646</v>
      </c>
    </row>
    <row r="127" spans="1:32" ht="11.25" customHeight="1" outlineLevel="1" x14ac:dyDescent="0.3">
      <c r="A127" s="106"/>
      <c r="B127" s="320" t="s">
        <v>246</v>
      </c>
      <c r="C127" s="688">
        <v>1</v>
      </c>
      <c r="D127" s="688">
        <v>2</v>
      </c>
      <c r="E127" s="688">
        <v>3</v>
      </c>
      <c r="F127" s="688">
        <v>1</v>
      </c>
      <c r="G127" s="688">
        <v>1</v>
      </c>
      <c r="H127" s="688">
        <v>1</v>
      </c>
      <c r="I127" s="688">
        <v>1</v>
      </c>
      <c r="J127" s="688">
        <v>1</v>
      </c>
      <c r="K127" s="688">
        <v>1</v>
      </c>
      <c r="L127" s="688">
        <v>1</v>
      </c>
      <c r="M127" s="688">
        <v>1</v>
      </c>
      <c r="N127" s="688">
        <v>1</v>
      </c>
      <c r="O127" s="688">
        <v>1</v>
      </c>
      <c r="P127" s="688">
        <v>1</v>
      </c>
      <c r="Q127" s="688">
        <v>1</v>
      </c>
      <c r="R127" s="688">
        <v>3</v>
      </c>
      <c r="S127" s="688">
        <v>2</v>
      </c>
      <c r="T127" s="688">
        <v>1</v>
      </c>
      <c r="U127" s="688">
        <v>1</v>
      </c>
      <c r="V127" s="688">
        <v>1</v>
      </c>
      <c r="W127" s="688">
        <v>1</v>
      </c>
      <c r="X127" s="688">
        <v>1</v>
      </c>
      <c r="Y127" s="688">
        <v>1</v>
      </c>
      <c r="Z127" s="688">
        <v>1</v>
      </c>
      <c r="AA127" s="688">
        <v>1</v>
      </c>
      <c r="AB127" s="688">
        <v>1</v>
      </c>
      <c r="AC127" s="688">
        <v>1</v>
      </c>
      <c r="AD127" s="688">
        <v>1</v>
      </c>
      <c r="AE127" s="688">
        <v>1</v>
      </c>
      <c r="AF127" s="688">
        <v>1</v>
      </c>
    </row>
    <row r="128" spans="1:32" ht="11.25" customHeight="1" outlineLevel="1" x14ac:dyDescent="0.3">
      <c r="A128" s="106"/>
      <c r="B128" s="320" t="s">
        <v>247</v>
      </c>
      <c r="C128" s="688">
        <v>1</v>
      </c>
      <c r="D128" s="688">
        <v>1</v>
      </c>
      <c r="E128" s="688">
        <v>1</v>
      </c>
      <c r="F128" s="688">
        <v>2</v>
      </c>
      <c r="G128" s="688">
        <v>3</v>
      </c>
      <c r="H128" s="688">
        <v>1</v>
      </c>
      <c r="I128" s="688">
        <v>1</v>
      </c>
      <c r="J128" s="688">
        <v>1</v>
      </c>
      <c r="K128" s="688">
        <v>1</v>
      </c>
      <c r="L128" s="688">
        <v>1</v>
      </c>
      <c r="M128" s="688">
        <v>1</v>
      </c>
      <c r="N128" s="688">
        <v>1</v>
      </c>
      <c r="O128" s="688">
        <v>1</v>
      </c>
      <c r="P128" s="688">
        <v>1</v>
      </c>
      <c r="Q128" s="688">
        <v>1</v>
      </c>
      <c r="R128" s="688">
        <v>3</v>
      </c>
      <c r="S128" s="688">
        <v>1</v>
      </c>
      <c r="T128" s="688">
        <v>1</v>
      </c>
      <c r="U128" s="688">
        <v>1</v>
      </c>
      <c r="V128" s="688">
        <v>1</v>
      </c>
      <c r="W128" s="688">
        <v>1</v>
      </c>
      <c r="X128" s="688">
        <v>1</v>
      </c>
      <c r="Y128" s="688">
        <v>1</v>
      </c>
      <c r="Z128" s="688">
        <v>1</v>
      </c>
      <c r="AA128" s="688">
        <v>1</v>
      </c>
      <c r="AB128" s="688">
        <v>1</v>
      </c>
      <c r="AC128" s="688">
        <v>1</v>
      </c>
      <c r="AD128" s="688">
        <v>1</v>
      </c>
      <c r="AE128" s="688">
        <v>1</v>
      </c>
      <c r="AF128" s="688">
        <v>1</v>
      </c>
    </row>
    <row r="129" spans="1:43" ht="11.25" customHeight="1" outlineLevel="1" x14ac:dyDescent="0.3">
      <c r="A129" s="106"/>
      <c r="B129" s="320" t="s">
        <v>248</v>
      </c>
      <c r="C129" s="688">
        <v>1</v>
      </c>
      <c r="D129" s="688">
        <v>1</v>
      </c>
      <c r="E129" s="688">
        <v>1</v>
      </c>
      <c r="F129" s="688">
        <v>1</v>
      </c>
      <c r="G129" s="688">
        <v>1</v>
      </c>
      <c r="H129" s="688">
        <v>1</v>
      </c>
      <c r="I129" s="688">
        <v>1</v>
      </c>
      <c r="J129" s="688">
        <v>2</v>
      </c>
      <c r="K129" s="688">
        <v>3</v>
      </c>
      <c r="L129" s="688">
        <v>4</v>
      </c>
      <c r="M129" s="688">
        <v>5</v>
      </c>
      <c r="N129" s="688">
        <v>1</v>
      </c>
      <c r="O129" s="688">
        <v>1</v>
      </c>
      <c r="P129" s="688">
        <v>1</v>
      </c>
      <c r="Q129" s="688">
        <v>1</v>
      </c>
      <c r="R129" s="688">
        <v>5</v>
      </c>
      <c r="S129" s="688">
        <v>1</v>
      </c>
      <c r="T129" s="688">
        <v>1</v>
      </c>
      <c r="U129" s="688">
        <v>1</v>
      </c>
      <c r="V129" s="688">
        <v>1</v>
      </c>
      <c r="W129" s="688">
        <v>1</v>
      </c>
      <c r="X129" s="688">
        <v>1</v>
      </c>
      <c r="Y129" s="688">
        <v>1</v>
      </c>
      <c r="Z129" s="688">
        <v>1</v>
      </c>
      <c r="AA129" s="688">
        <v>1</v>
      </c>
      <c r="AB129" s="688">
        <v>1</v>
      </c>
      <c r="AC129" s="688">
        <v>1</v>
      </c>
      <c r="AD129" s="688">
        <v>1</v>
      </c>
      <c r="AE129" s="688">
        <v>1</v>
      </c>
      <c r="AF129" s="688">
        <v>1</v>
      </c>
    </row>
    <row r="130" spans="1:43" ht="11.25" customHeight="1" outlineLevel="1" x14ac:dyDescent="0.3">
      <c r="A130" s="106"/>
      <c r="B130" s="320" t="s">
        <v>249</v>
      </c>
      <c r="C130" s="688">
        <v>1</v>
      </c>
      <c r="D130" s="710">
        <f>D127</f>
        <v>2</v>
      </c>
      <c r="E130" s="710">
        <f>E127</f>
        <v>3</v>
      </c>
      <c r="F130" s="688">
        <v>1</v>
      </c>
      <c r="G130" s="688">
        <v>1</v>
      </c>
      <c r="H130" s="688">
        <v>1</v>
      </c>
      <c r="I130" s="688">
        <v>1</v>
      </c>
      <c r="J130" s="688">
        <v>1</v>
      </c>
      <c r="K130" s="688">
        <v>1</v>
      </c>
      <c r="L130" s="688">
        <v>1</v>
      </c>
      <c r="M130" s="688">
        <v>1</v>
      </c>
      <c r="N130" s="688">
        <v>1</v>
      </c>
      <c r="O130" s="688">
        <v>1</v>
      </c>
      <c r="P130" s="688">
        <v>1</v>
      </c>
      <c r="Q130" s="688">
        <v>1</v>
      </c>
      <c r="R130" s="688">
        <v>3</v>
      </c>
      <c r="S130" s="688">
        <v>1</v>
      </c>
      <c r="T130" s="688">
        <v>1</v>
      </c>
      <c r="U130" s="688">
        <v>1</v>
      </c>
      <c r="V130" s="688">
        <v>1</v>
      </c>
      <c r="W130" s="688">
        <v>1</v>
      </c>
      <c r="X130" s="688">
        <v>1</v>
      </c>
      <c r="Y130" s="688">
        <v>1</v>
      </c>
      <c r="Z130" s="688">
        <v>1</v>
      </c>
      <c r="AA130" s="688">
        <v>1</v>
      </c>
      <c r="AB130" s="688">
        <v>1</v>
      </c>
      <c r="AC130" s="688">
        <v>1</v>
      </c>
      <c r="AD130" s="688">
        <v>1</v>
      </c>
      <c r="AE130" s="688">
        <v>1</v>
      </c>
      <c r="AF130" s="688">
        <v>1</v>
      </c>
    </row>
    <row r="131" spans="1:43" outlineLevel="1" x14ac:dyDescent="0.3">
      <c r="A131" s="106"/>
      <c r="B131" s="320" t="s">
        <v>250</v>
      </c>
      <c r="C131" s="688">
        <v>1</v>
      </c>
      <c r="D131" s="688">
        <v>1</v>
      </c>
      <c r="E131" s="688">
        <v>1</v>
      </c>
      <c r="F131" s="688">
        <v>1</v>
      </c>
      <c r="G131" s="688">
        <v>1</v>
      </c>
      <c r="H131" s="688">
        <v>2</v>
      </c>
      <c r="I131" s="688">
        <v>3</v>
      </c>
      <c r="J131" s="688">
        <v>1</v>
      </c>
      <c r="K131" s="688">
        <v>1</v>
      </c>
      <c r="L131" s="688">
        <v>1</v>
      </c>
      <c r="M131" s="688">
        <v>1</v>
      </c>
      <c r="N131" s="688">
        <v>1</v>
      </c>
      <c r="O131" s="688">
        <v>1</v>
      </c>
      <c r="P131" s="688">
        <v>1</v>
      </c>
      <c r="Q131" s="688">
        <v>1</v>
      </c>
      <c r="R131" s="688">
        <v>3</v>
      </c>
      <c r="S131" s="688">
        <v>1</v>
      </c>
      <c r="T131" s="688">
        <v>1</v>
      </c>
      <c r="U131" s="688">
        <v>1</v>
      </c>
      <c r="V131" s="688">
        <v>1</v>
      </c>
      <c r="W131" s="688">
        <v>1</v>
      </c>
      <c r="X131" s="688">
        <v>1</v>
      </c>
      <c r="Y131" s="688">
        <v>1</v>
      </c>
      <c r="Z131" s="688">
        <v>1</v>
      </c>
      <c r="AA131" s="688">
        <v>1</v>
      </c>
      <c r="AB131" s="688">
        <v>1</v>
      </c>
      <c r="AC131" s="688">
        <v>1</v>
      </c>
      <c r="AD131" s="688">
        <v>1</v>
      </c>
      <c r="AE131" s="688">
        <v>1</v>
      </c>
      <c r="AF131" s="688">
        <v>1</v>
      </c>
    </row>
    <row r="132" spans="1:43" outlineLevel="1" x14ac:dyDescent="0.3">
      <c r="A132" s="106"/>
      <c r="B132" s="320" t="s">
        <v>409</v>
      </c>
      <c r="C132" s="688">
        <v>1</v>
      </c>
      <c r="D132" s="688">
        <v>1</v>
      </c>
      <c r="E132" s="688">
        <v>1</v>
      </c>
      <c r="F132" s="688">
        <v>1</v>
      </c>
      <c r="G132" s="688">
        <v>1</v>
      </c>
      <c r="H132" s="688">
        <v>1</v>
      </c>
      <c r="I132" s="688">
        <v>1</v>
      </c>
      <c r="J132" s="688">
        <v>1</v>
      </c>
      <c r="K132" s="688">
        <v>1</v>
      </c>
      <c r="L132" s="688">
        <v>1</v>
      </c>
      <c r="M132" s="688">
        <v>1</v>
      </c>
      <c r="N132" s="688">
        <v>1</v>
      </c>
      <c r="O132" s="688">
        <v>1</v>
      </c>
      <c r="P132" s="688">
        <v>2</v>
      </c>
      <c r="Q132" s="688">
        <v>3</v>
      </c>
      <c r="R132" s="688">
        <v>3</v>
      </c>
      <c r="S132" s="688">
        <v>1</v>
      </c>
      <c r="T132" s="688">
        <v>1</v>
      </c>
      <c r="U132" s="688">
        <v>1</v>
      </c>
      <c r="V132" s="688">
        <v>1</v>
      </c>
      <c r="W132" s="688">
        <v>1</v>
      </c>
      <c r="X132" s="688">
        <v>1</v>
      </c>
      <c r="Y132" s="688">
        <v>1</v>
      </c>
      <c r="Z132" s="688">
        <v>1</v>
      </c>
      <c r="AA132" s="688">
        <v>1</v>
      </c>
      <c r="AB132" s="688">
        <v>1</v>
      </c>
      <c r="AC132" s="688">
        <v>1</v>
      </c>
      <c r="AD132" s="688">
        <v>1</v>
      </c>
      <c r="AE132" s="688">
        <v>1</v>
      </c>
      <c r="AF132" s="688">
        <v>1</v>
      </c>
    </row>
    <row r="133" spans="1:43" outlineLevel="1" x14ac:dyDescent="0.3">
      <c r="A133" s="106"/>
      <c r="B133" s="320" t="s">
        <v>401</v>
      </c>
      <c r="C133" s="688">
        <v>1</v>
      </c>
      <c r="D133" s="688">
        <v>1</v>
      </c>
      <c r="E133" s="688">
        <v>1</v>
      </c>
      <c r="F133" s="688">
        <v>1</v>
      </c>
      <c r="G133" s="688">
        <v>1</v>
      </c>
      <c r="H133" s="688">
        <v>1</v>
      </c>
      <c r="I133" s="688">
        <v>1</v>
      </c>
      <c r="J133" s="688">
        <v>1</v>
      </c>
      <c r="K133" s="688">
        <v>1</v>
      </c>
      <c r="L133" s="688">
        <v>1</v>
      </c>
      <c r="M133" s="688">
        <v>1</v>
      </c>
      <c r="N133" s="688">
        <v>2</v>
      </c>
      <c r="O133" s="688">
        <v>3</v>
      </c>
      <c r="P133" s="688">
        <v>1</v>
      </c>
      <c r="Q133" s="688">
        <v>1</v>
      </c>
      <c r="R133" s="688">
        <v>3</v>
      </c>
      <c r="S133" s="688">
        <v>1</v>
      </c>
      <c r="T133" s="688">
        <v>1</v>
      </c>
      <c r="U133" s="688">
        <v>1</v>
      </c>
      <c r="V133" s="688">
        <v>1</v>
      </c>
      <c r="W133" s="688">
        <v>1</v>
      </c>
      <c r="X133" s="688">
        <v>1</v>
      </c>
      <c r="Y133" s="688">
        <v>1</v>
      </c>
      <c r="Z133" s="688">
        <v>1</v>
      </c>
      <c r="AA133" s="688">
        <v>1</v>
      </c>
      <c r="AB133" s="688">
        <v>1</v>
      </c>
      <c r="AC133" s="688">
        <v>1</v>
      </c>
      <c r="AD133" s="688">
        <v>1</v>
      </c>
      <c r="AE133" s="688">
        <v>1</v>
      </c>
      <c r="AF133" s="688">
        <v>1</v>
      </c>
    </row>
    <row r="134" spans="1:43" outlineLevel="1" x14ac:dyDescent="0.3">
      <c r="A134" s="106"/>
      <c r="B134" s="1059"/>
      <c r="C134" s="1060"/>
      <c r="D134" s="1060"/>
      <c r="E134" s="1060"/>
      <c r="F134" s="1060"/>
      <c r="G134" s="1060"/>
      <c r="H134" s="1060"/>
      <c r="I134" s="1060"/>
      <c r="J134" s="1060"/>
      <c r="K134" s="1060"/>
      <c r="L134" s="1060"/>
      <c r="M134" s="1060"/>
      <c r="N134" s="1060"/>
      <c r="O134" s="1060"/>
      <c r="P134" s="1060"/>
      <c r="Q134" s="1060"/>
      <c r="R134" s="1060"/>
      <c r="S134" s="1060"/>
      <c r="T134" s="1060"/>
      <c r="U134" s="1060"/>
      <c r="V134" s="1060"/>
      <c r="W134" s="1060"/>
      <c r="X134" s="1060"/>
      <c r="Y134" s="1060"/>
      <c r="Z134" s="1060"/>
      <c r="AA134" s="1060"/>
      <c r="AB134" s="1060"/>
      <c r="AC134" s="1060"/>
      <c r="AD134" s="1060"/>
      <c r="AE134" s="1060"/>
      <c r="AF134" s="1060"/>
    </row>
    <row r="136" spans="1:43" s="1063" customFormat="1" ht="15.75" customHeight="1" x14ac:dyDescent="0.3">
      <c r="A136" s="1061"/>
      <c r="B136" s="1062" t="s">
        <v>881</v>
      </c>
      <c r="C136" s="1061"/>
    </row>
    <row r="137" spans="1:43" outlineLevel="1" x14ac:dyDescent="0.3">
      <c r="H137" s="105"/>
      <c r="J137" s="1140" t="str">
        <f>INDEX(O137:V137,$J$139)</f>
        <v>% BAU</v>
      </c>
      <c r="O137" s="106" t="str">
        <f t="array" ref="O137:V137">TRANSPOSE(C37:C43)</f>
        <v>%BAAS</v>
      </c>
      <c r="P137" s="106" t="str">
        <v>%BAAS</v>
      </c>
      <c r="Q137" s="106" t="str">
        <v>% BAAS</v>
      </c>
      <c r="R137" s="106" t="str">
        <v>% BAAS</v>
      </c>
      <c r="S137" s="106" t="str">
        <v>% BAU</v>
      </c>
      <c r="T137" s="106" t="str">
        <v>% BAU</v>
      </c>
      <c r="U137" s="106" t="str">
        <v>% BAU</v>
      </c>
      <c r="V137" s="106" t="e">
        <v>#N/A</v>
      </c>
    </row>
    <row r="138" spans="1:43" ht="82.8" outlineLevel="1" x14ac:dyDescent="0.3">
      <c r="C138" s="115">
        <v>1</v>
      </c>
      <c r="D138" s="115" t="str">
        <f>INDEX($C$126:$AF$126,1,C138)</f>
        <v>Sts.1 BAU</v>
      </c>
      <c r="I138" s="1138" t="str">
        <f>INDEX(L138:N138,$I$139)</f>
        <v>KOONDINDEKS - KONKURENTSIVÕIME</v>
      </c>
      <c r="J138" s="1138" t="str">
        <f>INDEX(O138:U138,$J$139)</f>
        <v>Fossiilsed kütused/SKP</v>
      </c>
      <c r="L138" s="1137" t="str">
        <f>B14</f>
        <v>KOONDINDEKS - KONKURENTSIVÕIME</v>
      </c>
      <c r="M138" s="1137" t="str">
        <f>B19</f>
        <v>Indeks - Majanduse seisund</v>
      </c>
      <c r="N138" s="1137" t="str">
        <f>B27</f>
        <v>Indeks - Ressursikasutus ja keskkond</v>
      </c>
      <c r="O138" s="1137" t="str">
        <f t="array" ref="O138:V138">TRANSPOSE(B37:B43)</f>
        <v>SKP inimese kohta</v>
      </c>
      <c r="P138" s="1137" t="str">
        <v>Väliskaubanduse saldo</v>
      </c>
      <c r="Q138" s="1137" t="str">
        <v>Tööhõive muutus</v>
      </c>
      <c r="R138" s="1137" t="str">
        <v>Tööviljakuse muutus</v>
      </c>
      <c r="S138" s="1137" t="str">
        <v>Primaarenergia tarbimine/SKP</v>
      </c>
      <c r="T138" s="1137" t="str">
        <v>Fossiilsed kütused/SKP</v>
      </c>
      <c r="U138" s="1137" t="str">
        <v>CO2 emissioon/SKP</v>
      </c>
      <c r="V138" s="1137" t="e">
        <v>#N/A</v>
      </c>
    </row>
    <row r="139" spans="1:43" outlineLevel="1" x14ac:dyDescent="0.3">
      <c r="C139" s="115">
        <v>2</v>
      </c>
      <c r="D139" s="115" t="str">
        <f t="shared" ref="D139:D157" si="54">INDEX($C$126:$AF$126,1,C139)</f>
        <v>Sts.2 Hooned/ Soojus 2</v>
      </c>
      <c r="H139" s="105"/>
      <c r="I139" s="374">
        <v>1</v>
      </c>
      <c r="J139" s="374">
        <v>6</v>
      </c>
      <c r="L139" s="1144">
        <f>E18</f>
        <v>1.6529044935836064</v>
      </c>
      <c r="M139" s="1144">
        <f>E25</f>
        <v>0.66030913212739806</v>
      </c>
      <c r="N139" s="1144">
        <f>E32</f>
        <v>-0.32802290279858759</v>
      </c>
      <c r="O139" s="1143">
        <f t="array" ref="O139:V139">TRANSPOSE(G140:G146)</f>
        <v>1.0933448464668847E-2</v>
      </c>
      <c r="P139" s="1143">
        <v>-2.680287122374227E-3</v>
      </c>
      <c r="Q139" s="1143">
        <v>7.2187499920416832E-3</v>
      </c>
      <c r="R139" s="1143">
        <v>3.8236596974045578E-3</v>
      </c>
      <c r="S139" s="1143">
        <v>8.2132861417106191E-3</v>
      </c>
      <c r="T139" s="1143">
        <v>2.5927721359240083E-3</v>
      </c>
      <c r="U139" s="1143">
        <v>1.6810687730376115E-2</v>
      </c>
      <c r="V139" s="1135" t="e">
        <v>#N/A</v>
      </c>
    </row>
    <row r="140" spans="1:43" outlineLevel="1" x14ac:dyDescent="0.3">
      <c r="C140" s="115">
        <v>3</v>
      </c>
      <c r="D140" s="115" t="str">
        <f t="shared" si="54"/>
        <v>Sts.3 Hooned/ Soojus 3</v>
      </c>
      <c r="G140" s="1139">
        <f>IF($G$7=1,L37,M37)</f>
        <v>1.0933448464668847E-2</v>
      </c>
      <c r="H140" s="114">
        <v>1</v>
      </c>
      <c r="I140" s="1140">
        <f t="shared" ref="I140:I157" si="55">INDEX(L140:N140,$I$139)</f>
        <v>0</v>
      </c>
      <c r="J140" s="1141">
        <f>INDEX(O140:U140,$J$139)</f>
        <v>0</v>
      </c>
      <c r="K140" s="114">
        <v>1</v>
      </c>
      <c r="L140" s="1136">
        <f t="dataTable" ref="L140:V157" dt2D="0" dtr="0" r1="B126"/>
        <v>0</v>
      </c>
      <c r="M140" s="1136">
        <v>0</v>
      </c>
      <c r="N140" s="1136">
        <v>0</v>
      </c>
      <c r="O140" s="1142">
        <v>0</v>
      </c>
      <c r="P140" s="1142">
        <v>0</v>
      </c>
      <c r="Q140" s="1142">
        <v>0</v>
      </c>
      <c r="R140" s="1142">
        <v>0</v>
      </c>
      <c r="S140" s="1142">
        <v>0</v>
      </c>
      <c r="T140" s="1142">
        <v>0</v>
      </c>
      <c r="U140" s="1142">
        <v>0</v>
      </c>
      <c r="V140" s="1142" t="e">
        <v>#N/A</v>
      </c>
    </row>
    <row r="141" spans="1:43" ht="11.25" customHeight="1" outlineLevel="1" x14ac:dyDescent="0.3">
      <c r="C141" s="115">
        <v>4</v>
      </c>
      <c r="D141" s="115" t="str">
        <f t="shared" si="54"/>
        <v>Sts.4 Transport 2</v>
      </c>
      <c r="G141" s="1139">
        <f t="shared" ref="G141:G146" si="56">IF($G$7=1,L38,M38)</f>
        <v>-2.680287122374227E-3</v>
      </c>
      <c r="H141" s="114">
        <f>H140+1</f>
        <v>2</v>
      </c>
      <c r="I141" s="1140">
        <f t="shared" si="55"/>
        <v>1.1014872083659346</v>
      </c>
      <c r="J141" s="1141">
        <f>INDEX(O141:U141,$J$139)</f>
        <v>-1.0954640059978458E-2</v>
      </c>
      <c r="K141" s="114">
        <f>K140+1</f>
        <v>2</v>
      </c>
      <c r="L141" s="1136">
        <v>1.1014872083659346</v>
      </c>
      <c r="M141" s="1136">
        <v>0.14949194009478434</v>
      </c>
      <c r="N141" s="1136">
        <v>0.65301138808158155</v>
      </c>
      <c r="O141" s="1142">
        <v>2.6107586614104389E-3</v>
      </c>
      <c r="P141" s="1142">
        <v>-8.3682040277558171E-4</v>
      </c>
      <c r="Q141" s="1142">
        <v>3.3685908932721423E-3</v>
      </c>
      <c r="R141" s="1142">
        <v>-7.4724973650786009E-4</v>
      </c>
      <c r="S141" s="1142">
        <v>-1.2777109408432869E-2</v>
      </c>
      <c r="T141" s="1142">
        <v>-1.0954640059978458E-2</v>
      </c>
      <c r="U141" s="1142">
        <v>-1.9660109219789904E-2</v>
      </c>
      <c r="V141" s="1142" t="e">
        <v>#N/A</v>
      </c>
      <c r="Y141" s="1117" t="s">
        <v>903</v>
      </c>
      <c r="Z141" s="741" t="s">
        <v>887</v>
      </c>
      <c r="AA141" s="741" t="s">
        <v>888</v>
      </c>
      <c r="AB141" s="741" t="s">
        <v>889</v>
      </c>
      <c r="AC141" s="741" t="s">
        <v>890</v>
      </c>
      <c r="AD141" s="741" t="s">
        <v>891</v>
      </c>
      <c r="AE141" s="741" t="s">
        <v>892</v>
      </c>
      <c r="AF141" s="741" t="s">
        <v>893</v>
      </c>
      <c r="AG141" s="741" t="s">
        <v>894</v>
      </c>
      <c r="AH141" s="741" t="s">
        <v>895</v>
      </c>
      <c r="AI141" s="741" t="s">
        <v>896</v>
      </c>
      <c r="AJ141" s="741" t="s">
        <v>897</v>
      </c>
      <c r="AK141" s="741" t="s">
        <v>898</v>
      </c>
      <c r="AL141" s="741" t="s">
        <v>899</v>
      </c>
      <c r="AM141" s="741" t="s">
        <v>900</v>
      </c>
      <c r="AN141" s="741" t="s">
        <v>901</v>
      </c>
      <c r="AO141" s="741" t="s">
        <v>878</v>
      </c>
      <c r="AP141" s="741" t="s">
        <v>819</v>
      </c>
      <c r="AQ141" s="741" t="s">
        <v>814</v>
      </c>
    </row>
    <row r="142" spans="1:43" outlineLevel="1" x14ac:dyDescent="0.3">
      <c r="C142" s="115">
        <v>5</v>
      </c>
      <c r="D142" s="115" t="str">
        <f>INDEX($C$126:$AF$126,1,C142)</f>
        <v>Sts.5 Transport 3</v>
      </c>
      <c r="G142" s="1139">
        <f t="shared" si="56"/>
        <v>7.2187499920416832E-3</v>
      </c>
      <c r="H142" s="114">
        <f t="shared" ref="H142:H157" si="57">H141+1</f>
        <v>3</v>
      </c>
      <c r="I142" s="1140">
        <f t="shared" si="55"/>
        <v>1.5327582857008553</v>
      </c>
      <c r="J142" s="1141">
        <f t="shared" ref="J142:J157" si="58">INDEX(O142:U142,$J$139)</f>
        <v>-1.8627306350600378E-2</v>
      </c>
      <c r="K142" s="114">
        <f t="shared" ref="K142:K157" si="59">K141+1</f>
        <v>3</v>
      </c>
      <c r="L142" s="1136">
        <v>1.5327582857008553</v>
      </c>
      <c r="M142" s="1136">
        <v>0.14135127985831331</v>
      </c>
      <c r="N142" s="1136">
        <v>1.1087044461259152</v>
      </c>
      <c r="O142" s="1142">
        <v>2.9773025447546813E-3</v>
      </c>
      <c r="P142" s="1142">
        <v>-1.6922965218537178E-3</v>
      </c>
      <c r="Q142" s="1142">
        <v>6.2456943355882859E-3</v>
      </c>
      <c r="R142" s="1142">
        <v>-3.2367936608518888E-3</v>
      </c>
      <c r="S142" s="1142">
        <v>-2.1502997372604693E-2</v>
      </c>
      <c r="T142" s="1142">
        <v>-1.8627306350600378E-2</v>
      </c>
      <c r="U142" s="1142">
        <v>-3.3485528188185704E-2</v>
      </c>
      <c r="V142" s="1142" t="e">
        <v>#N/A</v>
      </c>
      <c r="Y142" s="1117" t="s">
        <v>886</v>
      </c>
      <c r="Z142" s="741"/>
      <c r="AA142" s="1116">
        <v>3.3579868278380021</v>
      </c>
      <c r="AB142" s="1116">
        <v>5.1249809774981223</v>
      </c>
      <c r="AC142" s="1116">
        <v>5.8050438063868146</v>
      </c>
      <c r="AD142" s="1116">
        <v>10.788318452689133</v>
      </c>
      <c r="AE142" s="1116">
        <v>2.5301065347092226</v>
      </c>
      <c r="AF142" s="1116">
        <v>7.1138347719700752</v>
      </c>
      <c r="AG142" s="1116">
        <v>-0.94681420881187917</v>
      </c>
      <c r="AH142" s="1116">
        <v>3.6686299197804231</v>
      </c>
      <c r="AI142" s="1116">
        <v>8.5480150425528514</v>
      </c>
      <c r="AJ142" s="1116">
        <v>-2.1089681420124595</v>
      </c>
      <c r="AK142" s="1116">
        <v>-6.1475469489739892E-2</v>
      </c>
      <c r="AL142" s="1116">
        <v>-9.3547436759826075E-2</v>
      </c>
      <c r="AM142" s="1116">
        <v>0.59997438297483185</v>
      </c>
      <c r="AN142" s="1116">
        <v>-0.58343324787476281</v>
      </c>
      <c r="AO142" s="1116">
        <v>29.88634830697373</v>
      </c>
      <c r="AP142" s="1116">
        <v>1.6978737230883143</v>
      </c>
      <c r="AQ142" s="741"/>
    </row>
    <row r="143" spans="1:43" outlineLevel="1" x14ac:dyDescent="0.3">
      <c r="C143" s="115">
        <v>6</v>
      </c>
      <c r="D143" s="115" t="str">
        <f t="shared" si="54"/>
        <v>Sts.6 Kütused 2</v>
      </c>
      <c r="G143" s="1139">
        <f t="shared" si="56"/>
        <v>3.8236596974045578E-3</v>
      </c>
      <c r="H143" s="114">
        <f t="shared" si="57"/>
        <v>4</v>
      </c>
      <c r="I143" s="1140">
        <f t="shared" si="55"/>
        <v>2.3218487900911895</v>
      </c>
      <c r="J143" s="1141">
        <f t="shared" si="58"/>
        <v>-2.0789962137892092E-2</v>
      </c>
      <c r="K143" s="114">
        <f t="shared" si="59"/>
        <v>4</v>
      </c>
      <c r="L143" s="1136">
        <v>2.3218487900911895</v>
      </c>
      <c r="M143" s="1136">
        <v>0.43319896402459229</v>
      </c>
      <c r="N143" s="1136">
        <v>1.0222518980174127</v>
      </c>
      <c r="O143" s="1142">
        <v>3.1146592327198908E-3</v>
      </c>
      <c r="P143" s="1142">
        <v>5.3737890583823618E-3</v>
      </c>
      <c r="Q143" s="1142">
        <v>1.3604848753858059E-3</v>
      </c>
      <c r="R143" s="1142">
        <v>1.7652371272793566E-3</v>
      </c>
      <c r="S143" s="1142">
        <v>-1.5799259147920276E-2</v>
      </c>
      <c r="T143" s="1142">
        <v>-2.0789962137892092E-2</v>
      </c>
      <c r="U143" s="1142">
        <v>-2.4056044240144722E-2</v>
      </c>
      <c r="V143" s="1142" t="e">
        <v>#N/A</v>
      </c>
      <c r="Y143" s="1117" t="s">
        <v>885</v>
      </c>
      <c r="Z143" s="741"/>
      <c r="AA143" s="1116">
        <v>0.92137079643536957</v>
      </c>
      <c r="AB143" s="1116">
        <v>1.2116666107882137</v>
      </c>
      <c r="AC143" s="1116">
        <v>2.2664191614856808</v>
      </c>
      <c r="AD143" s="1116">
        <v>3.6170353074031838</v>
      </c>
      <c r="AE143" s="1116">
        <v>0.94338740897595186</v>
      </c>
      <c r="AF143" s="1116">
        <v>2.5415717587118416</v>
      </c>
      <c r="AG143" s="1116">
        <v>3.224179179452006E-3</v>
      </c>
      <c r="AH143" s="1116">
        <v>0.68792636810016661</v>
      </c>
      <c r="AI143" s="1116">
        <v>5.0543555011999999</v>
      </c>
      <c r="AJ143" s="1116">
        <v>-0.63998906376555365</v>
      </c>
      <c r="AK143" s="1116">
        <v>5.8945169106540844E-2</v>
      </c>
      <c r="AL143" s="1116">
        <v>0.125036694084981</v>
      </c>
      <c r="AM143" s="1116">
        <v>-0.4408150839713687</v>
      </c>
      <c r="AN143" s="1116">
        <v>0.24931359072144565</v>
      </c>
      <c r="AO143" s="1116">
        <v>12.402668446731958</v>
      </c>
      <c r="AP143" s="1116">
        <v>0.50491491859150861</v>
      </c>
      <c r="AQ143" s="741"/>
    </row>
    <row r="144" spans="1:43" outlineLevel="1" x14ac:dyDescent="0.3">
      <c r="C144" s="115">
        <v>7</v>
      </c>
      <c r="D144" s="115" t="str">
        <f t="shared" si="54"/>
        <v>Sts.7 Kütused 3</v>
      </c>
      <c r="G144" s="1139">
        <f t="shared" si="56"/>
        <v>8.2132861417106191E-3</v>
      </c>
      <c r="H144" s="114">
        <f t="shared" si="57"/>
        <v>5</v>
      </c>
      <c r="I144" s="1140">
        <f t="shared" si="55"/>
        <v>4.8828091856298155</v>
      </c>
      <c r="J144" s="1141">
        <f t="shared" si="58"/>
        <v>-4.0800981783396348E-2</v>
      </c>
      <c r="K144" s="114">
        <f t="shared" si="59"/>
        <v>5</v>
      </c>
      <c r="L144" s="1136">
        <v>4.8828091856298155</v>
      </c>
      <c r="M144" s="1136">
        <v>0.94904117093317808</v>
      </c>
      <c r="N144" s="1136">
        <v>2.0356856728302808</v>
      </c>
      <c r="O144" s="1142">
        <v>7.4006219706018745E-3</v>
      </c>
      <c r="P144" s="1142">
        <v>1.0745679399080365E-2</v>
      </c>
      <c r="Q144" s="1142">
        <v>3.3644796386416032E-3</v>
      </c>
      <c r="R144" s="1142">
        <v>4.0946651833518866E-3</v>
      </c>
      <c r="S144" s="1142">
        <v>-3.1286753025420624E-2</v>
      </c>
      <c r="T144" s="1142">
        <v>-4.0800981783396348E-2</v>
      </c>
      <c r="U144" s="1142">
        <v>-4.9878868907418432E-2</v>
      </c>
      <c r="V144" s="1142" t="e">
        <v>#N/A</v>
      </c>
      <c r="Y144" s="105"/>
      <c r="Z144" s="105"/>
    </row>
    <row r="145" spans="2:43" outlineLevel="1" x14ac:dyDescent="0.3">
      <c r="C145" s="115">
        <v>8</v>
      </c>
      <c r="D145" s="115" t="str">
        <f t="shared" si="54"/>
        <v>Sts.8 Elekter 2</v>
      </c>
      <c r="G145" s="1139">
        <f t="shared" si="56"/>
        <v>2.5927721359240083E-3</v>
      </c>
      <c r="H145" s="114">
        <f t="shared" si="57"/>
        <v>6</v>
      </c>
      <c r="I145" s="1140">
        <f t="shared" si="55"/>
        <v>0.81140673943470754</v>
      </c>
      <c r="J145" s="1141">
        <f t="shared" si="58"/>
        <v>1.3336122196355611E-3</v>
      </c>
      <c r="K145" s="114">
        <f t="shared" si="59"/>
        <v>6</v>
      </c>
      <c r="L145" s="1136">
        <v>0.81140673943470754</v>
      </c>
      <c r="M145" s="1136">
        <v>0.33275266844918489</v>
      </c>
      <c r="N145" s="1136">
        <v>-0.18685126591284715</v>
      </c>
      <c r="O145" s="1142">
        <v>6.2823930864223266E-3</v>
      </c>
      <c r="P145" s="1142">
        <v>-2.6930528494156134E-3</v>
      </c>
      <c r="Q145" s="1142">
        <v>3.8248865438768281E-3</v>
      </c>
      <c r="R145" s="1142">
        <v>2.4928698613578271E-3</v>
      </c>
      <c r="S145" s="1142">
        <v>4.2337990112647217E-3</v>
      </c>
      <c r="T145" s="1142">
        <v>1.3336122196355611E-3</v>
      </c>
      <c r="U145" s="1142">
        <v>1.0450490921113309E-2</v>
      </c>
      <c r="V145" s="1142" t="e">
        <v>#N/A</v>
      </c>
      <c r="Y145" s="1117" t="s">
        <v>902</v>
      </c>
      <c r="AQ145" s="741"/>
    </row>
    <row r="146" spans="2:43" outlineLevel="1" x14ac:dyDescent="0.3">
      <c r="C146" s="115">
        <v>9</v>
      </c>
      <c r="D146" s="115" t="str">
        <f t="shared" si="54"/>
        <v>Sts.9 Elekter 3</v>
      </c>
      <c r="G146" s="1139">
        <f t="shared" si="56"/>
        <v>1.6810687730376115E-2</v>
      </c>
      <c r="H146" s="114">
        <f t="shared" si="57"/>
        <v>7</v>
      </c>
      <c r="I146" s="1140">
        <f t="shared" si="55"/>
        <v>1.6529044935836064</v>
      </c>
      <c r="J146" s="1141">
        <f t="shared" si="58"/>
        <v>2.5927721359240083E-3</v>
      </c>
      <c r="K146" s="114">
        <f t="shared" si="59"/>
        <v>7</v>
      </c>
      <c r="L146" s="1136">
        <v>1.6529044935836064</v>
      </c>
      <c r="M146" s="1136">
        <v>0.66030913212739806</v>
      </c>
      <c r="N146" s="1136">
        <v>-0.32802290279858759</v>
      </c>
      <c r="O146" s="1142">
        <v>1.0933448464668847E-2</v>
      </c>
      <c r="P146" s="1142">
        <v>-2.680287122374227E-3</v>
      </c>
      <c r="Q146" s="1142">
        <v>7.2187499920416832E-3</v>
      </c>
      <c r="R146" s="1142">
        <v>3.8236596974045578E-3</v>
      </c>
      <c r="S146" s="1142">
        <v>8.2132861417106191E-3</v>
      </c>
      <c r="T146" s="1142">
        <v>2.5927721359240083E-3</v>
      </c>
      <c r="U146" s="1142">
        <v>1.6810687730376115E-2</v>
      </c>
      <c r="V146" s="1142" t="e">
        <v>#N/A</v>
      </c>
      <c r="Y146" s="1117" t="s">
        <v>886</v>
      </c>
      <c r="Z146" s="741"/>
      <c r="AA146" s="1116">
        <v>0.14712537470571932</v>
      </c>
      <c r="AB146" s="1116">
        <v>0.19439292374901534</v>
      </c>
      <c r="AC146" s="1116">
        <v>0.55898207408274692</v>
      </c>
      <c r="AD146" s="1116">
        <v>0.86488639038260073</v>
      </c>
      <c r="AE146" s="1116">
        <v>0.48932158669158449</v>
      </c>
      <c r="AF146" s="1116">
        <v>1.3257221609179164</v>
      </c>
      <c r="AG146" s="1116">
        <v>-4.6218520800697209E-2</v>
      </c>
      <c r="AH146" s="1116">
        <v>0.62528588183190448</v>
      </c>
      <c r="AI146" s="1116">
        <v>0.22004852995055385</v>
      </c>
      <c r="AJ146" s="1116">
        <v>0.9345749687621433</v>
      </c>
      <c r="AK146" s="1116">
        <v>-1.0245911581623315E-2</v>
      </c>
      <c r="AL146" s="1116">
        <v>-1.5591239459971012E-2</v>
      </c>
      <c r="AM146" s="1116">
        <v>-1.366592103542565</v>
      </c>
      <c r="AN146" s="1116">
        <v>0.98128873730797561</v>
      </c>
      <c r="AO146" s="1116">
        <v>3.4791278357233413</v>
      </c>
      <c r="AP146" s="1116">
        <v>0.28297895384805238</v>
      </c>
      <c r="AQ146" s="741"/>
    </row>
    <row r="147" spans="2:43" outlineLevel="1" x14ac:dyDescent="0.3">
      <c r="C147" s="115">
        <v>10</v>
      </c>
      <c r="D147" s="115" t="str">
        <f t="shared" si="54"/>
        <v>Sts.10 Elekter 4</v>
      </c>
      <c r="G147" s="1139"/>
      <c r="H147" s="114">
        <f t="shared" si="57"/>
        <v>8</v>
      </c>
      <c r="I147" s="1140">
        <f t="shared" si="55"/>
        <v>-8.0390039843941143E-4</v>
      </c>
      <c r="J147" s="1141">
        <f t="shared" si="58"/>
        <v>2.0794216062047449E-5</v>
      </c>
      <c r="K147" s="114">
        <f t="shared" si="59"/>
        <v>8</v>
      </c>
      <c r="L147" s="1136">
        <v>-8.0390039843941143E-4</v>
      </c>
      <c r="M147" s="1136">
        <v>1.2893422317138196E-4</v>
      </c>
      <c r="N147" s="1136">
        <v>-1.1907030679535573E-3</v>
      </c>
      <c r="O147" s="1142">
        <v>1.9179634696657231E-5</v>
      </c>
      <c r="P147" s="1142">
        <v>-3.034153880163017E-5</v>
      </c>
      <c r="Q147" s="1142">
        <v>1.5992294660164455E-5</v>
      </c>
      <c r="R147" s="1142">
        <v>3.1884073600219054E-6</v>
      </c>
      <c r="S147" s="1142">
        <v>1.8443730338350021E-5</v>
      </c>
      <c r="T147" s="1142">
        <v>2.0794216062047449E-5</v>
      </c>
      <c r="U147" s="1142">
        <v>3.8243928270863374E-5</v>
      </c>
      <c r="V147" s="1142" t="e">
        <v>#N/A</v>
      </c>
      <c r="Y147" s="1117" t="s">
        <v>885</v>
      </c>
      <c r="Z147" s="741"/>
      <c r="AA147" s="1116">
        <v>0.13227862010837502</v>
      </c>
      <c r="AB147" s="1116">
        <v>0.10626084319250614</v>
      </c>
      <c r="AC147" s="1116">
        <v>0.45122724453625346</v>
      </c>
      <c r="AD147" s="1116">
        <v>0.58746316062525983</v>
      </c>
      <c r="AE147" s="1116">
        <v>0.43231223028242383</v>
      </c>
      <c r="AF147" s="1116">
        <v>1.0878967302905527</v>
      </c>
      <c r="AG147" s="1116">
        <v>1.4102032267779535E-3</v>
      </c>
      <c r="AH147" s="1116">
        <v>0.22720678524416105</v>
      </c>
      <c r="AI147" s="1116">
        <v>0.1167482650002056</v>
      </c>
      <c r="AJ147" s="1116">
        <v>0.99001679021900624</v>
      </c>
      <c r="AK147" s="1116">
        <v>1.9648389702180281E-2</v>
      </c>
      <c r="AL147" s="1116">
        <v>4.1678898028326999E-2</v>
      </c>
      <c r="AM147" s="1116">
        <v>-0.95178780951331499</v>
      </c>
      <c r="AN147" s="1116">
        <v>0.48199414240790583</v>
      </c>
      <c r="AO147" s="1116">
        <v>2.3653000036238305</v>
      </c>
      <c r="AP147" s="1116">
        <v>0.16830497286383619</v>
      </c>
    </row>
    <row r="148" spans="2:43" outlineLevel="1" x14ac:dyDescent="0.3">
      <c r="C148" s="115">
        <v>11</v>
      </c>
      <c r="D148" s="115" t="str">
        <f t="shared" si="54"/>
        <v>Sts.11 Elekter 5</v>
      </c>
      <c r="H148" s="114">
        <f t="shared" si="57"/>
        <v>9</v>
      </c>
      <c r="I148" s="1140">
        <f t="shared" si="55"/>
        <v>0.67529350356720552</v>
      </c>
      <c r="J148" s="1141">
        <f t="shared" si="58"/>
        <v>-3.1158306941380526E-4</v>
      </c>
      <c r="K148" s="114">
        <f t="shared" si="59"/>
        <v>9</v>
      </c>
      <c r="L148" s="1136">
        <v>0.67529350356720552</v>
      </c>
      <c r="M148" s="1136">
        <v>0.22313441478650681</v>
      </c>
      <c r="N148" s="1136">
        <v>5.8902592076851583E-3</v>
      </c>
      <c r="O148" s="1142">
        <v>3.6495069909285799E-3</v>
      </c>
      <c r="P148" s="1142">
        <v>-8.2196448755825007E-4</v>
      </c>
      <c r="Q148" s="1142">
        <v>2.0230003105967862E-3</v>
      </c>
      <c r="R148" s="1142">
        <v>1.6538819265236038E-3</v>
      </c>
      <c r="S148" s="1142">
        <v>3.5150727338995226E-5</v>
      </c>
      <c r="T148" s="1142">
        <v>-3.1158306941380526E-4</v>
      </c>
      <c r="U148" s="1142">
        <v>3.1057256013390471E-4</v>
      </c>
      <c r="V148" s="1142" t="e">
        <v>#N/A</v>
      </c>
      <c r="Y148" s="105"/>
      <c r="Z148" s="105"/>
    </row>
    <row r="149" spans="2:43" outlineLevel="1" x14ac:dyDescent="0.3">
      <c r="C149" s="115">
        <v>12</v>
      </c>
      <c r="D149" s="115" t="str">
        <f t="shared" si="54"/>
        <v>Sts.12 Võrgud2</v>
      </c>
      <c r="H149" s="114">
        <f t="shared" si="57"/>
        <v>10</v>
      </c>
      <c r="I149" s="1140">
        <f t="shared" si="55"/>
        <v>5.0629429943410278</v>
      </c>
      <c r="J149" s="1141">
        <f t="shared" si="58"/>
        <v>-0.14018616807588472</v>
      </c>
      <c r="K149" s="114">
        <f t="shared" si="59"/>
        <v>10</v>
      </c>
      <c r="L149" s="1136">
        <v>5.0629429943410278</v>
      </c>
      <c r="M149" s="1136">
        <v>5.4356077799636499E-2</v>
      </c>
      <c r="N149" s="1136">
        <v>4.8998747609421187</v>
      </c>
      <c r="O149" s="1142">
        <v>1.1859705342121053E-3</v>
      </c>
      <c r="P149" s="1142">
        <v>-7.1819743169545603E-4</v>
      </c>
      <c r="Q149" s="1142">
        <v>1.4751352411081222E-3</v>
      </c>
      <c r="R149" s="1142">
        <v>-2.8586282326564794E-4</v>
      </c>
      <c r="S149" s="1142">
        <v>-2.0444720242954191E-2</v>
      </c>
      <c r="T149" s="1142">
        <v>-0.14018616807588472</v>
      </c>
      <c r="U149" s="1142">
        <v>-4.8984251623603543E-2</v>
      </c>
      <c r="V149" s="1142" t="e">
        <v>#N/A</v>
      </c>
      <c r="Y149" s="1117" t="s">
        <v>904</v>
      </c>
      <c r="AQ149" s="741"/>
    </row>
    <row r="150" spans="2:43" outlineLevel="1" x14ac:dyDescent="0.3">
      <c r="C150" s="115">
        <v>13</v>
      </c>
      <c r="D150" s="115" t="str">
        <f t="shared" si="54"/>
        <v>Sts.13 Võrgud 3</v>
      </c>
      <c r="H150" s="114">
        <f t="shared" si="57"/>
        <v>11</v>
      </c>
      <c r="I150" s="1140">
        <f t="shared" si="55"/>
        <v>0.6326726894143242</v>
      </c>
      <c r="J150" s="1141">
        <f t="shared" si="58"/>
        <v>8.820364857878267E-2</v>
      </c>
      <c r="K150" s="114">
        <f t="shared" si="59"/>
        <v>11</v>
      </c>
      <c r="L150" s="1136">
        <v>0.6326726894143242</v>
      </c>
      <c r="M150" s="1136">
        <v>1.4419975358467361</v>
      </c>
      <c r="N150" s="1136">
        <v>-3.6933199181258836</v>
      </c>
      <c r="O150" s="1142">
        <v>1.6170650792182481E-2</v>
      </c>
      <c r="P150" s="1142">
        <v>7.6111560446694929E-3</v>
      </c>
      <c r="Q150" s="1142">
        <v>6.9981466134073399E-3</v>
      </c>
      <c r="R150" s="1142">
        <v>9.4527911091342731E-3</v>
      </c>
      <c r="S150" s="1142">
        <v>9.81009517832457E-3</v>
      </c>
      <c r="T150" s="1142">
        <v>8.820364857878267E-2</v>
      </c>
      <c r="U150" s="1142">
        <v>9.4910950897915763E-2</v>
      </c>
      <c r="V150" s="1142" t="e">
        <v>#N/A</v>
      </c>
      <c r="Y150" s="1117" t="s">
        <v>886</v>
      </c>
      <c r="Z150" s="741"/>
      <c r="AA150" s="1116">
        <v>1.2376172898018432</v>
      </c>
      <c r="AB150" s="1116">
        <v>1.9793117175020154</v>
      </c>
      <c r="AC150" s="1116">
        <v>1.2255756809451668</v>
      </c>
      <c r="AD150" s="1116">
        <v>2.7995000551967637</v>
      </c>
      <c r="AE150" s="1116">
        <v>-5.0479915862831654E-2</v>
      </c>
      <c r="AF150" s="1116">
        <v>-0.10810699930673731</v>
      </c>
      <c r="AG150" s="1116">
        <v>-0.33475154200384794</v>
      </c>
      <c r="AH150" s="1116">
        <v>-4.1542685605501797E-2</v>
      </c>
      <c r="AI150" s="1116">
        <v>3.6138619314247644</v>
      </c>
      <c r="AJ150" s="1116">
        <v>-3.8582089772926595</v>
      </c>
      <c r="AK150" s="1116">
        <v>0</v>
      </c>
      <c r="AL150" s="1116">
        <v>0</v>
      </c>
      <c r="AM150" s="1116">
        <v>4.3997635021151105</v>
      </c>
      <c r="AN150" s="1116">
        <v>-3.2355828358613081</v>
      </c>
      <c r="AO150" s="1116">
        <v>4.8282775868747017</v>
      </c>
      <c r="AP150" s="1116">
        <v>0</v>
      </c>
      <c r="AQ150" s="741"/>
    </row>
    <row r="151" spans="2:43" outlineLevel="1" x14ac:dyDescent="0.3">
      <c r="C151" s="115">
        <v>14</v>
      </c>
      <c r="D151" s="115" t="str">
        <f t="shared" si="54"/>
        <v>Sts.14 Põlevkivi 2</v>
      </c>
      <c r="H151" s="114">
        <f t="shared" si="57"/>
        <v>12</v>
      </c>
      <c r="I151" s="1140">
        <f t="shared" si="55"/>
        <v>5.8945169106540844E-2</v>
      </c>
      <c r="J151" s="1141">
        <f t="shared" si="58"/>
        <v>0</v>
      </c>
      <c r="K151" s="114">
        <f t="shared" si="59"/>
        <v>12</v>
      </c>
      <c r="L151" s="1136">
        <v>5.8945169106540844E-2</v>
      </c>
      <c r="M151" s="1136">
        <v>1.9648389702180281E-2</v>
      </c>
      <c r="N151" s="1136">
        <v>0</v>
      </c>
      <c r="O151" s="1142">
        <v>1.6770856403807116E-3</v>
      </c>
      <c r="P151" s="1142">
        <v>-2.4452661868141689E-3</v>
      </c>
      <c r="Q151" s="1142">
        <v>1.6149395238003617E-3</v>
      </c>
      <c r="R151" s="1142">
        <v>6.5298233985211507E-5</v>
      </c>
      <c r="S151" s="1142">
        <v>0</v>
      </c>
      <c r="T151" s="1142">
        <v>0</v>
      </c>
      <c r="U151" s="1142">
        <v>0</v>
      </c>
      <c r="V151" s="1142" t="e">
        <v>#N/A</v>
      </c>
      <c r="Y151" s="1117" t="s">
        <v>885</v>
      </c>
      <c r="Z151" s="741"/>
      <c r="AA151" s="1116">
        <v>0.52453493611024449</v>
      </c>
      <c r="AB151" s="1116">
        <v>0.89288408121069529</v>
      </c>
      <c r="AC151" s="1116">
        <v>0.91273742787692036</v>
      </c>
      <c r="AD151" s="1116">
        <v>1.8546458255274043</v>
      </c>
      <c r="AE151" s="1116">
        <v>-5.0535196975118206E-2</v>
      </c>
      <c r="AF151" s="1116">
        <v>-0.10275459599497216</v>
      </c>
      <c r="AG151" s="1116">
        <v>-1.0064305008818542E-3</v>
      </c>
      <c r="AH151" s="1116">
        <v>6.3060123676834147E-3</v>
      </c>
      <c r="AI151" s="1116">
        <v>4.7041107061993834</v>
      </c>
      <c r="AJ151" s="1116">
        <v>-3.6100394344225721</v>
      </c>
      <c r="AK151" s="1116">
        <v>0</v>
      </c>
      <c r="AL151" s="1116">
        <v>0</v>
      </c>
      <c r="AM151" s="1116">
        <v>2.4145483445685763</v>
      </c>
      <c r="AN151" s="1116">
        <v>-1.196668836502272</v>
      </c>
      <c r="AO151" s="1116">
        <v>5.9353597642459128</v>
      </c>
      <c r="AP151" s="1116">
        <v>0</v>
      </c>
    </row>
    <row r="152" spans="2:43" outlineLevel="1" x14ac:dyDescent="0.3">
      <c r="C152" s="115">
        <v>15</v>
      </c>
      <c r="D152" s="115" t="str">
        <f t="shared" si="54"/>
        <v>Sts.15 Põlevkivi 3</v>
      </c>
      <c r="H152" s="114">
        <f t="shared" si="57"/>
        <v>13</v>
      </c>
      <c r="I152" s="1140">
        <f t="shared" si="55"/>
        <v>0.125036694084981</v>
      </c>
      <c r="J152" s="1141">
        <f t="shared" si="58"/>
        <v>0</v>
      </c>
      <c r="K152" s="114">
        <f t="shared" si="59"/>
        <v>13</v>
      </c>
      <c r="L152" s="1136">
        <v>0.125036694084981</v>
      </c>
      <c r="M152" s="1136">
        <v>4.1678898028326999E-2</v>
      </c>
      <c r="N152" s="1136">
        <v>0</v>
      </c>
      <c r="O152" s="1142">
        <v>3.7627918351755933E-3</v>
      </c>
      <c r="P152" s="1142">
        <v>-5.5508545942094967E-3</v>
      </c>
      <c r="Q152" s="1142">
        <v>3.6360963794824699E-3</v>
      </c>
      <c r="R152" s="1142">
        <v>1.425781224138889E-4</v>
      </c>
      <c r="S152" s="1142">
        <v>0</v>
      </c>
      <c r="T152" s="1142">
        <v>0</v>
      </c>
      <c r="U152" s="1142">
        <v>0</v>
      </c>
      <c r="V152" s="1142" t="e">
        <v>#N/A</v>
      </c>
    </row>
    <row r="153" spans="2:43" outlineLevel="1" x14ac:dyDescent="0.3">
      <c r="C153" s="115">
        <v>16</v>
      </c>
      <c r="D153" s="115" t="str">
        <f t="shared" si="54"/>
        <v xml:space="preserve">Sts.16 </v>
      </c>
      <c r="H153" s="114">
        <f t="shared" si="57"/>
        <v>14</v>
      </c>
      <c r="I153" s="1140">
        <f t="shared" si="55"/>
        <v>0.1853383362861476</v>
      </c>
      <c r="J153" s="1141">
        <f t="shared" si="58"/>
        <v>-7.5406557743025168E-2</v>
      </c>
      <c r="K153" s="114">
        <f t="shared" si="59"/>
        <v>14</v>
      </c>
      <c r="L153" s="1136">
        <v>0.1853383362861476</v>
      </c>
      <c r="M153" s="1136">
        <v>-0.95178780951331499</v>
      </c>
      <c r="N153" s="1136">
        <v>3.0407017648260926</v>
      </c>
      <c r="O153" s="1142">
        <v>-1.2003894658898701E-2</v>
      </c>
      <c r="P153" s="1142">
        <v>-2.8826605518066824E-3</v>
      </c>
      <c r="Q153" s="1142">
        <v>-6.3401547076100025E-3</v>
      </c>
      <c r="R153" s="1142">
        <v>-5.47417801719563E-3</v>
      </c>
      <c r="S153" s="1142">
        <v>-6.3070271055567548E-2</v>
      </c>
      <c r="T153" s="1142">
        <v>-7.5406557743025168E-2</v>
      </c>
      <c r="U153" s="1142">
        <v>-1.4780232197966221E-2</v>
      </c>
      <c r="V153" s="1142" t="e">
        <v>#N/A</v>
      </c>
    </row>
    <row r="154" spans="2:43" outlineLevel="1" x14ac:dyDescent="0.3">
      <c r="C154" s="115">
        <v>17</v>
      </c>
      <c r="D154" s="115" t="str">
        <f>INDEX($C$126:$AF$126,1,C154)</f>
        <v>Sts.17 Hooned 3</v>
      </c>
      <c r="H154" s="114">
        <f t="shared" si="57"/>
        <v>15</v>
      </c>
      <c r="I154" s="1140">
        <f t="shared" si="55"/>
        <v>-5.9194614470293283E-2</v>
      </c>
      <c r="J154" s="1141">
        <f t="shared" si="58"/>
        <v>3.7232886105357813E-2</v>
      </c>
      <c r="K154" s="114">
        <f t="shared" si="59"/>
        <v>15</v>
      </c>
      <c r="L154" s="1136">
        <v>-5.9194614470293283E-2</v>
      </c>
      <c r="M154" s="1136">
        <v>0.48199414240790583</v>
      </c>
      <c r="N154" s="1136">
        <v>-1.5051770416940109</v>
      </c>
      <c r="O154" s="1142">
        <v>6.3005461733413809E-3</v>
      </c>
      <c r="P154" s="1142">
        <v>9.6270236772469429E-4</v>
      </c>
      <c r="Q154" s="1142">
        <v>3.6450913016797138E-3</v>
      </c>
      <c r="R154" s="1142">
        <v>2.7778456499127357E-3</v>
      </c>
      <c r="S154" s="1142">
        <v>3.1177962897030322E-2</v>
      </c>
      <c r="T154" s="1142">
        <v>3.7232886105357813E-2</v>
      </c>
      <c r="U154" s="1142">
        <v>7.6410829562973213E-3</v>
      </c>
      <c r="V154" s="1142" t="e">
        <v>#N/A</v>
      </c>
    </row>
    <row r="155" spans="2:43" outlineLevel="1" x14ac:dyDescent="0.3">
      <c r="C155" s="115">
        <v>18</v>
      </c>
      <c r="D155" s="115" t="str">
        <f t="shared" si="54"/>
        <v>Sts.18</v>
      </c>
      <c r="H155" s="114">
        <f t="shared" si="57"/>
        <v>16</v>
      </c>
      <c r="I155" s="1140">
        <f t="shared" si="55"/>
        <v>8.4300212079109933</v>
      </c>
      <c r="J155" s="1141">
        <f t="shared" si="58"/>
        <v>6.685116555612397E-2</v>
      </c>
      <c r="K155" s="114">
        <f t="shared" si="59"/>
        <v>16</v>
      </c>
      <c r="L155" s="1136">
        <v>8.4300212079109933</v>
      </c>
      <c r="M155" s="1136">
        <v>3.5898546059856007</v>
      </c>
      <c r="N155" s="1136">
        <v>-2.3395426100458088</v>
      </c>
      <c r="O155" s="1142">
        <v>4.5623734166474292E-2</v>
      </c>
      <c r="P155" s="1142">
        <v>8.8744154476012877E-3</v>
      </c>
      <c r="Q155" s="1142">
        <v>3.1108258260841098E-2</v>
      </c>
      <c r="R155" s="1142">
        <v>1.6576305727050628E-2</v>
      </c>
      <c r="S155" s="1142">
        <v>-2.7898803747622635E-3</v>
      </c>
      <c r="T155" s="1142">
        <v>6.685116555612397E-2</v>
      </c>
      <c r="U155" s="1142">
        <v>3.6190644710971213E-2</v>
      </c>
      <c r="V155" s="1142" t="e">
        <v>#N/A</v>
      </c>
    </row>
    <row r="156" spans="2:43" outlineLevel="1" x14ac:dyDescent="0.3">
      <c r="C156" s="115">
        <v>19</v>
      </c>
      <c r="D156" s="115" t="str">
        <f t="shared" si="54"/>
        <v>Sts.19</v>
      </c>
      <c r="H156" s="114">
        <f t="shared" si="57"/>
        <v>17</v>
      </c>
      <c r="I156" s="1140">
        <f t="shared" si="55"/>
        <v>0.56883290954254206</v>
      </c>
      <c r="J156" s="1141">
        <f t="shared" si="58"/>
        <v>0</v>
      </c>
      <c r="K156" s="114">
        <f t="shared" si="59"/>
        <v>17</v>
      </c>
      <c r="L156" s="1136">
        <v>0.56883290954254206</v>
      </c>
      <c r="M156" s="1136">
        <v>0.18961096984751402</v>
      </c>
      <c r="N156" s="1136">
        <v>0</v>
      </c>
      <c r="O156" s="1142">
        <v>3.6638094823328339E-3</v>
      </c>
      <c r="P156" s="1142">
        <v>-1.6796918844810169E-3</v>
      </c>
      <c r="Q156" s="1142">
        <v>4.0391274247742609E-3</v>
      </c>
      <c r="R156" s="1142">
        <v>-3.5871886926860941E-4</v>
      </c>
      <c r="S156" s="1142">
        <v>0</v>
      </c>
      <c r="T156" s="1142">
        <v>0</v>
      </c>
      <c r="U156" s="1142">
        <v>0</v>
      </c>
      <c r="V156" s="1142" t="e">
        <v>#N/A</v>
      </c>
    </row>
    <row r="157" spans="2:43" outlineLevel="1" x14ac:dyDescent="0.3">
      <c r="C157" s="115">
        <v>20</v>
      </c>
      <c r="D157" s="115" t="str">
        <f t="shared" si="54"/>
        <v>Sts.20</v>
      </c>
      <c r="H157" s="114">
        <f t="shared" si="57"/>
        <v>18</v>
      </c>
      <c r="I157" s="1140">
        <f t="shared" si="55"/>
        <v>0</v>
      </c>
      <c r="J157" s="1141">
        <f t="shared" si="58"/>
        <v>0</v>
      </c>
      <c r="K157" s="114">
        <f t="shared" si="59"/>
        <v>18</v>
      </c>
      <c r="L157" s="1136">
        <v>0</v>
      </c>
      <c r="M157" s="1136">
        <v>0</v>
      </c>
      <c r="N157" s="1136">
        <v>0</v>
      </c>
      <c r="O157" s="1142">
        <v>0</v>
      </c>
      <c r="P157" s="1142">
        <v>0</v>
      </c>
      <c r="Q157" s="1142">
        <v>0</v>
      </c>
      <c r="R157" s="1142">
        <v>0</v>
      </c>
      <c r="S157" s="1142">
        <v>0</v>
      </c>
      <c r="T157" s="1142">
        <v>0</v>
      </c>
      <c r="U157" s="1142">
        <v>0</v>
      </c>
      <c r="V157" s="1142" t="e">
        <v>#N/A</v>
      </c>
    </row>
    <row r="158" spans="2:43" outlineLevel="1" x14ac:dyDescent="0.3">
      <c r="B158" s="689"/>
      <c r="F158" s="115"/>
      <c r="G158" s="115"/>
    </row>
    <row r="159" spans="2:43" outlineLevel="1" x14ac:dyDescent="0.3">
      <c r="B159" s="105" t="s">
        <v>923</v>
      </c>
      <c r="C159" s="1145"/>
      <c r="D159" s="1142">
        <f t="array" ref="D159:U159">TRANSPOSE(J140:J157)</f>
        <v>0</v>
      </c>
      <c r="E159" s="1142">
        <v>-1.0954640059978458E-2</v>
      </c>
      <c r="F159" s="1142">
        <v>-1.8627306350600378E-2</v>
      </c>
      <c r="G159" s="1142">
        <v>-2.0789962137892092E-2</v>
      </c>
      <c r="H159" s="1142">
        <v>-4.0800981783396348E-2</v>
      </c>
      <c r="I159" s="1142">
        <v>1.3336122196355611E-3</v>
      </c>
      <c r="J159" s="1142">
        <v>2.5927721359240083E-3</v>
      </c>
      <c r="K159" s="1142">
        <v>2.0794216062047449E-5</v>
      </c>
      <c r="L159" s="1142">
        <v>-3.1158306941380526E-4</v>
      </c>
      <c r="M159" s="1142">
        <v>-0.14018616807588472</v>
      </c>
      <c r="N159" s="1142">
        <v>8.820364857878267E-2</v>
      </c>
      <c r="O159" s="1142">
        <v>0</v>
      </c>
      <c r="P159" s="1142">
        <v>0</v>
      </c>
      <c r="Q159" s="1142">
        <v>-7.5406557743025168E-2</v>
      </c>
      <c r="R159" s="1142">
        <v>3.7232886105357813E-2</v>
      </c>
      <c r="S159" s="1142">
        <v>6.685116555612397E-2</v>
      </c>
      <c r="T159" s="1142">
        <v>0</v>
      </c>
      <c r="U159" s="1142">
        <v>0</v>
      </c>
    </row>
    <row r="160" spans="2:43" outlineLevel="1" x14ac:dyDescent="0.3">
      <c r="B160" s="105" t="s">
        <v>885</v>
      </c>
      <c r="C160" s="1031">
        <v>1</v>
      </c>
      <c r="D160" s="1142">
        <f t="dataTable" ref="D160:U161" dt2D="1" dtr="1" r1="X161" r2="G7" ca="1"/>
        <v>0</v>
      </c>
      <c r="E160" s="1142">
        <v>0</v>
      </c>
      <c r="F160" s="1142">
        <v>0</v>
      </c>
      <c r="G160" s="1142">
        <v>0</v>
      </c>
      <c r="H160" s="1142">
        <v>0</v>
      </c>
      <c r="I160" s="1142">
        <v>0</v>
      </c>
      <c r="J160" s="1142">
        <v>0</v>
      </c>
      <c r="K160" s="1142">
        <v>0</v>
      </c>
      <c r="L160" s="1142">
        <v>0</v>
      </c>
      <c r="M160" s="1142">
        <v>0</v>
      </c>
      <c r="N160" s="1142">
        <v>0</v>
      </c>
      <c r="O160" s="1142">
        <v>0</v>
      </c>
      <c r="P160" s="1142">
        <v>0</v>
      </c>
      <c r="Q160" s="1142">
        <v>0</v>
      </c>
      <c r="R160" s="1142">
        <v>0</v>
      </c>
      <c r="S160" s="1142">
        <v>0</v>
      </c>
      <c r="T160" s="1142">
        <v>0</v>
      </c>
      <c r="U160" s="1142">
        <v>0</v>
      </c>
      <c r="Y160" s="1146"/>
    </row>
    <row r="161" spans="2:25" outlineLevel="1" x14ac:dyDescent="0.3">
      <c r="B161" s="105" t="s">
        <v>886</v>
      </c>
      <c r="C161" s="1031">
        <v>2</v>
      </c>
      <c r="D161" s="1142">
        <v>0</v>
      </c>
      <c r="E161" s="1142">
        <v>0</v>
      </c>
      <c r="F161" s="1142">
        <v>0</v>
      </c>
      <c r="G161" s="1142">
        <v>0</v>
      </c>
      <c r="H161" s="1142">
        <v>0</v>
      </c>
      <c r="I161" s="1142">
        <v>0</v>
      </c>
      <c r="J161" s="1142">
        <v>0</v>
      </c>
      <c r="K161" s="1142">
        <v>0</v>
      </c>
      <c r="L161" s="1142">
        <v>0</v>
      </c>
      <c r="M161" s="1142">
        <v>0</v>
      </c>
      <c r="N161" s="1142">
        <v>0</v>
      </c>
      <c r="O161" s="1142">
        <v>0</v>
      </c>
      <c r="P161" s="1142">
        <v>0</v>
      </c>
      <c r="Q161" s="1142">
        <v>0</v>
      </c>
      <c r="R161" s="1142">
        <v>0</v>
      </c>
      <c r="S161" s="1142">
        <v>0</v>
      </c>
      <c r="T161" s="1142">
        <v>0</v>
      </c>
      <c r="U161" s="1142">
        <v>0</v>
      </c>
      <c r="Y161" s="1146"/>
    </row>
    <row r="162" spans="2:25" outlineLevel="1" x14ac:dyDescent="0.3">
      <c r="B162" s="1118" t="s">
        <v>700</v>
      </c>
      <c r="C162" s="106"/>
      <c r="D162" s="1116">
        <f t="array" ref="D162:U162">TRANSPOSE(I140:I157)</f>
        <v>0</v>
      </c>
      <c r="E162" s="1116">
        <v>1.1014872083659346</v>
      </c>
      <c r="F162" s="1116">
        <v>1.5327582857008553</v>
      </c>
      <c r="G162" s="1116">
        <v>2.3218487900911895</v>
      </c>
      <c r="H162" s="1116">
        <v>4.8828091856298155</v>
      </c>
      <c r="I162" s="1116">
        <v>0.81140673943470754</v>
      </c>
      <c r="J162" s="1116">
        <v>1.6529044935836064</v>
      </c>
      <c r="K162" s="1116">
        <v>-8.0390039843941143E-4</v>
      </c>
      <c r="L162" s="1116">
        <v>0.67529350356720552</v>
      </c>
      <c r="M162" s="1116">
        <v>5.0629429943410278</v>
      </c>
      <c r="N162" s="1116">
        <v>0.6326726894143242</v>
      </c>
      <c r="O162" s="1116">
        <v>5.8945169106540844E-2</v>
      </c>
      <c r="P162" s="1116">
        <v>0.125036694084981</v>
      </c>
      <c r="Q162" s="1116">
        <v>0.1853383362861476</v>
      </c>
      <c r="R162" s="1116">
        <v>-5.9194614470293283E-2</v>
      </c>
      <c r="S162" s="1116">
        <v>8.4300212079109933</v>
      </c>
      <c r="T162" s="1116">
        <v>0.56883290954254206</v>
      </c>
      <c r="U162" s="1116">
        <v>0</v>
      </c>
      <c r="Y162" s="1146"/>
    </row>
    <row r="163" spans="2:25" ht="27.6" outlineLevel="1" x14ac:dyDescent="0.3">
      <c r="B163" s="106"/>
      <c r="C163" s="106"/>
      <c r="D163" s="741" t="s">
        <v>887</v>
      </c>
      <c r="E163" s="741" t="s">
        <v>888</v>
      </c>
      <c r="F163" s="741" t="s">
        <v>889</v>
      </c>
      <c r="G163" s="741" t="s">
        <v>890</v>
      </c>
      <c r="H163" s="741" t="s">
        <v>891</v>
      </c>
      <c r="I163" s="741" t="s">
        <v>892</v>
      </c>
      <c r="J163" s="741" t="s">
        <v>893</v>
      </c>
      <c r="K163" s="741" t="s">
        <v>894</v>
      </c>
      <c r="L163" s="741" t="s">
        <v>895</v>
      </c>
      <c r="M163" s="741" t="s">
        <v>896</v>
      </c>
      <c r="N163" s="741" t="s">
        <v>897</v>
      </c>
      <c r="O163" s="741" t="s">
        <v>898</v>
      </c>
      <c r="P163" s="741" t="s">
        <v>899</v>
      </c>
      <c r="Q163" s="741" t="s">
        <v>900</v>
      </c>
      <c r="R163" s="741" t="s">
        <v>901</v>
      </c>
      <c r="S163" s="741" t="s">
        <v>878</v>
      </c>
      <c r="T163" s="741" t="s">
        <v>819</v>
      </c>
      <c r="U163" s="741" t="s">
        <v>814</v>
      </c>
      <c r="Y163" s="1146"/>
    </row>
    <row r="164" spans="2:25" x14ac:dyDescent="0.3">
      <c r="B164" s="1117"/>
      <c r="C164" s="741"/>
      <c r="D164" s="1116"/>
      <c r="E164" s="1116"/>
      <c r="F164" s="1116"/>
      <c r="G164" s="1116"/>
      <c r="H164" s="1116"/>
      <c r="I164" s="1116"/>
      <c r="J164" s="1116"/>
      <c r="K164" s="1116"/>
      <c r="L164" s="1116"/>
      <c r="M164" s="1116"/>
      <c r="N164" s="1116"/>
      <c r="O164" s="1116"/>
      <c r="P164" s="1116"/>
      <c r="Q164" s="1116"/>
      <c r="R164" s="1116"/>
      <c r="S164" s="1116"/>
      <c r="Y164" s="1146"/>
    </row>
    <row r="165" spans="2:25" ht="14.4" x14ac:dyDescent="0.3">
      <c r="B165" s="899" t="s">
        <v>767</v>
      </c>
      <c r="N165" s="1147" t="str">
        <f>G8</f>
        <v>, 2015-2030</v>
      </c>
      <c r="Y165" s="1146"/>
    </row>
    <row r="166" spans="2:25" x14ac:dyDescent="0.3">
      <c r="C166" s="318">
        <v>2015</v>
      </c>
      <c r="D166" s="318">
        <f t="shared" ref="D166" si="60">C166+5</f>
        <v>2020</v>
      </c>
      <c r="E166" s="318">
        <f t="shared" ref="E166" si="61">D166+5</f>
        <v>2025</v>
      </c>
      <c r="F166" s="318">
        <f t="shared" ref="F166" si="62">E166+5</f>
        <v>2030</v>
      </c>
      <c r="G166" s="318">
        <f t="shared" ref="G166" si="63">F166+5</f>
        <v>2035</v>
      </c>
      <c r="H166" s="318">
        <f t="shared" ref="H166" si="64">G166+5</f>
        <v>2040</v>
      </c>
      <c r="I166" s="318">
        <f t="shared" ref="I166" si="65">H166+5</f>
        <v>2045</v>
      </c>
      <c r="J166" s="318">
        <f t="shared" ref="J166" si="66">I166+5</f>
        <v>2050</v>
      </c>
      <c r="Y166" s="1146"/>
    </row>
    <row r="167" spans="2:25" ht="20.399999999999999" x14ac:dyDescent="0.35">
      <c r="B167" s="781" t="str">
        <f>INDEX(B37:B43,$N$36)</f>
        <v>Väliskaubanduse saldo</v>
      </c>
      <c r="C167" s="781">
        <f t="shared" ref="C167:J167" si="67">INDEX(D37:D43,$N$36)</f>
        <v>-5.1217545021482371E-3</v>
      </c>
      <c r="D167" s="781">
        <f t="shared" si="67"/>
        <v>-3.6785878107232642E-3</v>
      </c>
      <c r="E167" s="781">
        <f t="shared" si="67"/>
        <v>2.4279268699483627E-4</v>
      </c>
      <c r="F167" s="781">
        <f t="shared" si="67"/>
        <v>-2.1635988636202414E-3</v>
      </c>
      <c r="G167" s="781">
        <f t="shared" si="67"/>
        <v>3.8732191965882732E-3</v>
      </c>
      <c r="H167" s="781">
        <f t="shared" si="67"/>
        <v>4.9239525808030945E-3</v>
      </c>
      <c r="I167" s="781">
        <f t="shared" si="67"/>
        <v>5.5609317999974527E-3</v>
      </c>
      <c r="J167" s="781">
        <f t="shared" si="67"/>
        <v>6.6914911521381909E-3</v>
      </c>
      <c r="N167" s="966" t="str">
        <f>J138&amp;", "&amp;J137</f>
        <v>Fossiilsed kütused/SKP, % BAU</v>
      </c>
      <c r="O167" s="902"/>
      <c r="P167" s="902"/>
      <c r="Q167" s="902"/>
      <c r="R167" s="902"/>
      <c r="S167" s="902"/>
      <c r="T167" s="902"/>
      <c r="U167" s="902"/>
      <c r="V167" s="902"/>
      <c r="W167" s="902"/>
      <c r="X167" s="902"/>
      <c r="Y167" s="1146"/>
    </row>
    <row r="168" spans="2:25" x14ac:dyDescent="0.3">
      <c r="B168" s="689">
        <v>2</v>
      </c>
      <c r="C168" s="782">
        <f t="dataTable" ref="C168:J177" dt2D="0" dtr="0" r1="B126" ca="1"/>
        <v>-1.8041152253603051E-3</v>
      </c>
      <c r="D168" s="782">
        <v>-8.2420325041698145E-4</v>
      </c>
      <c r="E168" s="782">
        <v>-9.0393289182911878E-4</v>
      </c>
      <c r="F168" s="782">
        <v>1.8496975650407862E-4</v>
      </c>
      <c r="G168" s="782">
        <v>5.0404777901428925E-4</v>
      </c>
      <c r="H168" s="782">
        <v>7.4371329456901427E-4</v>
      </c>
      <c r="I168" s="782">
        <v>1.0482346811242704E-3</v>
      </c>
      <c r="J168" s="782">
        <v>1.2036055000805607E-3</v>
      </c>
      <c r="K168" s="106" t="s">
        <v>735</v>
      </c>
      <c r="Y168" s="1146"/>
    </row>
    <row r="169" spans="2:25" x14ac:dyDescent="0.3">
      <c r="B169" s="689">
        <v>3</v>
      </c>
      <c r="C169" s="782">
        <v>-3.5973673437628491E-3</v>
      </c>
      <c r="D169" s="782">
        <v>-2.3087408272735432E-3</v>
      </c>
      <c r="E169" s="782">
        <v>-1.1330955350305615E-3</v>
      </c>
      <c r="F169" s="782">
        <v>2.700176186520816E-4</v>
      </c>
      <c r="G169" s="782">
        <v>1.2914141738303167E-3</v>
      </c>
      <c r="H169" s="782">
        <v>1.7119969449864306E-3</v>
      </c>
      <c r="I169" s="782">
        <v>1.3884805036997727E-3</v>
      </c>
      <c r="J169" s="782">
        <v>1.4115512398324933E-3</v>
      </c>
      <c r="K169" s="106" t="s">
        <v>736</v>
      </c>
      <c r="Y169" s="1146"/>
    </row>
    <row r="170" spans="2:25" x14ac:dyDescent="0.3">
      <c r="B170" s="689">
        <v>4</v>
      </c>
      <c r="C170" s="782">
        <v>2.3398311381779837E-4</v>
      </c>
      <c r="D170" s="782">
        <v>5.0696567837026675E-3</v>
      </c>
      <c r="E170" s="782">
        <v>7.2930032717441595E-3</v>
      </c>
      <c r="F170" s="782">
        <v>8.8985130642648212E-3</v>
      </c>
      <c r="G170" s="782">
        <v>8.1944244522922961E-3</v>
      </c>
      <c r="H170" s="782">
        <v>7.7063023683146166E-3</v>
      </c>
      <c r="I170" s="782">
        <v>7.3265906366219401E-3</v>
      </c>
      <c r="J170" s="782">
        <v>7.1982784250711378E-3</v>
      </c>
      <c r="K170" s="106" t="s">
        <v>737</v>
      </c>
      <c r="Y170" s="1146"/>
    </row>
    <row r="171" spans="2:25" x14ac:dyDescent="0.3">
      <c r="B171" s="689">
        <v>5</v>
      </c>
      <c r="C171" s="782">
        <v>2.4418174453557821E-4</v>
      </c>
      <c r="D171" s="782">
        <v>8.68849412869558E-3</v>
      </c>
      <c r="E171" s="782">
        <v>1.4679623391523115E-2</v>
      </c>
      <c r="F171" s="782">
        <v>1.9370418331567187E-2</v>
      </c>
      <c r="G171" s="782">
        <v>1.9532888050776326E-2</v>
      </c>
      <c r="H171" s="782">
        <v>1.9070189682809172E-2</v>
      </c>
      <c r="I171" s="782">
        <v>1.8290036441539204E-2</v>
      </c>
      <c r="J171" s="782">
        <v>1.8944361013326669E-2</v>
      </c>
      <c r="K171" s="106" t="s">
        <v>738</v>
      </c>
      <c r="Y171" s="1146"/>
    </row>
    <row r="172" spans="2:25" x14ac:dyDescent="0.3">
      <c r="B172" s="689">
        <v>6</v>
      </c>
      <c r="C172" s="782">
        <v>-2.7422365652209246E-3</v>
      </c>
      <c r="D172" s="782">
        <v>-4.1994703187853023E-3</v>
      </c>
      <c r="E172" s="782">
        <v>-1.8793501944368237E-3</v>
      </c>
      <c r="F172" s="782">
        <v>-1.9511543192194029E-3</v>
      </c>
      <c r="G172" s="782">
        <v>-5.9169017220915294E-4</v>
      </c>
      <c r="H172" s="782">
        <v>-4.7773899426918073E-4</v>
      </c>
      <c r="I172" s="782">
        <v>-3.7359630529004814E-4</v>
      </c>
      <c r="J172" s="782">
        <v>-3.1246731300169593E-4</v>
      </c>
      <c r="K172" s="106" t="s">
        <v>739</v>
      </c>
      <c r="Y172" s="1146"/>
    </row>
    <row r="173" spans="2:25" x14ac:dyDescent="0.3">
      <c r="B173" s="689">
        <v>7</v>
      </c>
      <c r="C173" s="782">
        <v>-5.1217545021482371E-3</v>
      </c>
      <c r="D173" s="782">
        <v>-3.6785878107232642E-3</v>
      </c>
      <c r="E173" s="782">
        <v>2.4279268699483627E-4</v>
      </c>
      <c r="F173" s="782">
        <v>-2.1635988636202414E-3</v>
      </c>
      <c r="G173" s="782">
        <v>3.8732191965882732E-3</v>
      </c>
      <c r="H173" s="782">
        <v>4.9239525808030945E-3</v>
      </c>
      <c r="I173" s="782">
        <v>5.5609317999974527E-3</v>
      </c>
      <c r="J173" s="782">
        <v>6.6914911521381909E-3</v>
      </c>
      <c r="K173" s="106" t="s">
        <v>769</v>
      </c>
      <c r="Y173" s="1146"/>
    </row>
    <row r="174" spans="2:25" x14ac:dyDescent="0.3">
      <c r="B174" s="689">
        <v>8</v>
      </c>
      <c r="C174" s="782">
        <v>0</v>
      </c>
      <c r="D174" s="782">
        <v>2.6082909282157918E-8</v>
      </c>
      <c r="E174" s="782">
        <v>-1.0289155136814282E-4</v>
      </c>
      <c r="F174" s="782">
        <v>-1.8500686747660023E-5</v>
      </c>
      <c r="G174" s="782">
        <v>-1.1929543056763729E-5</v>
      </c>
      <c r="H174" s="782">
        <v>-2.3289425634196684E-5</v>
      </c>
      <c r="I174" s="782">
        <v>2.4283184711618882E-4</v>
      </c>
      <c r="J174" s="782">
        <v>3.5933963243517348E-5</v>
      </c>
      <c r="K174" s="106" t="s">
        <v>770</v>
      </c>
      <c r="Y174" s="1146"/>
    </row>
    <row r="175" spans="2:25" x14ac:dyDescent="0.3">
      <c r="B175" s="689">
        <v>9</v>
      </c>
      <c r="C175" s="782">
        <v>0</v>
      </c>
      <c r="D175" s="782">
        <v>7.7018184451585624E-7</v>
      </c>
      <c r="E175" s="782">
        <v>-7.3011038302176335E-4</v>
      </c>
      <c r="F175" s="782">
        <v>-2.5585177490557529E-3</v>
      </c>
      <c r="G175" s="782">
        <v>2.7780571938825576E-3</v>
      </c>
      <c r="H175" s="782">
        <v>8.1534875389920741E-3</v>
      </c>
      <c r="I175" s="782">
        <v>2.4537966461941727E-3</v>
      </c>
      <c r="J175" s="782">
        <v>2.4869031711415137E-3</v>
      </c>
      <c r="K175" s="106" t="s">
        <v>771</v>
      </c>
      <c r="Y175" s="1146"/>
    </row>
    <row r="176" spans="2:25" x14ac:dyDescent="0.3">
      <c r="B176" s="689">
        <v>10</v>
      </c>
      <c r="C176" s="782">
        <v>0</v>
      </c>
      <c r="D176" s="782">
        <v>-1.3932306402027717E-3</v>
      </c>
      <c r="E176" s="782">
        <v>-7.1007185489714087E-4</v>
      </c>
      <c r="F176" s="782">
        <v>-7.6948723168191163E-4</v>
      </c>
      <c r="G176" s="782">
        <v>-7.3401185135579361E-4</v>
      </c>
      <c r="H176" s="782">
        <v>-7.7579283322253261E-4</v>
      </c>
      <c r="I176" s="782">
        <v>-3.6957880248333458E-4</v>
      </c>
      <c r="J176" s="782">
        <v>-1.1059899728494049E-3</v>
      </c>
      <c r="K176" s="106" t="s">
        <v>772</v>
      </c>
    </row>
    <row r="177" spans="2:23" x14ac:dyDescent="0.3">
      <c r="B177" s="689">
        <v>11</v>
      </c>
      <c r="C177" s="782">
        <v>0</v>
      </c>
      <c r="D177" s="782">
        <v>7.0498303662822216E-3</v>
      </c>
      <c r="E177" s="782">
        <v>1.2454964428982853E-2</v>
      </c>
      <c r="F177" s="782">
        <v>1.0939829383412897E-2</v>
      </c>
      <c r="G177" s="782">
        <v>1.1420549908027974E-2</v>
      </c>
      <c r="H177" s="782">
        <v>6.3267614995444199E-3</v>
      </c>
      <c r="I177" s="782">
        <v>7.3077864559765379E-3</v>
      </c>
      <c r="J177" s="782">
        <v>3.8018116990116467E-3</v>
      </c>
      <c r="K177" s="106" t="s">
        <v>773</v>
      </c>
    </row>
    <row r="179" spans="2:23" x14ac:dyDescent="0.3">
      <c r="B179" s="899" t="s">
        <v>767</v>
      </c>
    </row>
    <row r="180" spans="2:23" x14ac:dyDescent="0.3">
      <c r="B180" s="1031">
        <v>1</v>
      </c>
      <c r="V180" s="886"/>
      <c r="W180" s="886"/>
    </row>
    <row r="181" spans="2:23" x14ac:dyDescent="0.3">
      <c r="B181" s="106"/>
      <c r="C181" s="106"/>
      <c r="W181" s="886"/>
    </row>
    <row r="182" spans="2:23" x14ac:dyDescent="0.3">
      <c r="C182" s="318">
        <v>2015</v>
      </c>
      <c r="D182" s="318">
        <f t="shared" ref="D182" si="68">C182+5</f>
        <v>2020</v>
      </c>
      <c r="E182" s="318">
        <f t="shared" ref="E182" si="69">D182+5</f>
        <v>2025</v>
      </c>
      <c r="F182" s="318">
        <f t="shared" ref="F182" si="70">E182+5</f>
        <v>2030</v>
      </c>
      <c r="G182" s="318">
        <f t="shared" ref="G182" si="71">F182+5</f>
        <v>2035</v>
      </c>
      <c r="H182" s="318">
        <f t="shared" ref="H182" si="72">G182+5</f>
        <v>2040</v>
      </c>
      <c r="I182" s="318">
        <f t="shared" ref="I182" si="73">H182+5</f>
        <v>2045</v>
      </c>
      <c r="J182" s="318">
        <f t="shared" ref="J182" si="74">I182+5</f>
        <v>2050</v>
      </c>
      <c r="W182" s="886"/>
    </row>
    <row r="183" spans="2:23" x14ac:dyDescent="0.3">
      <c r="B183" s="115" t="str">
        <f t="array" ref="B183:B193">TRANSPOSE(D163:N163)</f>
        <v>BAU</v>
      </c>
      <c r="C183" s="1032">
        <v>0</v>
      </c>
      <c r="D183" s="1032">
        <v>0</v>
      </c>
      <c r="E183" s="1032">
        <v>0</v>
      </c>
      <c r="F183" s="1032">
        <v>0</v>
      </c>
      <c r="G183" s="1032">
        <v>0</v>
      </c>
      <c r="H183" s="1032">
        <v>0</v>
      </c>
      <c r="I183" s="1032">
        <v>0</v>
      </c>
      <c r="J183" s="1032">
        <v>0</v>
      </c>
      <c r="W183" s="886"/>
    </row>
    <row r="184" spans="2:23" x14ac:dyDescent="0.3">
      <c r="B184" s="115" t="str">
        <v>Hooned/ Soojus 2</v>
      </c>
      <c r="C184" s="1032">
        <f>C168</f>
        <v>-1.8041152253603051E-3</v>
      </c>
      <c r="D184" s="1032">
        <f t="shared" ref="D184:J184" si="75">D168</f>
        <v>-8.2420325041698145E-4</v>
      </c>
      <c r="E184" s="1032">
        <f t="shared" si="75"/>
        <v>-9.0393289182911878E-4</v>
      </c>
      <c r="F184" s="1032">
        <f t="shared" si="75"/>
        <v>1.8496975650407862E-4</v>
      </c>
      <c r="G184" s="1032">
        <f t="shared" si="75"/>
        <v>5.0404777901428925E-4</v>
      </c>
      <c r="H184" s="1032">
        <f t="shared" si="75"/>
        <v>7.4371329456901427E-4</v>
      </c>
      <c r="I184" s="1032">
        <f t="shared" si="75"/>
        <v>1.0482346811242704E-3</v>
      </c>
      <c r="J184" s="1032">
        <f t="shared" si="75"/>
        <v>1.2036055000805607E-3</v>
      </c>
      <c r="W184" s="886"/>
    </row>
    <row r="185" spans="2:23" x14ac:dyDescent="0.3">
      <c r="B185" s="115" t="str">
        <v>Hooned/ Soojus 3</v>
      </c>
      <c r="C185" s="1032">
        <f t="shared" ref="C185:J185" si="76">C169</f>
        <v>-3.5973673437628491E-3</v>
      </c>
      <c r="D185" s="1032">
        <f t="shared" si="76"/>
        <v>-2.3087408272735432E-3</v>
      </c>
      <c r="E185" s="1032">
        <f t="shared" si="76"/>
        <v>-1.1330955350305615E-3</v>
      </c>
      <c r="F185" s="1032">
        <f t="shared" si="76"/>
        <v>2.700176186520816E-4</v>
      </c>
      <c r="G185" s="1032">
        <f t="shared" si="76"/>
        <v>1.2914141738303167E-3</v>
      </c>
      <c r="H185" s="1032">
        <f t="shared" si="76"/>
        <v>1.7119969449864306E-3</v>
      </c>
      <c r="I185" s="1032">
        <f t="shared" si="76"/>
        <v>1.3884805036997727E-3</v>
      </c>
      <c r="J185" s="1032">
        <f t="shared" si="76"/>
        <v>1.4115512398324933E-3</v>
      </c>
      <c r="W185" s="886"/>
    </row>
    <row r="186" spans="2:23" x14ac:dyDescent="0.3">
      <c r="B186" s="115" t="str">
        <v>Transport 2</v>
      </c>
      <c r="C186" s="1032">
        <f t="shared" ref="C186:J186" si="77">C170</f>
        <v>2.3398311381779837E-4</v>
      </c>
      <c r="D186" s="1032">
        <f t="shared" si="77"/>
        <v>5.0696567837026675E-3</v>
      </c>
      <c r="E186" s="1032">
        <f t="shared" si="77"/>
        <v>7.2930032717441595E-3</v>
      </c>
      <c r="F186" s="1032">
        <f t="shared" si="77"/>
        <v>8.8985130642648212E-3</v>
      </c>
      <c r="G186" s="1032">
        <f t="shared" si="77"/>
        <v>8.1944244522922961E-3</v>
      </c>
      <c r="H186" s="1032">
        <f t="shared" si="77"/>
        <v>7.7063023683146166E-3</v>
      </c>
      <c r="I186" s="1032">
        <f t="shared" si="77"/>
        <v>7.3265906366219401E-3</v>
      </c>
      <c r="J186" s="1032">
        <f t="shared" si="77"/>
        <v>7.1982784250711378E-3</v>
      </c>
      <c r="W186" s="886"/>
    </row>
    <row r="187" spans="2:23" x14ac:dyDescent="0.3">
      <c r="B187" s="115" t="str">
        <v>Transport 3</v>
      </c>
      <c r="C187" s="1032">
        <f t="shared" ref="C187:J187" si="78">C171</f>
        <v>2.4418174453557821E-4</v>
      </c>
      <c r="D187" s="1032">
        <f t="shared" si="78"/>
        <v>8.68849412869558E-3</v>
      </c>
      <c r="E187" s="1032">
        <f t="shared" si="78"/>
        <v>1.4679623391523115E-2</v>
      </c>
      <c r="F187" s="1032">
        <f t="shared" si="78"/>
        <v>1.9370418331567187E-2</v>
      </c>
      <c r="G187" s="1032">
        <f t="shared" si="78"/>
        <v>1.9532888050776326E-2</v>
      </c>
      <c r="H187" s="1032">
        <f t="shared" si="78"/>
        <v>1.9070189682809172E-2</v>
      </c>
      <c r="I187" s="1032">
        <f t="shared" si="78"/>
        <v>1.8290036441539204E-2</v>
      </c>
      <c r="J187" s="1032">
        <f t="shared" si="78"/>
        <v>1.8944361013326669E-2</v>
      </c>
      <c r="W187" s="886"/>
    </row>
    <row r="188" spans="2:23" x14ac:dyDescent="0.3">
      <c r="B188" s="115" t="str">
        <v>Kütused 2</v>
      </c>
      <c r="C188" s="1032">
        <f t="shared" ref="C188:J188" si="79">C172</f>
        <v>-2.7422365652209246E-3</v>
      </c>
      <c r="D188" s="1032">
        <f t="shared" si="79"/>
        <v>-4.1994703187853023E-3</v>
      </c>
      <c r="E188" s="1032">
        <f t="shared" si="79"/>
        <v>-1.8793501944368237E-3</v>
      </c>
      <c r="F188" s="1032">
        <f t="shared" si="79"/>
        <v>-1.9511543192194029E-3</v>
      </c>
      <c r="G188" s="1032">
        <f t="shared" si="79"/>
        <v>-5.9169017220915294E-4</v>
      </c>
      <c r="H188" s="1032">
        <f t="shared" si="79"/>
        <v>-4.7773899426918073E-4</v>
      </c>
      <c r="I188" s="1032">
        <f t="shared" si="79"/>
        <v>-3.7359630529004814E-4</v>
      </c>
      <c r="J188" s="1032">
        <f t="shared" si="79"/>
        <v>-3.1246731300169593E-4</v>
      </c>
      <c r="W188" s="886"/>
    </row>
    <row r="189" spans="2:23" x14ac:dyDescent="0.3">
      <c r="B189" s="115" t="str">
        <v>Kütused 3</v>
      </c>
      <c r="C189" s="1032">
        <f t="shared" ref="C189:J189" si="80">C173</f>
        <v>-5.1217545021482371E-3</v>
      </c>
      <c r="D189" s="1032">
        <f t="shared" si="80"/>
        <v>-3.6785878107232642E-3</v>
      </c>
      <c r="E189" s="1032">
        <f t="shared" si="80"/>
        <v>2.4279268699483627E-4</v>
      </c>
      <c r="F189" s="1032">
        <f t="shared" si="80"/>
        <v>-2.1635988636202414E-3</v>
      </c>
      <c r="G189" s="1032">
        <f t="shared" si="80"/>
        <v>3.8732191965882732E-3</v>
      </c>
      <c r="H189" s="1032">
        <f t="shared" si="80"/>
        <v>4.9239525808030945E-3</v>
      </c>
      <c r="I189" s="1032">
        <f t="shared" si="80"/>
        <v>5.5609317999974527E-3</v>
      </c>
      <c r="J189" s="1032">
        <f t="shared" si="80"/>
        <v>6.6914911521381909E-3</v>
      </c>
      <c r="W189" s="886"/>
    </row>
    <row r="190" spans="2:23" x14ac:dyDescent="0.3">
      <c r="B190" s="115" t="str">
        <v>Elekter 2</v>
      </c>
      <c r="C190" s="1032">
        <f t="shared" ref="C190:J190" si="81">C174</f>
        <v>0</v>
      </c>
      <c r="D190" s="1032">
        <f t="shared" si="81"/>
        <v>2.6082909282157918E-8</v>
      </c>
      <c r="E190" s="1032">
        <f t="shared" si="81"/>
        <v>-1.0289155136814282E-4</v>
      </c>
      <c r="F190" s="1032">
        <f t="shared" si="81"/>
        <v>-1.8500686747660023E-5</v>
      </c>
      <c r="G190" s="1032">
        <f t="shared" si="81"/>
        <v>-1.1929543056763729E-5</v>
      </c>
      <c r="H190" s="1032">
        <f t="shared" si="81"/>
        <v>-2.3289425634196684E-5</v>
      </c>
      <c r="I190" s="1032">
        <f t="shared" si="81"/>
        <v>2.4283184711618882E-4</v>
      </c>
      <c r="J190" s="1032">
        <f t="shared" si="81"/>
        <v>3.5933963243517348E-5</v>
      </c>
      <c r="W190" s="886"/>
    </row>
    <row r="191" spans="2:23" x14ac:dyDescent="0.3">
      <c r="B191" s="115" t="str">
        <v>Elekter 3</v>
      </c>
      <c r="C191" s="1032">
        <f t="shared" ref="C191:J191" si="82">C175</f>
        <v>0</v>
      </c>
      <c r="D191" s="1032">
        <f t="shared" si="82"/>
        <v>7.7018184451585624E-7</v>
      </c>
      <c r="E191" s="1032">
        <f t="shared" si="82"/>
        <v>-7.3011038302176335E-4</v>
      </c>
      <c r="F191" s="1032">
        <f t="shared" si="82"/>
        <v>-2.5585177490557529E-3</v>
      </c>
      <c r="G191" s="1032">
        <f t="shared" si="82"/>
        <v>2.7780571938825576E-3</v>
      </c>
      <c r="H191" s="1032">
        <f t="shared" si="82"/>
        <v>8.1534875389920741E-3</v>
      </c>
      <c r="I191" s="1032">
        <f t="shared" si="82"/>
        <v>2.4537966461941727E-3</v>
      </c>
      <c r="J191" s="1032">
        <f t="shared" si="82"/>
        <v>2.4869031711415137E-3</v>
      </c>
      <c r="W191" s="886"/>
    </row>
    <row r="192" spans="2:23" x14ac:dyDescent="0.3">
      <c r="B192" s="115" t="str">
        <v>Elekter 4</v>
      </c>
      <c r="C192" s="1032">
        <f t="shared" ref="C192:J192" si="83">C176</f>
        <v>0</v>
      </c>
      <c r="D192" s="1032">
        <f t="shared" si="83"/>
        <v>-1.3932306402027717E-3</v>
      </c>
      <c r="E192" s="1032">
        <f t="shared" si="83"/>
        <v>-7.1007185489714087E-4</v>
      </c>
      <c r="F192" s="1032">
        <f t="shared" si="83"/>
        <v>-7.6948723168191163E-4</v>
      </c>
      <c r="G192" s="1032">
        <f t="shared" si="83"/>
        <v>-7.3401185135579361E-4</v>
      </c>
      <c r="H192" s="1032">
        <f t="shared" si="83"/>
        <v>-7.7579283322253261E-4</v>
      </c>
      <c r="I192" s="1032">
        <f t="shared" si="83"/>
        <v>-3.6957880248333458E-4</v>
      </c>
      <c r="J192" s="1032">
        <f t="shared" si="83"/>
        <v>-1.1059899728494049E-3</v>
      </c>
      <c r="W192" s="886"/>
    </row>
    <row r="193" spans="2:24" x14ac:dyDescent="0.3">
      <c r="B193" s="115" t="str">
        <v>Elekter 5</v>
      </c>
      <c r="C193" s="1032">
        <f t="shared" ref="C193:J193" si="84">C177</f>
        <v>0</v>
      </c>
      <c r="D193" s="1032">
        <f t="shared" si="84"/>
        <v>7.0498303662822216E-3</v>
      </c>
      <c r="E193" s="1032">
        <f t="shared" si="84"/>
        <v>1.2454964428982853E-2</v>
      </c>
      <c r="F193" s="1032">
        <f t="shared" si="84"/>
        <v>1.0939829383412897E-2</v>
      </c>
      <c r="G193" s="1032">
        <f t="shared" si="84"/>
        <v>1.1420549908027974E-2</v>
      </c>
      <c r="H193" s="1032">
        <f t="shared" si="84"/>
        <v>6.3267614995444199E-3</v>
      </c>
      <c r="I193" s="1032">
        <f t="shared" si="84"/>
        <v>7.3077864559765379E-3</v>
      </c>
      <c r="J193" s="1032">
        <f t="shared" si="84"/>
        <v>3.8018116990116467E-3</v>
      </c>
      <c r="W193" s="886"/>
    </row>
    <row r="194" spans="2:24" x14ac:dyDescent="0.3">
      <c r="B194" s="1032" t="str">
        <f t="shared" ref="B194:J194" ca="1" si="85">OFFSET(B182,$B$180,0)</f>
        <v>BAU</v>
      </c>
      <c r="C194" s="1032">
        <f t="shared" ca="1" si="85"/>
        <v>0</v>
      </c>
      <c r="D194" s="1032">
        <f t="shared" ca="1" si="85"/>
        <v>0</v>
      </c>
      <c r="E194" s="1032">
        <f t="shared" ca="1" si="85"/>
        <v>0</v>
      </c>
      <c r="F194" s="1032">
        <f t="shared" ca="1" si="85"/>
        <v>0</v>
      </c>
      <c r="G194" s="1032">
        <f t="shared" ca="1" si="85"/>
        <v>0</v>
      </c>
      <c r="H194" s="1032">
        <f t="shared" ca="1" si="85"/>
        <v>0</v>
      </c>
      <c r="I194" s="1032">
        <f t="shared" ca="1" si="85"/>
        <v>0</v>
      </c>
      <c r="J194" s="1032">
        <f t="shared" ca="1" si="85"/>
        <v>0</v>
      </c>
      <c r="W194" s="886"/>
    </row>
    <row r="197" spans="2:24" x14ac:dyDescent="0.3">
      <c r="B197" s="899" t="s">
        <v>804</v>
      </c>
      <c r="K197" s="899" t="s">
        <v>805</v>
      </c>
    </row>
    <row r="198" spans="2:24" x14ac:dyDescent="0.3">
      <c r="B198" s="105">
        <v>7</v>
      </c>
      <c r="K198" s="967">
        <v>1</v>
      </c>
    </row>
    <row r="199" spans="2:24" x14ac:dyDescent="0.3">
      <c r="B199" s="105" t="str">
        <f>INDEX(C92:C120,$B$198)</f>
        <v>MEUR</v>
      </c>
      <c r="C199" s="318">
        <v>2015</v>
      </c>
      <c r="D199" s="318">
        <f t="shared" ref="D199" si="86">C199+5</f>
        <v>2020</v>
      </c>
      <c r="E199" s="318">
        <f t="shared" ref="E199" si="87">D199+5</f>
        <v>2025</v>
      </c>
      <c r="F199" s="318">
        <f t="shared" ref="F199" si="88">E199+5</f>
        <v>2030</v>
      </c>
      <c r="G199" s="318">
        <f t="shared" ref="G199" si="89">F199+5</f>
        <v>2035</v>
      </c>
      <c r="H199" s="318">
        <f t="shared" ref="H199" si="90">G199+5</f>
        <v>2040</v>
      </c>
      <c r="I199" s="318">
        <f t="shared" ref="I199" si="91">H199+5</f>
        <v>2045</v>
      </c>
      <c r="J199" s="318">
        <f t="shared" ref="J199" si="92">I199+5</f>
        <v>2050</v>
      </c>
      <c r="W199" s="886"/>
      <c r="X199" s="886"/>
    </row>
    <row r="200" spans="2:24" ht="14.4" x14ac:dyDescent="0.3">
      <c r="B200" s="781" t="str">
        <f>INDEX(B92:B120,$B$198)</f>
        <v>Soojavarustus</v>
      </c>
      <c r="C200" s="967">
        <f t="shared" ref="C200:J200" si="93">INDEX(E92:E120,$B$198)</f>
        <v>2.4750000000000001</v>
      </c>
      <c r="D200" s="967">
        <f t="shared" si="93"/>
        <v>19.533332876712329</v>
      </c>
      <c r="E200" s="967">
        <f t="shared" si="93"/>
        <v>23.245832876712331</v>
      </c>
      <c r="F200" s="967">
        <f t="shared" si="93"/>
        <v>36.538332328767126</v>
      </c>
      <c r="G200" s="967">
        <f t="shared" si="93"/>
        <v>39.590832328767121</v>
      </c>
      <c r="H200" s="967">
        <f t="shared" si="93"/>
        <v>41.570832328767132</v>
      </c>
      <c r="I200" s="967">
        <f t="shared" si="93"/>
        <v>43.715832328767121</v>
      </c>
      <c r="J200" s="967">
        <f t="shared" si="93"/>
        <v>45.431832328767129</v>
      </c>
      <c r="O200" s="929" t="str">
        <f>"Joonis: "&amp;B200&amp;", "&amp;B199</f>
        <v>Joonis: Soojavarustus, MEUR</v>
      </c>
      <c r="P200" s="904"/>
      <c r="Q200" s="904"/>
      <c r="R200" s="904"/>
      <c r="S200" s="904"/>
      <c r="T200" s="902"/>
      <c r="U200" s="902"/>
      <c r="V200" s="902"/>
      <c r="W200" s="903"/>
      <c r="X200" s="886"/>
    </row>
    <row r="201" spans="2:24" ht="14.4" x14ac:dyDescent="0.3">
      <c r="B201" s="689">
        <v>2</v>
      </c>
      <c r="C201" s="967">
        <f t="dataTable" ref="C201:J216" dt2D="0" dtr="0" r1="B126" ca="1"/>
        <v>-4.4289941176470601E-2</v>
      </c>
      <c r="D201" s="967">
        <v>-0.28627707097435007</v>
      </c>
      <c r="E201" s="967">
        <v>-0.5654031336058214</v>
      </c>
      <c r="F201" s="967">
        <v>-0.88706906851637157</v>
      </c>
      <c r="G201" s="967">
        <v>-0.67871862696932173</v>
      </c>
      <c r="H201" s="967">
        <v>-0.56121962286648053</v>
      </c>
      <c r="I201" s="967">
        <v>-0.42150516945725069</v>
      </c>
      <c r="J201" s="967">
        <v>-0.25684326907997068</v>
      </c>
      <c r="K201" s="106" t="str">
        <f t="array" ref="K201:K216">TRANSPOSE(E163:T163)</f>
        <v>Hooned/ Soojus 2</v>
      </c>
      <c r="O201" s="930" t="str">
        <f ca="1">"Punasega "&amp;K217</f>
        <v>Punasega 0</v>
      </c>
      <c r="P201" s="904"/>
      <c r="Q201" s="904"/>
      <c r="R201" s="904"/>
      <c r="S201" s="904"/>
      <c r="T201" s="902"/>
      <c r="U201" s="902"/>
      <c r="V201" s="902"/>
      <c r="W201" s="903"/>
      <c r="X201" s="886"/>
    </row>
    <row r="202" spans="2:24" x14ac:dyDescent="0.3">
      <c r="B202" s="689">
        <v>3</v>
      </c>
      <c r="C202" s="967">
        <v>-0.1234414117647059</v>
      </c>
      <c r="D202" s="967">
        <v>-0.79788874986613267</v>
      </c>
      <c r="E202" s="967">
        <v>-1.5758467763684902</v>
      </c>
      <c r="F202" s="967">
        <v>-2.4665240098522077</v>
      </c>
      <c r="G202" s="967">
        <v>-1.7072971160089607</v>
      </c>
      <c r="H202" s="967">
        <v>-1.3180245083033775</v>
      </c>
      <c r="I202" s="967">
        <v>-0.85838543546949708</v>
      </c>
      <c r="J202" s="967">
        <v>-0.31982854732745736</v>
      </c>
      <c r="K202" s="106" t="str">
        <v>Hooned/ Soojus 3</v>
      </c>
      <c r="W202" s="886"/>
      <c r="X202" s="886"/>
    </row>
    <row r="203" spans="2:24" x14ac:dyDescent="0.3">
      <c r="B203" s="689">
        <v>4</v>
      </c>
      <c r="C203" s="967">
        <v>0</v>
      </c>
      <c r="D203" s="967">
        <v>0</v>
      </c>
      <c r="E203" s="967">
        <v>0</v>
      </c>
      <c r="F203" s="967">
        <v>0</v>
      </c>
      <c r="G203" s="967">
        <v>0</v>
      </c>
      <c r="H203" s="967">
        <v>0</v>
      </c>
      <c r="I203" s="967">
        <v>0</v>
      </c>
      <c r="J203" s="967">
        <v>0</v>
      </c>
      <c r="K203" s="106" t="str">
        <v>Transport 2</v>
      </c>
      <c r="W203" s="886"/>
      <c r="X203" s="886"/>
    </row>
    <row r="204" spans="2:24" x14ac:dyDescent="0.3">
      <c r="B204" s="689">
        <v>5</v>
      </c>
      <c r="C204" s="967">
        <v>0</v>
      </c>
      <c r="D204" s="967">
        <v>0</v>
      </c>
      <c r="E204" s="967">
        <v>0</v>
      </c>
      <c r="F204" s="967">
        <v>0</v>
      </c>
      <c r="G204" s="967">
        <v>0</v>
      </c>
      <c r="H204" s="967">
        <v>0</v>
      </c>
      <c r="I204" s="967">
        <v>0</v>
      </c>
      <c r="J204" s="967">
        <v>0</v>
      </c>
      <c r="K204" s="106" t="str">
        <v>Transport 3</v>
      </c>
      <c r="W204" s="886"/>
      <c r="X204" s="886"/>
    </row>
    <row r="205" spans="2:24" x14ac:dyDescent="0.3">
      <c r="B205" s="689">
        <v>6</v>
      </c>
      <c r="C205" s="967">
        <v>1.4534002419913505</v>
      </c>
      <c r="D205" s="967">
        <v>9.652633360695031</v>
      </c>
      <c r="E205" s="967">
        <v>13.938279623804114</v>
      </c>
      <c r="F205" s="967">
        <v>18.223925886913197</v>
      </c>
      <c r="G205" s="967">
        <v>18.504686603770711</v>
      </c>
      <c r="H205" s="967">
        <v>18.785447320628222</v>
      </c>
      <c r="I205" s="967">
        <v>18.925827679056979</v>
      </c>
      <c r="J205" s="967">
        <v>19.346968754343244</v>
      </c>
      <c r="K205" s="106" t="str">
        <v>Kütused 2</v>
      </c>
      <c r="W205" s="886"/>
      <c r="X205" s="886"/>
    </row>
    <row r="206" spans="2:24" x14ac:dyDescent="0.3">
      <c r="B206" s="689">
        <v>7</v>
      </c>
      <c r="C206" s="967">
        <v>2.4750000000000001</v>
      </c>
      <c r="D206" s="967">
        <v>19.533332876712329</v>
      </c>
      <c r="E206" s="967">
        <v>23.245832876712331</v>
      </c>
      <c r="F206" s="967">
        <v>36.538332328767126</v>
      </c>
      <c r="G206" s="967">
        <v>39.590832328767121</v>
      </c>
      <c r="H206" s="967">
        <v>41.570832328767132</v>
      </c>
      <c r="I206" s="967">
        <v>43.715832328767121</v>
      </c>
      <c r="J206" s="967">
        <v>45.431832328767129</v>
      </c>
      <c r="K206" s="106" t="str">
        <v>Kütused 3</v>
      </c>
      <c r="W206" s="886"/>
      <c r="X206" s="886"/>
    </row>
    <row r="207" spans="2:24" x14ac:dyDescent="0.3">
      <c r="B207" s="689">
        <v>8</v>
      </c>
      <c r="C207" s="967">
        <v>0</v>
      </c>
      <c r="D207" s="967">
        <v>0</v>
      </c>
      <c r="E207" s="967">
        <v>0</v>
      </c>
      <c r="F207" s="967">
        <v>0</v>
      </c>
      <c r="G207" s="967">
        <v>0</v>
      </c>
      <c r="H207" s="967">
        <v>0</v>
      </c>
      <c r="I207" s="967">
        <v>0</v>
      </c>
      <c r="J207" s="967">
        <v>0</v>
      </c>
      <c r="K207" s="106" t="str">
        <v>Elekter 2</v>
      </c>
      <c r="Q207" s="886"/>
      <c r="R207" s="896"/>
      <c r="S207" s="886"/>
      <c r="T207" s="886"/>
      <c r="U207" s="886"/>
      <c r="V207" s="886"/>
      <c r="W207" s="886"/>
      <c r="X207" s="886"/>
    </row>
    <row r="208" spans="2:24" x14ac:dyDescent="0.3">
      <c r="B208" s="689">
        <v>9</v>
      </c>
      <c r="C208" s="967">
        <v>0</v>
      </c>
      <c r="D208" s="967">
        <v>0</v>
      </c>
      <c r="E208" s="967">
        <v>0</v>
      </c>
      <c r="F208" s="967">
        <v>0</v>
      </c>
      <c r="G208" s="967">
        <v>0</v>
      </c>
      <c r="H208" s="967">
        <v>0</v>
      </c>
      <c r="I208" s="967">
        <v>0</v>
      </c>
      <c r="J208" s="967">
        <v>0</v>
      </c>
      <c r="K208" s="106" t="str">
        <v>Elekter 3</v>
      </c>
      <c r="R208" s="118"/>
    </row>
    <row r="209" spans="2:24" x14ac:dyDescent="0.3">
      <c r="B209" s="689">
        <v>10</v>
      </c>
      <c r="C209" s="967">
        <v>0</v>
      </c>
      <c r="D209" s="967">
        <v>0</v>
      </c>
      <c r="E209" s="967">
        <v>0</v>
      </c>
      <c r="F209" s="967">
        <v>0</v>
      </c>
      <c r="G209" s="967">
        <v>0</v>
      </c>
      <c r="H209" s="967">
        <v>0</v>
      </c>
      <c r="I209" s="967">
        <v>0</v>
      </c>
      <c r="J209" s="967">
        <v>0</v>
      </c>
      <c r="K209" s="106" t="str">
        <v>Elekter 4</v>
      </c>
      <c r="R209" s="118"/>
    </row>
    <row r="210" spans="2:24" x14ac:dyDescent="0.3">
      <c r="B210" s="689">
        <v>11</v>
      </c>
      <c r="C210" s="967">
        <v>0</v>
      </c>
      <c r="D210" s="967">
        <v>0</v>
      </c>
      <c r="E210" s="967">
        <v>0</v>
      </c>
      <c r="F210" s="967">
        <v>0</v>
      </c>
      <c r="G210" s="967">
        <v>0</v>
      </c>
      <c r="H210" s="967">
        <v>0</v>
      </c>
      <c r="I210" s="967">
        <v>0</v>
      </c>
      <c r="J210" s="967">
        <v>0</v>
      </c>
      <c r="K210" s="106" t="str">
        <v>Elekter 5</v>
      </c>
      <c r="R210" s="118"/>
    </row>
    <row r="211" spans="2:24" x14ac:dyDescent="0.3">
      <c r="B211" s="689">
        <v>12</v>
      </c>
      <c r="C211" s="967">
        <v>0</v>
      </c>
      <c r="D211" s="967">
        <v>0</v>
      </c>
      <c r="E211" s="967">
        <v>0</v>
      </c>
      <c r="F211" s="967">
        <v>0</v>
      </c>
      <c r="G211" s="967">
        <v>0</v>
      </c>
      <c r="H211" s="967">
        <v>0</v>
      </c>
      <c r="I211" s="967">
        <v>0</v>
      </c>
      <c r="J211" s="967">
        <v>0</v>
      </c>
      <c r="K211" s="106" t="str">
        <v>Võrgud2</v>
      </c>
      <c r="R211" s="118"/>
    </row>
    <row r="212" spans="2:24" x14ac:dyDescent="0.3">
      <c r="B212" s="689">
        <v>13</v>
      </c>
      <c r="C212" s="967">
        <v>0</v>
      </c>
      <c r="D212" s="967">
        <v>0</v>
      </c>
      <c r="E212" s="967">
        <v>0</v>
      </c>
      <c r="F212" s="967">
        <v>0</v>
      </c>
      <c r="G212" s="967">
        <v>0</v>
      </c>
      <c r="H212" s="967">
        <v>0</v>
      </c>
      <c r="I212" s="967">
        <v>0</v>
      </c>
      <c r="J212" s="967">
        <v>0</v>
      </c>
      <c r="K212" s="106" t="str">
        <v>Võrgud 3</v>
      </c>
      <c r="R212" s="118"/>
    </row>
    <row r="213" spans="2:24" x14ac:dyDescent="0.3">
      <c r="B213" s="689">
        <v>14</v>
      </c>
      <c r="C213" s="967">
        <v>0</v>
      </c>
      <c r="D213" s="967">
        <v>0</v>
      </c>
      <c r="E213" s="967">
        <v>0</v>
      </c>
      <c r="F213" s="967">
        <v>0</v>
      </c>
      <c r="G213" s="967">
        <v>0</v>
      </c>
      <c r="H213" s="967">
        <v>0</v>
      </c>
      <c r="I213" s="967">
        <v>0</v>
      </c>
      <c r="J213" s="967">
        <v>0</v>
      </c>
      <c r="K213" s="106" t="str">
        <v>Põlevkivi 2</v>
      </c>
    </row>
    <row r="214" spans="2:24" x14ac:dyDescent="0.3">
      <c r="B214" s="689">
        <v>15</v>
      </c>
      <c r="C214" s="967">
        <v>0</v>
      </c>
      <c r="D214" s="967">
        <v>0</v>
      </c>
      <c r="E214" s="967">
        <v>0</v>
      </c>
      <c r="F214" s="967">
        <v>0</v>
      </c>
      <c r="G214" s="967">
        <v>0</v>
      </c>
      <c r="H214" s="967">
        <v>0</v>
      </c>
      <c r="I214" s="967">
        <v>0</v>
      </c>
      <c r="J214" s="967">
        <v>0</v>
      </c>
      <c r="K214" s="106" t="str">
        <v>Põlevkivi 3</v>
      </c>
    </row>
    <row r="215" spans="2:24" x14ac:dyDescent="0.3">
      <c r="B215" s="689">
        <v>16</v>
      </c>
      <c r="C215" s="967">
        <v>2.3515585882352941</v>
      </c>
      <c r="D215" s="967">
        <v>18.735444126846197</v>
      </c>
      <c r="E215" s="967">
        <v>21.669986100343841</v>
      </c>
      <c r="F215" s="967">
        <v>34.071808318914918</v>
      </c>
      <c r="G215" s="967">
        <v>37.883535212758161</v>
      </c>
      <c r="H215" s="967">
        <v>40.252807820463758</v>
      </c>
      <c r="I215" s="967">
        <v>42.85744689329762</v>
      </c>
      <c r="J215" s="967">
        <v>45.112003781439668</v>
      </c>
      <c r="K215" s="106" t="str">
        <v xml:space="preserve">Sts.16 </v>
      </c>
    </row>
    <row r="216" spans="2:24" x14ac:dyDescent="0.3">
      <c r="B216" s="689">
        <v>17</v>
      </c>
      <c r="C216" s="967">
        <v>0</v>
      </c>
      <c r="D216" s="967">
        <v>0</v>
      </c>
      <c r="E216" s="967">
        <v>0</v>
      </c>
      <c r="F216" s="967">
        <v>0</v>
      </c>
      <c r="G216" s="967">
        <v>0</v>
      </c>
      <c r="H216" s="967">
        <v>0</v>
      </c>
      <c r="I216" s="967">
        <v>0</v>
      </c>
      <c r="J216" s="967">
        <v>0</v>
      </c>
      <c r="K216" s="106" t="str">
        <v>Sts.17 Hooned 3</v>
      </c>
    </row>
    <row r="217" spans="2:24" x14ac:dyDescent="0.3">
      <c r="B217" s="689" t="str">
        <f ca="1">OFFSET(B199,$K$198,0)</f>
        <v>Soojavarustus</v>
      </c>
      <c r="C217" s="967">
        <f ca="1">OFFSET(C199,$K$198,0)</f>
        <v>2.4750000000000001</v>
      </c>
      <c r="D217" s="967">
        <f t="shared" ref="D217:K217" ca="1" si="94">OFFSET(D199,$K$198,0)</f>
        <v>19.533332876712329</v>
      </c>
      <c r="E217" s="967">
        <f t="shared" ca="1" si="94"/>
        <v>23.245832876712331</v>
      </c>
      <c r="F217" s="967">
        <f t="shared" ca="1" si="94"/>
        <v>36.538332328767126</v>
      </c>
      <c r="G217" s="967">
        <f t="shared" ca="1" si="94"/>
        <v>39.590832328767121</v>
      </c>
      <c r="H217" s="967">
        <f t="shared" ca="1" si="94"/>
        <v>41.570832328767132</v>
      </c>
      <c r="I217" s="967">
        <f t="shared" ca="1" si="94"/>
        <v>43.715832328767121</v>
      </c>
      <c r="J217" s="967">
        <f t="shared" ca="1" si="94"/>
        <v>45.431832328767129</v>
      </c>
      <c r="K217" s="967">
        <f t="shared" ca="1" si="94"/>
        <v>0</v>
      </c>
      <c r="X217" s="886"/>
    </row>
    <row r="220" spans="2:24" x14ac:dyDescent="0.3">
      <c r="N220" s="198" t="s">
        <v>785</v>
      </c>
      <c r="W220" s="198" t="s">
        <v>786</v>
      </c>
    </row>
    <row r="221" spans="2:24" x14ac:dyDescent="0.3">
      <c r="B221" s="895" t="s">
        <v>765</v>
      </c>
    </row>
    <row r="222" spans="2:24" x14ac:dyDescent="0.3">
      <c r="B222" s="317" t="s">
        <v>529</v>
      </c>
      <c r="C222" s="317"/>
      <c r="D222" s="106">
        <v>2</v>
      </c>
      <c r="E222" s="106">
        <v>3</v>
      </c>
      <c r="F222" s="106">
        <v>4</v>
      </c>
      <c r="G222" s="106">
        <v>5</v>
      </c>
      <c r="H222" s="106">
        <v>6</v>
      </c>
      <c r="I222" s="106">
        <v>7</v>
      </c>
      <c r="J222" s="106">
        <v>8</v>
      </c>
      <c r="K222" s="106">
        <v>9</v>
      </c>
      <c r="L222" s="106">
        <v>10</v>
      </c>
      <c r="M222" s="106">
        <v>11</v>
      </c>
      <c r="N222" s="106">
        <v>12</v>
      </c>
      <c r="O222" s="106">
        <v>13</v>
      </c>
      <c r="P222" s="106">
        <v>14</v>
      </c>
      <c r="Q222" s="106">
        <v>15</v>
      </c>
    </row>
    <row r="223" spans="2:24" x14ac:dyDescent="0.3">
      <c r="B223" s="968" t="s">
        <v>722</v>
      </c>
      <c r="C223" s="1024">
        <f>C21</f>
        <v>1.0933448464668847E-2</v>
      </c>
      <c r="D223" s="1025">
        <f t="dataTable" ref="D223:Q226" dt2D="0" dtr="1" r1="B126" ca="1"/>
        <v>2.6107586614104389E-3</v>
      </c>
      <c r="E223" s="1025">
        <v>2.9773025447546813E-3</v>
      </c>
      <c r="F223" s="1025">
        <v>3.1146592327198908E-3</v>
      </c>
      <c r="G223" s="1025">
        <v>7.4006219706018745E-3</v>
      </c>
      <c r="H223" s="1025">
        <v>6.2823930864223266E-3</v>
      </c>
      <c r="I223" s="1025">
        <v>1.0933448464668847E-2</v>
      </c>
      <c r="J223" s="1025">
        <v>1.9179634696657231E-5</v>
      </c>
      <c r="K223" s="1025">
        <v>3.6495069909285799E-3</v>
      </c>
      <c r="L223" s="1025">
        <v>1.1859705342121053E-3</v>
      </c>
      <c r="M223" s="1025">
        <v>1.6170650792182481E-2</v>
      </c>
      <c r="N223" s="1025">
        <v>1.6770856403807116E-3</v>
      </c>
      <c r="O223" s="1025">
        <v>3.7627918351755933E-3</v>
      </c>
      <c r="P223" s="1025">
        <v>-1.2003894658898701E-2</v>
      </c>
      <c r="Q223" s="1025">
        <v>6.3005461733413809E-3</v>
      </c>
    </row>
    <row r="224" spans="2:24" x14ac:dyDescent="0.3">
      <c r="B224" s="968" t="s">
        <v>496</v>
      </c>
      <c r="C224" s="1024">
        <f>C22</f>
        <v>-2.680287122374227E-3</v>
      </c>
      <c r="D224" s="1025">
        <v>-8.3682040277558171E-4</v>
      </c>
      <c r="E224" s="1025">
        <v>-1.6922965218537178E-3</v>
      </c>
      <c r="F224" s="1025">
        <v>5.3737890583823618E-3</v>
      </c>
      <c r="G224" s="1025">
        <v>1.0745679399080365E-2</v>
      </c>
      <c r="H224" s="1025">
        <v>-2.6930528494156134E-3</v>
      </c>
      <c r="I224" s="1025">
        <v>-2.680287122374227E-3</v>
      </c>
      <c r="J224" s="1025">
        <v>-3.034153880163017E-5</v>
      </c>
      <c r="K224" s="1025">
        <v>-8.2196448755825007E-4</v>
      </c>
      <c r="L224" s="1025">
        <v>-7.1819743169545603E-4</v>
      </c>
      <c r="M224" s="1025">
        <v>7.6111560446694929E-3</v>
      </c>
      <c r="N224" s="1025">
        <v>-2.4452661868141689E-3</v>
      </c>
      <c r="O224" s="1025">
        <v>-5.5508545942094967E-3</v>
      </c>
      <c r="P224" s="1025">
        <v>-2.8826605518066824E-3</v>
      </c>
      <c r="Q224" s="1025">
        <v>9.6270236772469429E-4</v>
      </c>
    </row>
    <row r="225" spans="2:17" x14ac:dyDescent="0.3">
      <c r="B225" s="969" t="s">
        <v>784</v>
      </c>
      <c r="C225" s="1024">
        <f>C23</f>
        <v>7.2187499920416832E-3</v>
      </c>
      <c r="D225" s="1025">
        <v>3.3685908932721423E-3</v>
      </c>
      <c r="E225" s="1025">
        <v>6.2456943355882859E-3</v>
      </c>
      <c r="F225" s="1025">
        <v>1.3604848753858059E-3</v>
      </c>
      <c r="G225" s="1025">
        <v>3.3644796386416032E-3</v>
      </c>
      <c r="H225" s="1025">
        <v>3.8248865438768281E-3</v>
      </c>
      <c r="I225" s="1025">
        <v>7.2187499920416832E-3</v>
      </c>
      <c r="J225" s="1025">
        <v>1.5992294660164455E-5</v>
      </c>
      <c r="K225" s="1025">
        <v>2.0230003105967862E-3</v>
      </c>
      <c r="L225" s="1025">
        <v>1.4751352411081222E-3</v>
      </c>
      <c r="M225" s="1025">
        <v>6.9981466134073399E-3</v>
      </c>
      <c r="N225" s="1025">
        <v>1.6149395238003617E-3</v>
      </c>
      <c r="O225" s="1025">
        <v>3.6360963794824699E-3</v>
      </c>
      <c r="P225" s="1025">
        <v>-6.3401547076100025E-3</v>
      </c>
      <c r="Q225" s="1025">
        <v>3.6450913016797138E-3</v>
      </c>
    </row>
    <row r="226" spans="2:17" ht="14.4" thickBot="1" x14ac:dyDescent="0.35">
      <c r="B226" s="970" t="s">
        <v>659</v>
      </c>
      <c r="C226" s="1024">
        <f>C24</f>
        <v>3.8236596974045578E-3</v>
      </c>
      <c r="D226" s="1025">
        <v>-7.4724973650786009E-4</v>
      </c>
      <c r="E226" s="1025">
        <v>-3.2367936608518888E-3</v>
      </c>
      <c r="F226" s="1025">
        <v>1.7652371272793566E-3</v>
      </c>
      <c r="G226" s="1025">
        <v>4.0946651833518866E-3</v>
      </c>
      <c r="H226" s="1025">
        <v>2.4928698613578271E-3</v>
      </c>
      <c r="I226" s="1025">
        <v>3.8236596974045578E-3</v>
      </c>
      <c r="J226" s="1025">
        <v>3.1884073600219054E-6</v>
      </c>
      <c r="K226" s="1025">
        <v>1.6538819265236038E-3</v>
      </c>
      <c r="L226" s="1025">
        <v>-2.8586282326564794E-4</v>
      </c>
      <c r="M226" s="1025">
        <v>9.4527911091342731E-3</v>
      </c>
      <c r="N226" s="1025">
        <v>6.5298233985211507E-5</v>
      </c>
      <c r="O226" s="1025">
        <v>1.425781224138889E-4</v>
      </c>
      <c r="P226" s="1025">
        <v>-5.47417801719563E-3</v>
      </c>
      <c r="Q226" s="1025">
        <v>2.7778456499127357E-3</v>
      </c>
    </row>
    <row r="227" spans="2:17" ht="28.2" thickTop="1" x14ac:dyDescent="0.3">
      <c r="B227" s="974" t="s">
        <v>693</v>
      </c>
      <c r="C227" s="975">
        <f>E25</f>
        <v>0.66030913212739806</v>
      </c>
      <c r="D227" s="741" t="str">
        <f t="shared" ref="D227:Q227" si="95">E163</f>
        <v>Hooned/ Soojus 2</v>
      </c>
      <c r="E227" s="741" t="str">
        <f t="shared" si="95"/>
        <v>Hooned/ Soojus 3</v>
      </c>
      <c r="F227" s="741" t="str">
        <f t="shared" si="95"/>
        <v>Transport 2</v>
      </c>
      <c r="G227" s="741" t="str">
        <f t="shared" si="95"/>
        <v>Transport 3</v>
      </c>
      <c r="H227" s="741" t="str">
        <f t="shared" si="95"/>
        <v>Kütused 2</v>
      </c>
      <c r="I227" s="741" t="str">
        <f t="shared" si="95"/>
        <v>Kütused 3</v>
      </c>
      <c r="J227" s="741" t="str">
        <f t="shared" si="95"/>
        <v>Elekter 2</v>
      </c>
      <c r="K227" s="741" t="str">
        <f t="shared" si="95"/>
        <v>Elekter 3</v>
      </c>
      <c r="L227" s="741" t="str">
        <f t="shared" si="95"/>
        <v>Elekter 4</v>
      </c>
      <c r="M227" s="741" t="str">
        <f t="shared" si="95"/>
        <v>Elekter 5</v>
      </c>
      <c r="N227" s="741" t="str">
        <f t="shared" si="95"/>
        <v>Võrgud2</v>
      </c>
      <c r="O227" s="741" t="str">
        <f t="shared" si="95"/>
        <v>Võrgud 3</v>
      </c>
      <c r="P227" s="741" t="str">
        <f t="shared" si="95"/>
        <v>Põlevkivi 2</v>
      </c>
      <c r="Q227" s="741" t="str">
        <f t="shared" si="95"/>
        <v>Põlevkivi 3</v>
      </c>
    </row>
    <row r="228" spans="2:17" x14ac:dyDescent="0.3">
      <c r="B228" s="435" t="s">
        <v>794</v>
      </c>
    </row>
    <row r="229" spans="2:17" x14ac:dyDescent="0.3">
      <c r="B229" s="317" t="s">
        <v>529</v>
      </c>
      <c r="C229" s="317"/>
      <c r="D229" s="106">
        <v>2</v>
      </c>
      <c r="E229" s="106">
        <v>3</v>
      </c>
      <c r="F229" s="106">
        <v>4</v>
      </c>
      <c r="G229" s="106">
        <v>5</v>
      </c>
      <c r="H229" s="106">
        <v>6</v>
      </c>
      <c r="I229" s="106">
        <v>7</v>
      </c>
      <c r="J229" s="106">
        <v>8</v>
      </c>
      <c r="K229" s="106">
        <v>9</v>
      </c>
      <c r="L229" s="106">
        <v>10</v>
      </c>
      <c r="M229" s="106">
        <v>11</v>
      </c>
      <c r="N229" s="106">
        <v>12</v>
      </c>
      <c r="O229" s="106">
        <v>13</v>
      </c>
      <c r="P229" s="106">
        <v>14</v>
      </c>
      <c r="Q229" s="106">
        <v>15</v>
      </c>
    </row>
    <row r="230" spans="2:17" x14ac:dyDescent="0.3">
      <c r="B230" s="968" t="s">
        <v>650</v>
      </c>
      <c r="C230" s="1024">
        <f>C29</f>
        <v>8.2132861417106191E-3</v>
      </c>
      <c r="D230" s="978">
        <f t="dataTable" ref="D230:Q232" dt2D="0" dtr="1" r1="B126" ca="1"/>
        <v>-1.2777109408432869E-2</v>
      </c>
      <c r="E230" s="978">
        <v>-2.1502997372604693E-2</v>
      </c>
      <c r="F230" s="978">
        <v>-1.5799259147920276E-2</v>
      </c>
      <c r="G230" s="978">
        <v>-3.1286753025420624E-2</v>
      </c>
      <c r="H230" s="978">
        <v>4.2337990112647217E-3</v>
      </c>
      <c r="I230" s="978">
        <v>8.2132861417106191E-3</v>
      </c>
      <c r="J230" s="978">
        <v>1.8443730338350021E-5</v>
      </c>
      <c r="K230" s="978">
        <v>3.5150727338995226E-5</v>
      </c>
      <c r="L230" s="978">
        <v>-2.0444720242954191E-2</v>
      </c>
      <c r="M230" s="978">
        <v>9.81009517832457E-3</v>
      </c>
      <c r="N230" s="978">
        <v>0</v>
      </c>
      <c r="O230" s="978">
        <v>0</v>
      </c>
      <c r="P230" s="978">
        <v>-6.3070271055567548E-2</v>
      </c>
      <c r="Q230" s="978">
        <v>3.1177962897030322E-2</v>
      </c>
    </row>
    <row r="231" spans="2:17" x14ac:dyDescent="0.3">
      <c r="B231" s="971" t="s">
        <v>843</v>
      </c>
      <c r="C231" s="1024">
        <f>C30</f>
        <v>2.5927721359240083E-3</v>
      </c>
      <c r="D231" s="978">
        <v>-1.0954640059978458E-2</v>
      </c>
      <c r="E231" s="978">
        <v>-1.8627306350600378E-2</v>
      </c>
      <c r="F231" s="978">
        <v>-2.0789962137892092E-2</v>
      </c>
      <c r="G231" s="978">
        <v>-4.0800981783396348E-2</v>
      </c>
      <c r="H231" s="978">
        <v>1.3336122196355611E-3</v>
      </c>
      <c r="I231" s="978">
        <v>2.5927721359240083E-3</v>
      </c>
      <c r="J231" s="978">
        <v>2.0794216062047449E-5</v>
      </c>
      <c r="K231" s="978">
        <v>-3.1158306941380526E-4</v>
      </c>
      <c r="L231" s="978">
        <v>-0.14018616807588472</v>
      </c>
      <c r="M231" s="978">
        <v>8.820364857878267E-2</v>
      </c>
      <c r="N231" s="978">
        <v>0</v>
      </c>
      <c r="O231" s="978">
        <v>0</v>
      </c>
      <c r="P231" s="978">
        <v>-7.5406557743025168E-2</v>
      </c>
      <c r="Q231" s="978">
        <v>3.7232886105357813E-2</v>
      </c>
    </row>
    <row r="232" spans="2:17" ht="14.4" thickBot="1" x14ac:dyDescent="0.35">
      <c r="B232" s="970" t="s">
        <v>909</v>
      </c>
      <c r="C232" s="1024">
        <f>C31</f>
        <v>1.6810687730376115E-2</v>
      </c>
      <c r="D232" s="978">
        <v>-1.9660109219789904E-2</v>
      </c>
      <c r="E232" s="978">
        <v>-3.3485528188185704E-2</v>
      </c>
      <c r="F232" s="978">
        <v>-2.4056044240144722E-2</v>
      </c>
      <c r="G232" s="978">
        <v>-4.9878868907418432E-2</v>
      </c>
      <c r="H232" s="978">
        <v>1.0450490921113309E-2</v>
      </c>
      <c r="I232" s="978">
        <v>1.6810687730376115E-2</v>
      </c>
      <c r="J232" s="978">
        <v>3.8243928270863374E-5</v>
      </c>
      <c r="K232" s="978">
        <v>3.1057256013390471E-4</v>
      </c>
      <c r="L232" s="978">
        <v>-4.8984251623603543E-2</v>
      </c>
      <c r="M232" s="978">
        <v>9.4910950897915763E-2</v>
      </c>
      <c r="N232" s="978">
        <v>0</v>
      </c>
      <c r="O232" s="978">
        <v>0</v>
      </c>
      <c r="P232" s="978">
        <v>-1.4780232197966221E-2</v>
      </c>
      <c r="Q232" s="978">
        <v>7.6410829562973213E-3</v>
      </c>
    </row>
    <row r="233" spans="2:17" ht="14.4" thickTop="1" x14ac:dyDescent="0.3">
      <c r="B233" s="722" t="s">
        <v>693</v>
      </c>
      <c r="C233" s="973">
        <f>E32</f>
        <v>-0.32802290279858759</v>
      </c>
    </row>
    <row r="234" spans="2:17" x14ac:dyDescent="0.3">
      <c r="C234" s="972"/>
    </row>
    <row r="272" spans="2:2" ht="14.4" x14ac:dyDescent="0.3">
      <c r="B272" s="998" t="s">
        <v>844</v>
      </c>
    </row>
    <row r="273" spans="2:5" x14ac:dyDescent="0.3">
      <c r="B273" s="999" t="str">
        <f>INDEX(C126:Q126,,$B$126)</f>
        <v>Sts.7 Kütused 3</v>
      </c>
      <c r="C273" s="1000"/>
      <c r="D273" s="902"/>
      <c r="E273" s="902"/>
    </row>
    <row r="274" spans="2:5" ht="27.6" x14ac:dyDescent="0.3">
      <c r="B274" s="996" t="s">
        <v>847</v>
      </c>
      <c r="C274" s="997" t="s">
        <v>686</v>
      </c>
      <c r="D274" s="997" t="s">
        <v>848</v>
      </c>
      <c r="E274" s="997" t="s">
        <v>849</v>
      </c>
    </row>
    <row r="275" spans="2:5" x14ac:dyDescent="0.3">
      <c r="B275" s="992" t="s">
        <v>762</v>
      </c>
      <c r="C275" s="993"/>
      <c r="D275" s="994"/>
      <c r="E275" s="995"/>
    </row>
    <row r="276" spans="2:5" x14ac:dyDescent="0.3">
      <c r="B276" s="724" t="s">
        <v>722</v>
      </c>
      <c r="C276" s="984">
        <f t="shared" ref="C276:E279" si="96">C21</f>
        <v>1.0933448464668847E-2</v>
      </c>
      <c r="D276" s="740">
        <f t="shared" si="96"/>
        <v>5</v>
      </c>
      <c r="E276" s="926">
        <f t="shared" si="96"/>
        <v>0.54667242323344234</v>
      </c>
    </row>
    <row r="277" spans="2:5" x14ac:dyDescent="0.3">
      <c r="B277" s="724" t="s">
        <v>496</v>
      </c>
      <c r="C277" s="984">
        <f t="shared" si="96"/>
        <v>-2.680287122374227E-3</v>
      </c>
      <c r="D277" s="740">
        <f t="shared" si="96"/>
        <v>4</v>
      </c>
      <c r="E277" s="926">
        <f t="shared" si="96"/>
        <v>-0.10721148489496908</v>
      </c>
    </row>
    <row r="278" spans="2:5" x14ac:dyDescent="0.3">
      <c r="B278" s="982" t="s">
        <v>659</v>
      </c>
      <c r="C278" s="984">
        <f t="shared" si="96"/>
        <v>7.2187499920416832E-3</v>
      </c>
      <c r="D278" s="740">
        <f t="shared" si="96"/>
        <v>2</v>
      </c>
      <c r="E278" s="926">
        <f t="shared" si="96"/>
        <v>0.14437499984083366</v>
      </c>
    </row>
    <row r="279" spans="2:5" x14ac:dyDescent="0.3">
      <c r="B279" s="933" t="s">
        <v>784</v>
      </c>
      <c r="C279" s="984">
        <f t="shared" si="96"/>
        <v>3.8236596974045578E-3</v>
      </c>
      <c r="D279" s="740">
        <f t="shared" si="96"/>
        <v>2</v>
      </c>
      <c r="E279" s="926">
        <f t="shared" si="96"/>
        <v>7.6473193948091156E-2</v>
      </c>
    </row>
    <row r="280" spans="2:5" x14ac:dyDescent="0.3">
      <c r="B280" s="933"/>
      <c r="C280" s="979"/>
      <c r="D280" s="987" t="s">
        <v>693</v>
      </c>
      <c r="E280" s="986">
        <f>SUM(E276:E279)</f>
        <v>0.66030913212739806</v>
      </c>
    </row>
    <row r="281" spans="2:5" x14ac:dyDescent="0.3">
      <c r="B281" s="988" t="s">
        <v>781</v>
      </c>
      <c r="C281" s="989"/>
      <c r="D281" s="990"/>
      <c r="E281" s="991"/>
    </row>
    <row r="282" spans="2:5" x14ac:dyDescent="0.3">
      <c r="B282" s="724" t="s">
        <v>721</v>
      </c>
      <c r="C282" s="725">
        <f t="shared" ref="C282:E284" si="97">C29</f>
        <v>8.2132861417106191E-3</v>
      </c>
      <c r="D282" s="740">
        <f t="shared" si="97"/>
        <v>1</v>
      </c>
      <c r="E282" s="926">
        <f t="shared" si="97"/>
        <v>-8.2132861417106184E-2</v>
      </c>
    </row>
    <row r="283" spans="2:5" x14ac:dyDescent="0.3">
      <c r="B283" s="726" t="s">
        <v>494</v>
      </c>
      <c r="C283" s="725">
        <f t="shared" si="97"/>
        <v>2.5927721359240083E-3</v>
      </c>
      <c r="D283" s="740">
        <f t="shared" si="97"/>
        <v>3</v>
      </c>
      <c r="E283" s="926">
        <f t="shared" si="97"/>
        <v>-7.7783164077720249E-2</v>
      </c>
    </row>
    <row r="284" spans="2:5" x14ac:dyDescent="0.3">
      <c r="B284" s="982" t="s">
        <v>854</v>
      </c>
      <c r="C284" s="725">
        <f t="shared" si="97"/>
        <v>1.6810687730376115E-2</v>
      </c>
      <c r="D284" s="740">
        <f t="shared" si="97"/>
        <v>1</v>
      </c>
      <c r="E284" s="926">
        <f t="shared" si="97"/>
        <v>-0.16810687730376114</v>
      </c>
    </row>
    <row r="285" spans="2:5" x14ac:dyDescent="0.3">
      <c r="B285" s="985"/>
      <c r="C285" s="979"/>
      <c r="D285" s="987" t="s">
        <v>693</v>
      </c>
      <c r="E285" s="986">
        <f>SUM(E283:E284)</f>
        <v>-0.24589004138148141</v>
      </c>
    </row>
    <row r="286" spans="2:5" x14ac:dyDescent="0.3">
      <c r="B286" s="983" t="s">
        <v>846</v>
      </c>
      <c r="C286" s="979"/>
      <c r="D286" s="980"/>
      <c r="E286" s="981"/>
    </row>
    <row r="287" spans="2:5" x14ac:dyDescent="0.3">
      <c r="B287" s="893" t="s">
        <v>855</v>
      </c>
      <c r="C287" s="965">
        <f>C16</f>
        <v>0.66030913212739806</v>
      </c>
      <c r="D287" s="740">
        <f>D16</f>
        <v>3</v>
      </c>
      <c r="E287" s="926">
        <f>E16</f>
        <v>1.9809273963821941</v>
      </c>
    </row>
    <row r="288" spans="2:5" x14ac:dyDescent="0.3">
      <c r="B288" s="982" t="s">
        <v>845</v>
      </c>
      <c r="C288" s="965">
        <f>E284</f>
        <v>-0.16810687730376114</v>
      </c>
      <c r="D288" s="740">
        <v>1</v>
      </c>
      <c r="E288" s="926">
        <f>D288*C288</f>
        <v>-0.16810687730376114</v>
      </c>
    </row>
    <row r="289" spans="2:17" x14ac:dyDescent="0.3">
      <c r="B289" s="985"/>
      <c r="C289" s="979"/>
      <c r="D289" s="987" t="s">
        <v>693</v>
      </c>
      <c r="E289" s="986">
        <f>E18</f>
        <v>1.6529044935836064</v>
      </c>
    </row>
    <row r="290" spans="2:17" x14ac:dyDescent="0.3">
      <c r="B290" s="106"/>
      <c r="C290" s="106"/>
    </row>
    <row r="291" spans="2:17" x14ac:dyDescent="0.3">
      <c r="B291" s="106"/>
      <c r="C291" s="106"/>
    </row>
    <row r="292" spans="2:17" x14ac:dyDescent="0.3">
      <c r="B292" s="106"/>
      <c r="C292" s="106"/>
    </row>
    <row r="293" spans="2:17" x14ac:dyDescent="0.3">
      <c r="B293" s="317" t="s">
        <v>529</v>
      </c>
      <c r="C293" s="318" t="s">
        <v>293</v>
      </c>
      <c r="D293" s="318">
        <v>2015</v>
      </c>
      <c r="E293" s="318">
        <f t="shared" ref="E293" si="98">D293+5</f>
        <v>2020</v>
      </c>
      <c r="F293" s="318">
        <f t="shared" ref="F293" si="99">E293+5</f>
        <v>2025</v>
      </c>
      <c r="G293" s="318">
        <f t="shared" ref="G293" si="100">F293+5</f>
        <v>2030</v>
      </c>
      <c r="H293" s="318">
        <f t="shared" ref="H293" si="101">G293+5</f>
        <v>2035</v>
      </c>
      <c r="I293" s="318">
        <f t="shared" ref="I293" si="102">H293+5</f>
        <v>2040</v>
      </c>
      <c r="J293" s="318">
        <f t="shared" ref="J293" si="103">I293+5</f>
        <v>2045</v>
      </c>
      <c r="K293" s="892">
        <f t="shared" ref="K293" si="104">J293+5</f>
        <v>2050</v>
      </c>
    </row>
    <row r="294" spans="2:17" x14ac:dyDescent="0.3">
      <c r="B294" s="887" t="s">
        <v>873</v>
      </c>
      <c r="C294" s="1026" t="str">
        <f>C50</f>
        <v>MEUR</v>
      </c>
      <c r="D294" s="1027">
        <f>D50</f>
        <v>71.240365531110783</v>
      </c>
      <c r="E294" s="1027">
        <f t="shared" ref="E294:K294" si="105">E50</f>
        <v>280.46388551075529</v>
      </c>
      <c r="F294" s="1027">
        <f t="shared" si="105"/>
        <v>280.52051929864342</v>
      </c>
      <c r="G294" s="1027">
        <f t="shared" si="105"/>
        <v>471.60335064918502</v>
      </c>
      <c r="H294" s="1027">
        <f t="shared" si="105"/>
        <v>479.49640007140533</v>
      </c>
      <c r="I294" s="1027">
        <f t="shared" si="105"/>
        <v>513.39308675799066</v>
      </c>
      <c r="J294" s="1027">
        <f t="shared" si="105"/>
        <v>554.42983295861313</v>
      </c>
      <c r="K294" s="1027">
        <f t="shared" si="105"/>
        <v>589.29484545769765</v>
      </c>
      <c r="M294" s="1052" t="s">
        <v>874</v>
      </c>
    </row>
    <row r="295" spans="2:17" x14ac:dyDescent="0.3">
      <c r="B295" s="887" t="s">
        <v>496</v>
      </c>
      <c r="C295" s="1026" t="str">
        <f>C57</f>
        <v>MEUR</v>
      </c>
      <c r="D295" s="1027">
        <f>D57</f>
        <v>-94.409230888853742</v>
      </c>
      <c r="E295" s="1027">
        <f t="shared" ref="E295:K295" si="106">E57</f>
        <v>-81.380072066055703</v>
      </c>
      <c r="F295" s="1027">
        <f t="shared" si="106"/>
        <v>6.1954789097816807</v>
      </c>
      <c r="G295" s="1027">
        <f t="shared" si="106"/>
        <v>-62.992811882011615</v>
      </c>
      <c r="H295" s="1027">
        <f t="shared" si="106"/>
        <v>124.7862672456354</v>
      </c>
      <c r="I295" s="1027">
        <f t="shared" si="106"/>
        <v>172.55048769609397</v>
      </c>
      <c r="J295" s="1027">
        <f t="shared" si="106"/>
        <v>208.26246220897573</v>
      </c>
      <c r="K295" s="1027">
        <f t="shared" si="106"/>
        <v>262.85727958848935</v>
      </c>
    </row>
    <row r="296" spans="2:17" x14ac:dyDescent="0.3">
      <c r="B296" s="887" t="s">
        <v>659</v>
      </c>
      <c r="C296" s="1027" t="str">
        <f>C61</f>
        <v>Inimest</v>
      </c>
      <c r="D296" s="1027">
        <f>D61</f>
        <v>2036.7132536966483</v>
      </c>
      <c r="E296" s="1027">
        <f t="shared" ref="E296:K296" si="107">E61</f>
        <v>5285.9562842278692</v>
      </c>
      <c r="F296" s="1027">
        <f t="shared" si="107"/>
        <v>4404.3840680395833</v>
      </c>
      <c r="G296" s="1027">
        <f t="shared" si="107"/>
        <v>6185.079187019719</v>
      </c>
      <c r="H296" s="1027">
        <f t="shared" si="107"/>
        <v>5049.4789144441647</v>
      </c>
      <c r="I296" s="1027">
        <f t="shared" si="107"/>
        <v>4807.6351608594277</v>
      </c>
      <c r="J296" s="1027">
        <f t="shared" si="107"/>
        <v>4724.3329214731266</v>
      </c>
      <c r="K296" s="1027">
        <f t="shared" si="107"/>
        <v>4528.2498955801639</v>
      </c>
    </row>
    <row r="297" spans="2:17" x14ac:dyDescent="0.3">
      <c r="B297" s="887" t="s">
        <v>650</v>
      </c>
      <c r="C297" s="1026" t="s">
        <v>75</v>
      </c>
      <c r="D297" s="1027">
        <f>E112</f>
        <v>381.76069638469636</v>
      </c>
      <c r="E297" s="1027">
        <f t="shared" ref="E297:K297" si="108">F112</f>
        <v>2801.3302646542647</v>
      </c>
      <c r="F297" s="1027">
        <f t="shared" si="108"/>
        <v>3373.9713092313091</v>
      </c>
      <c r="G297" s="1027">
        <f t="shared" si="108"/>
        <v>5170.3487716391719</v>
      </c>
      <c r="H297" s="1027">
        <f t="shared" si="108"/>
        <v>5641.1869638469634</v>
      </c>
      <c r="I297" s="1027">
        <f t="shared" si="108"/>
        <v>5946.595520954721</v>
      </c>
      <c r="J297" s="1027">
        <f t="shared" si="108"/>
        <v>6277.4547911547907</v>
      </c>
      <c r="K297" s="1027">
        <f t="shared" si="108"/>
        <v>6542.1422073148478</v>
      </c>
    </row>
    <row r="298" spans="2:17" x14ac:dyDescent="0.3">
      <c r="B298" s="887" t="s">
        <v>843</v>
      </c>
      <c r="C298" s="1026" t="s">
        <v>75</v>
      </c>
      <c r="D298" s="1027">
        <f>E113</f>
        <v>146.02346636714634</v>
      </c>
      <c r="E298" s="1027">
        <f t="shared" ref="E298:K298" si="109">F113</f>
        <v>907.6310057479817</v>
      </c>
      <c r="F298" s="1027">
        <f t="shared" si="109"/>
        <v>926.15512438399423</v>
      </c>
      <c r="G298" s="1027">
        <f t="shared" si="109"/>
        <v>1046.9956262569322</v>
      </c>
      <c r="H298" s="1027">
        <f t="shared" si="109"/>
        <v>837.71626413127399</v>
      </c>
      <c r="I298" s="1027">
        <f t="shared" si="109"/>
        <v>668.99199610740607</v>
      </c>
      <c r="J298" s="1027">
        <f t="shared" si="109"/>
        <v>367.23110528255523</v>
      </c>
      <c r="K298" s="1027">
        <f t="shared" si="109"/>
        <v>294.39639932916816</v>
      </c>
    </row>
    <row r="299" spans="2:17" x14ac:dyDescent="0.3">
      <c r="B299" s="887" t="s">
        <v>387</v>
      </c>
      <c r="C299" s="1026" t="str">
        <f>C68</f>
        <v>th.tonni</v>
      </c>
      <c r="D299" s="1027">
        <f>D68</f>
        <v>19.440000000000001</v>
      </c>
      <c r="E299" s="1027">
        <f t="shared" ref="E299:K299" si="110">E68</f>
        <v>289.44</v>
      </c>
      <c r="F299" s="1027">
        <f t="shared" si="110"/>
        <v>318.60000000000002</v>
      </c>
      <c r="G299" s="1027">
        <f t="shared" si="110"/>
        <v>586.22400000000005</v>
      </c>
      <c r="H299" s="1027">
        <f t="shared" si="110"/>
        <v>610.20000000000005</v>
      </c>
      <c r="I299" s="1027">
        <f t="shared" si="110"/>
        <v>625.75199999999995</v>
      </c>
      <c r="J299" s="1027">
        <f t="shared" si="110"/>
        <v>642.6</v>
      </c>
      <c r="K299" s="1027">
        <f t="shared" si="110"/>
        <v>656.0784000000001</v>
      </c>
    </row>
    <row r="300" spans="2:17" x14ac:dyDescent="0.3">
      <c r="B300" s="887" t="s">
        <v>537</v>
      </c>
      <c r="C300" s="1026" t="s">
        <v>75</v>
      </c>
      <c r="D300" s="1027">
        <f>E120</f>
        <v>0</v>
      </c>
      <c r="E300" s="1027">
        <f t="shared" ref="E300:K300" si="111">F120</f>
        <v>0</v>
      </c>
      <c r="F300" s="1027">
        <f t="shared" si="111"/>
        <v>0</v>
      </c>
      <c r="G300" s="1027">
        <f t="shared" si="111"/>
        <v>0</v>
      </c>
      <c r="H300" s="1027">
        <f t="shared" si="111"/>
        <v>0</v>
      </c>
      <c r="I300" s="1027">
        <f t="shared" si="111"/>
        <v>0</v>
      </c>
      <c r="J300" s="1027">
        <f t="shared" si="111"/>
        <v>0</v>
      </c>
      <c r="K300" s="1027">
        <f t="shared" si="111"/>
        <v>0</v>
      </c>
    </row>
    <row r="301" spans="2:17" x14ac:dyDescent="0.3">
      <c r="B301" s="887" t="s">
        <v>784</v>
      </c>
      <c r="C301" s="891" t="s">
        <v>861</v>
      </c>
      <c r="D301" s="1028">
        <f t="shared" ref="D301:K301" si="112">D65</f>
        <v>1.000670253006658</v>
      </c>
      <c r="E301" s="1028">
        <f t="shared" si="112"/>
        <v>1.0044121552784755</v>
      </c>
      <c r="F301" s="1028">
        <f t="shared" si="112"/>
        <v>1.0039894558972877</v>
      </c>
      <c r="G301" s="1028">
        <f t="shared" si="112"/>
        <v>1.006222774607197</v>
      </c>
      <c r="H301" s="1028">
        <f t="shared" si="112"/>
        <v>1.0065408063366927</v>
      </c>
      <c r="I301" s="1028">
        <f t="shared" si="112"/>
        <v>1.0064668920244229</v>
      </c>
      <c r="J301" s="1028">
        <f t="shared" si="112"/>
        <v>1.0064166856037791</v>
      </c>
      <c r="K301" s="1028">
        <f t="shared" si="112"/>
        <v>1.0065180939099381</v>
      </c>
    </row>
    <row r="304" spans="2:17" x14ac:dyDescent="0.3">
      <c r="B304" s="105" t="s">
        <v>855</v>
      </c>
      <c r="C304" s="1054">
        <f t="array" ref="C304:Q305">TRANSPOSE(M141:N155)</f>
        <v>0.14949194009478434</v>
      </c>
      <c r="D304" s="1054">
        <v>0.14135127985831331</v>
      </c>
      <c r="E304" s="1054">
        <v>0.43319896402459229</v>
      </c>
      <c r="F304" s="1054">
        <v>0.94904117093317808</v>
      </c>
      <c r="G304" s="1054">
        <v>0.33275266844918489</v>
      </c>
      <c r="H304" s="1054">
        <v>0.66030913212739806</v>
      </c>
      <c r="I304" s="1054">
        <v>1.2893422317138196E-4</v>
      </c>
      <c r="J304" s="1054">
        <v>0.22313441478650681</v>
      </c>
      <c r="K304" s="1054">
        <v>5.4356077799636499E-2</v>
      </c>
      <c r="L304" s="1054">
        <v>1.4419975358467361</v>
      </c>
      <c r="M304" s="1054">
        <v>1.9648389702180281E-2</v>
      </c>
      <c r="N304" s="1054">
        <v>4.1678898028326999E-2</v>
      </c>
      <c r="O304" s="1054">
        <v>-0.95178780951331499</v>
      </c>
      <c r="P304" s="1054">
        <v>0.48199414240790583</v>
      </c>
      <c r="Q304" s="1054">
        <v>3.5898546059856007</v>
      </c>
    </row>
    <row r="305" spans="2:17" x14ac:dyDescent="0.3">
      <c r="B305" s="105" t="s">
        <v>875</v>
      </c>
      <c r="C305" s="1054">
        <v>0.65301138808158155</v>
      </c>
      <c r="D305" s="1054">
        <v>1.1087044461259152</v>
      </c>
      <c r="E305" s="1054">
        <v>1.0222518980174127</v>
      </c>
      <c r="F305" s="1054">
        <v>2.0356856728302808</v>
      </c>
      <c r="G305" s="1054">
        <v>-0.18685126591284715</v>
      </c>
      <c r="H305" s="1054">
        <v>-0.32802290279858759</v>
      </c>
      <c r="I305" s="1054">
        <v>-1.1907030679535573E-3</v>
      </c>
      <c r="J305" s="1054">
        <v>5.8902592076851583E-3</v>
      </c>
      <c r="K305" s="1054">
        <v>4.8998747609421187</v>
      </c>
      <c r="L305" s="1054">
        <v>-3.6933199181258836</v>
      </c>
      <c r="M305" s="1054">
        <v>0</v>
      </c>
      <c r="N305" s="1054">
        <v>0</v>
      </c>
      <c r="O305" s="1054">
        <v>3.0407017648260926</v>
      </c>
      <c r="P305" s="1054">
        <v>-1.5051770416940109</v>
      </c>
      <c r="Q305" s="1054">
        <v>-2.3395426100458088</v>
      </c>
    </row>
    <row r="306" spans="2:17" ht="27.6" x14ac:dyDescent="0.3">
      <c r="C306" s="1053" t="s">
        <v>888</v>
      </c>
      <c r="D306" s="1053" t="s">
        <v>889</v>
      </c>
      <c r="E306" s="1053" t="s">
        <v>890</v>
      </c>
      <c r="F306" s="1053" t="s">
        <v>891</v>
      </c>
      <c r="G306" s="1053" t="s">
        <v>892</v>
      </c>
      <c r="H306" s="1053" t="s">
        <v>893</v>
      </c>
      <c r="I306" s="1053" t="s">
        <v>894</v>
      </c>
      <c r="J306" s="1053" t="s">
        <v>895</v>
      </c>
      <c r="K306" s="1053" t="s">
        <v>896</v>
      </c>
      <c r="L306" s="1053" t="s">
        <v>897</v>
      </c>
      <c r="M306" s="1053" t="s">
        <v>898</v>
      </c>
      <c r="N306" s="1053" t="s">
        <v>899</v>
      </c>
      <c r="O306" s="1053" t="s">
        <v>900</v>
      </c>
      <c r="P306" s="1053" t="s">
        <v>901</v>
      </c>
      <c r="Q306" s="1053" t="s">
        <v>879</v>
      </c>
    </row>
    <row r="307" spans="2:17" x14ac:dyDescent="0.3">
      <c r="Q307" s="1054"/>
    </row>
    <row r="308" spans="2:17" x14ac:dyDescent="0.3">
      <c r="Q308" s="1053"/>
    </row>
    <row r="331" spans="3:16" ht="27.6" x14ac:dyDescent="0.3">
      <c r="C331" s="1053" t="s">
        <v>888</v>
      </c>
      <c r="D331" s="1053" t="s">
        <v>889</v>
      </c>
      <c r="E331" s="1053" t="s">
        <v>890</v>
      </c>
      <c r="F331" s="1053" t="s">
        <v>891</v>
      </c>
      <c r="G331" s="1053" t="s">
        <v>892</v>
      </c>
      <c r="H331" s="1053" t="s">
        <v>893</v>
      </c>
      <c r="I331" s="1053" t="s">
        <v>894</v>
      </c>
      <c r="J331" s="1053" t="s">
        <v>895</v>
      </c>
      <c r="K331" s="1053" t="s">
        <v>896</v>
      </c>
      <c r="L331" s="1053" t="s">
        <v>897</v>
      </c>
      <c r="M331" s="1053" t="s">
        <v>898</v>
      </c>
      <c r="N331" s="1053" t="s">
        <v>899</v>
      </c>
      <c r="O331" s="1053" t="s">
        <v>900</v>
      </c>
      <c r="P331" s="1053" t="s">
        <v>901</v>
      </c>
    </row>
  </sheetData>
  <hyperlinks>
    <hyperlink ref="A1" location="Tiitel!A1" display="Tiitel"/>
  </hyperlinks>
  <pageMargins left="0.75" right="0.75" top="1" bottom="1" header="0.5" footer="0.5"/>
  <pageSetup paperSize="9" orientation="portrait" horizontalDpi="4294967293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3" r:id="rId4" name="Option Button 9">
              <controlPr defaultSize="0" autoFill="0" autoLine="0" autoPict="0">
                <anchor moveWithCells="1">
                  <from>
                    <xdr:col>1</xdr:col>
                    <xdr:colOff>7620</xdr:colOff>
                    <xdr:row>5</xdr:row>
                    <xdr:rowOff>99060</xdr:rowOff>
                  </from>
                  <to>
                    <xdr:col>1</xdr:col>
                    <xdr:colOff>1242060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5" name="Option Button 10">
              <controlPr defaultSize="0" autoFill="0" autoLine="0" autoPict="0">
                <anchor>
                  <from>
                    <xdr:col>1</xdr:col>
                    <xdr:colOff>7620</xdr:colOff>
                    <xdr:row>7</xdr:row>
                    <xdr:rowOff>15240</xdr:rowOff>
                  </from>
                  <to>
                    <xdr:col>1</xdr:col>
                    <xdr:colOff>1242060</xdr:colOff>
                    <xdr:row>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4" r:id="rId6" name="Scroll Bar 20">
              <controlPr defaultSize="0" autoPict="0">
                <anchor moveWithCells="1">
                  <from>
                    <xdr:col>14</xdr:col>
                    <xdr:colOff>335280</xdr:colOff>
                    <xdr:row>38</xdr:row>
                    <xdr:rowOff>0</xdr:rowOff>
                  </from>
                  <to>
                    <xdr:col>14</xdr:col>
                    <xdr:colOff>579120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4" r:id="rId7" name="Scroll Bar 30">
              <controlPr defaultSize="0" autoPict="0">
                <anchor moveWithCells="1">
                  <from>
                    <xdr:col>23</xdr:col>
                    <xdr:colOff>457200</xdr:colOff>
                    <xdr:row>37</xdr:row>
                    <xdr:rowOff>175260</xdr:rowOff>
                  </from>
                  <to>
                    <xdr:col>24</xdr:col>
                    <xdr:colOff>220980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6" r:id="rId8" name="Scroll Bar 42">
              <controlPr defaultSize="0" autoPict="0">
                <anchor moveWithCells="1">
                  <from>
                    <xdr:col>12</xdr:col>
                    <xdr:colOff>441960</xdr:colOff>
                    <xdr:row>165</xdr:row>
                    <xdr:rowOff>144780</xdr:rowOff>
                  </from>
                  <to>
                    <xdr:col>13</xdr:col>
                    <xdr:colOff>68580</xdr:colOff>
                    <xdr:row>187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7" r:id="rId9" name="Scroll Bar 43">
              <controlPr defaultSize="0" autoPict="0">
                <anchor moveWithCells="1">
                  <from>
                    <xdr:col>13</xdr:col>
                    <xdr:colOff>365760</xdr:colOff>
                    <xdr:row>199</xdr:row>
                    <xdr:rowOff>0</xdr:rowOff>
                  </from>
                  <to>
                    <xdr:col>14</xdr:col>
                    <xdr:colOff>0</xdr:colOff>
                    <xdr:row>218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8" r:id="rId10" name="Scroll Bar 44">
              <controlPr defaultSize="0" autoPict="0">
                <anchor moveWithCells="1">
                  <from>
                    <xdr:col>22</xdr:col>
                    <xdr:colOff>327660</xdr:colOff>
                    <xdr:row>199</xdr:row>
                    <xdr:rowOff>0</xdr:rowOff>
                  </from>
                  <to>
                    <xdr:col>23</xdr:col>
                    <xdr:colOff>83820</xdr:colOff>
                    <xdr:row>218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5" r:id="rId11" name="Drop Down 1">
              <controlPr defaultSize="0" autoLine="0" autoPict="0">
                <anchor moveWithCells="1">
                  <from>
                    <xdr:col>1</xdr:col>
                    <xdr:colOff>1226820</xdr:colOff>
                    <xdr:row>3</xdr:row>
                    <xdr:rowOff>152400</xdr:rowOff>
                  </from>
                  <to>
                    <xdr:col>3</xdr:col>
                    <xdr:colOff>304800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2" name="Group Box 11">
              <controlPr defaultSize="0" autoFill="0" autoPict="0">
                <anchor moveWithCells="1">
                  <from>
                    <xdr:col>0</xdr:col>
                    <xdr:colOff>76200</xdr:colOff>
                    <xdr:row>2</xdr:row>
                    <xdr:rowOff>175260</xdr:rowOff>
                  </from>
                  <to>
                    <xdr:col>4</xdr:col>
                    <xdr:colOff>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3" r:id="rId13" name="Group Box 19">
              <controlPr defaultSize="0" autoFill="0" autoPict="0" macro="[0]!Rühmaboks13_Klõps">
                <anchor moveWithCells="1">
                  <from>
                    <xdr:col>10</xdr:col>
                    <xdr:colOff>0</xdr:colOff>
                    <xdr:row>2</xdr:row>
                    <xdr:rowOff>114300</xdr:rowOff>
                  </from>
                  <to>
                    <xdr:col>12</xdr:col>
                    <xdr:colOff>579120</xdr:colOff>
                    <xdr:row>11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5" r:id="rId14" name="Scroll Bar 41">
              <controlPr defaultSize="0" autoPict="0">
                <anchor moveWithCells="1">
                  <from>
                    <xdr:col>6</xdr:col>
                    <xdr:colOff>411480</xdr:colOff>
                    <xdr:row>13</xdr:row>
                    <xdr:rowOff>152400</xdr:rowOff>
                  </from>
                  <to>
                    <xdr:col>7</xdr:col>
                    <xdr:colOff>22860</xdr:colOff>
                    <xdr:row>32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0" r:id="rId15" name="Drop Down 46">
              <controlPr defaultSize="0" autoLine="0" autoPict="0">
                <anchor moveWithCells="1">
                  <from>
                    <xdr:col>12</xdr:col>
                    <xdr:colOff>121920</xdr:colOff>
                    <xdr:row>1</xdr:row>
                    <xdr:rowOff>22860</xdr:rowOff>
                  </from>
                  <to>
                    <xdr:col>14</xdr:col>
                    <xdr:colOff>342900</xdr:colOff>
                    <xdr:row>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0" r:id="rId16" name="Group Box 66">
              <controlPr defaultSize="0" autoFill="0" autoPict="0" altText="Perioodi valik">
                <anchor moveWithCells="1">
                  <from>
                    <xdr:col>5</xdr:col>
                    <xdr:colOff>76200</xdr:colOff>
                    <xdr:row>2</xdr:row>
                    <xdr:rowOff>175260</xdr:rowOff>
                  </from>
                  <to>
                    <xdr:col>7</xdr:col>
                    <xdr:colOff>533400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1" r:id="rId17" name="Option Button 67">
              <controlPr defaultSize="0" autoFill="0" autoLine="0" autoPict="0">
                <anchor moveWithCells="1">
                  <from>
                    <xdr:col>5</xdr:col>
                    <xdr:colOff>129540</xdr:colOff>
                    <xdr:row>4</xdr:row>
                    <xdr:rowOff>137160</xdr:rowOff>
                  </from>
                  <to>
                    <xdr:col>7</xdr:col>
                    <xdr:colOff>396240</xdr:colOff>
                    <xdr:row>6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3" r:id="rId18" name="Option Button 69">
              <controlPr defaultSize="0" autoFill="0" autoLine="0" autoPict="0">
                <anchor moveWithCells="1">
                  <from>
                    <xdr:col>5</xdr:col>
                    <xdr:colOff>137160</xdr:colOff>
                    <xdr:row>6</xdr:row>
                    <xdr:rowOff>129540</xdr:rowOff>
                  </from>
                  <to>
                    <xdr:col>7</xdr:col>
                    <xdr:colOff>396240</xdr:colOff>
                    <xdr:row>8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3"/>
  <dimension ref="A1:AE103"/>
  <sheetViews>
    <sheetView topLeftCell="M1" zoomScale="85" zoomScaleNormal="85" workbookViewId="0">
      <pane ySplit="2" topLeftCell="A15" activePane="bottomLeft" state="frozen"/>
      <selection pane="bottomLeft" activeCell="O50" sqref="O50"/>
    </sheetView>
  </sheetViews>
  <sheetFormatPr defaultColWidth="9.109375" defaultRowHeight="14.4" x14ac:dyDescent="0.3"/>
  <cols>
    <col min="1" max="1" width="3.6640625" style="68" customWidth="1"/>
    <col min="2" max="2" width="39.6640625" style="100" customWidth="1"/>
    <col min="3" max="3" width="1.109375" style="68" customWidth="1"/>
    <col min="4" max="4" width="8.88671875" style="100" customWidth="1"/>
    <col min="5" max="5" width="8.5546875" style="68" customWidth="1"/>
    <col min="6" max="7" width="9.109375" style="68"/>
    <col min="8" max="8" width="8.33203125" style="68" customWidth="1"/>
    <col min="9" max="11" width="9.109375" style="68"/>
    <col min="12" max="12" width="8" style="68" customWidth="1"/>
    <col min="13" max="20" width="9.33203125" style="68" customWidth="1"/>
    <col min="21" max="21" width="8.88671875" style="68" customWidth="1"/>
    <col min="22" max="22" width="7.44140625" style="68" customWidth="1"/>
    <col min="23" max="23" width="7.33203125" style="68" customWidth="1"/>
    <col min="24" max="24" width="7.44140625" style="68" customWidth="1"/>
    <col min="25" max="28" width="7" style="68" customWidth="1"/>
    <col min="29" max="29" width="9.6640625" style="68" customWidth="1"/>
    <col min="30" max="30" width="9.21875" style="68" customWidth="1"/>
    <col min="31" max="34" width="7" style="68" customWidth="1"/>
    <col min="35" max="16384" width="9.109375" style="68"/>
  </cols>
  <sheetData>
    <row r="1" spans="1:30" x14ac:dyDescent="0.3">
      <c r="A1" s="861" t="s">
        <v>338</v>
      </c>
    </row>
    <row r="2" spans="1:30" ht="19.5" customHeight="1" x14ac:dyDescent="0.3">
      <c r="B2" s="783" t="s">
        <v>233</v>
      </c>
    </row>
    <row r="3" spans="1:30" x14ac:dyDescent="0.3">
      <c r="B3" s="658" t="s">
        <v>208</v>
      </c>
    </row>
    <row r="4" spans="1:30" ht="28.5" customHeight="1" x14ac:dyDescent="0.3">
      <c r="B4" s="659" t="s">
        <v>698</v>
      </c>
      <c r="C4" s="90"/>
      <c r="D4" s="642" t="s">
        <v>208</v>
      </c>
    </row>
    <row r="5" spans="1:30" ht="15" thickBot="1" x14ac:dyDescent="0.35">
      <c r="B5" s="424"/>
      <c r="C5" s="425"/>
      <c r="D5" s="643">
        <v>2015</v>
      </c>
      <c r="E5" s="426">
        <v>2020</v>
      </c>
      <c r="F5" s="426">
        <v>2025</v>
      </c>
      <c r="G5" s="426">
        <v>2030</v>
      </c>
      <c r="H5" s="426">
        <v>2035</v>
      </c>
      <c r="I5" s="426">
        <v>2040</v>
      </c>
      <c r="J5" s="426">
        <v>2045</v>
      </c>
      <c r="K5" s="426">
        <v>2050</v>
      </c>
      <c r="L5" s="69"/>
      <c r="M5" s="69"/>
    </row>
    <row r="6" spans="1:30" x14ac:dyDescent="0.3">
      <c r="B6" s="442" t="s">
        <v>44</v>
      </c>
      <c r="C6" s="444"/>
      <c r="D6" s="445"/>
      <c r="E6" s="445"/>
      <c r="F6" s="445"/>
      <c r="G6" s="445"/>
      <c r="H6" s="445"/>
      <c r="I6" s="445"/>
      <c r="J6" s="445"/>
      <c r="K6" s="446"/>
      <c r="L6" s="69"/>
      <c r="M6" s="69"/>
    </row>
    <row r="7" spans="1:30" x14ac:dyDescent="0.3">
      <c r="B7" s="660" t="s">
        <v>207</v>
      </c>
      <c r="C7" s="90"/>
      <c r="D7" s="431">
        <f t="shared" ref="D7:K7" si="0">SUMPRODUCT(D31:D43,$U91:$U103)</f>
        <v>41.722087278880494</v>
      </c>
      <c r="E7" s="431">
        <f t="shared" si="0"/>
        <v>126.76208745857112</v>
      </c>
      <c r="F7" s="431">
        <f t="shared" si="0"/>
        <v>121.02588696064305</v>
      </c>
      <c r="G7" s="431">
        <f t="shared" si="0"/>
        <v>197.2087483461188</v>
      </c>
      <c r="H7" s="431">
        <f t="shared" si="0"/>
        <v>167.14236116017892</v>
      </c>
      <c r="I7" s="431">
        <f t="shared" si="0"/>
        <v>173.95492855287921</v>
      </c>
      <c r="J7" s="431">
        <f t="shared" si="0"/>
        <v>183.86023211688592</v>
      </c>
      <c r="K7" s="431">
        <f t="shared" si="0"/>
        <v>190.71690080587248</v>
      </c>
      <c r="L7" s="69"/>
      <c r="M7" s="69"/>
    </row>
    <row r="8" spans="1:30" x14ac:dyDescent="0.3">
      <c r="B8" s="366" t="s">
        <v>55</v>
      </c>
      <c r="C8" s="90"/>
      <c r="D8" s="185">
        <f t="shared" ref="D8:K8" si="1">SUMPRODUCT($S79:$S81,D65:D67)+SUMPRODUCT($S79:$S81,D60:D62)</f>
        <v>19.798723286661208</v>
      </c>
      <c r="E8" s="185">
        <f t="shared" si="1"/>
        <v>72.697693666539308</v>
      </c>
      <c r="F8" s="185">
        <f t="shared" si="1"/>
        <v>74.708193136886422</v>
      </c>
      <c r="G8" s="185">
        <f t="shared" si="1"/>
        <v>122.33682708596635</v>
      </c>
      <c r="H8" s="185">
        <f t="shared" si="1"/>
        <v>129.21301816879654</v>
      </c>
      <c r="I8" s="185">
        <f t="shared" si="1"/>
        <v>138.10168426524001</v>
      </c>
      <c r="J8" s="185">
        <f t="shared" si="1"/>
        <v>149.15929239252904</v>
      </c>
      <c r="K8" s="185">
        <f t="shared" si="1"/>
        <v>158.50242056213546</v>
      </c>
      <c r="L8" s="69"/>
      <c r="M8" s="69"/>
    </row>
    <row r="9" spans="1:30" x14ac:dyDescent="0.3">
      <c r="B9" s="366" t="s">
        <v>364</v>
      </c>
      <c r="C9" s="90"/>
      <c r="D9" s="185">
        <f>-TULEMUSED!E106</f>
        <v>-15.360997874935169</v>
      </c>
      <c r="E9" s="185">
        <f>-TULEMUSED!F106</f>
        <v>-48.235957831702187</v>
      </c>
      <c r="F9" s="185">
        <f>-TULEMUSED!G106</f>
        <v>-14.098779550267528</v>
      </c>
      <c r="G9" s="185">
        <f>-TULEMUSED!H106</f>
        <v>-63.89877955026752</v>
      </c>
      <c r="H9" s="185">
        <f>-TULEMUSED!I106</f>
        <v>0</v>
      </c>
      <c r="I9" s="185">
        <f>-TULEMUSED!J106</f>
        <v>0</v>
      </c>
      <c r="J9" s="185">
        <f>-TULEMUSED!K106</f>
        <v>0</v>
      </c>
      <c r="K9" s="185">
        <f>-TULEMUSED!L106</f>
        <v>0</v>
      </c>
      <c r="L9" s="69"/>
    </row>
    <row r="10" spans="1:30" x14ac:dyDescent="0.3">
      <c r="B10" s="366" t="s">
        <v>110</v>
      </c>
      <c r="C10" s="90"/>
      <c r="D10" s="185">
        <f>+TULEMUSED!E108</f>
        <v>0</v>
      </c>
      <c r="E10" s="185">
        <f>+TULEMUSED!F108</f>
        <v>0</v>
      </c>
      <c r="F10" s="185">
        <f>+TULEMUSED!G108</f>
        <v>0</v>
      </c>
      <c r="G10" s="185">
        <f>+TULEMUSED!H108</f>
        <v>0</v>
      </c>
      <c r="H10" s="185">
        <f>+TULEMUSED!I108</f>
        <v>0</v>
      </c>
      <c r="I10" s="185">
        <f>+TULEMUSED!J108</f>
        <v>0</v>
      </c>
      <c r="J10" s="185">
        <f>+TULEMUSED!K108</f>
        <v>0</v>
      </c>
      <c r="K10" s="185">
        <f>+TULEMUSED!L108</f>
        <v>0</v>
      </c>
      <c r="L10" s="69"/>
    </row>
    <row r="11" spans="1:30" ht="15" thickBot="1" x14ac:dyDescent="0.35">
      <c r="B11" s="366" t="s">
        <v>858</v>
      </c>
      <c r="C11" s="90"/>
      <c r="D11" s="185">
        <f>TULEMUSED!E110+TULEMUSED!E105</f>
        <v>15.528092290413976</v>
      </c>
      <c r="E11" s="185">
        <f>TULEMUSED!F110+TULEMUSED!F105</f>
        <v>91.633289959889296</v>
      </c>
      <c r="F11" s="185">
        <f>TULEMUSED!G110+TULEMUSED!G105</f>
        <v>61.270852596551485</v>
      </c>
      <c r="G11" s="185">
        <f>TULEMUSED!H110+TULEMUSED!H105</f>
        <v>152.72032108466124</v>
      </c>
      <c r="H11" s="185">
        <f>TULEMUSED!I110+TULEMUSED!I105</f>
        <v>118.84642579692601</v>
      </c>
      <c r="I11" s="185">
        <f>TULEMUSED!J110+TULEMUSED!J105</f>
        <v>132.49674843617342</v>
      </c>
      <c r="J11" s="185">
        <f>TULEMUSED!K110+TULEMUSED!K105</f>
        <v>147.06805784946695</v>
      </c>
      <c r="K11" s="185">
        <f>TULEMUSED!L110+TULEMUSED!L105</f>
        <v>161.05830229921597</v>
      </c>
      <c r="L11" s="69"/>
    </row>
    <row r="12" spans="1:30" x14ac:dyDescent="0.3">
      <c r="B12" s="732" t="s">
        <v>23</v>
      </c>
      <c r="C12" s="656"/>
      <c r="D12" s="732">
        <f>SUM(D7:D11)</f>
        <v>61.687904981020509</v>
      </c>
      <c r="E12" s="733">
        <f>SUM(E7:E11)</f>
        <v>242.85711325329754</v>
      </c>
      <c r="F12" s="733">
        <f t="shared" ref="F12:K12" si="2">SUM(F7:F11)</f>
        <v>242.90615314381344</v>
      </c>
      <c r="G12" s="733">
        <f t="shared" si="2"/>
        <v>408.36711696647882</v>
      </c>
      <c r="H12" s="733">
        <f t="shared" si="2"/>
        <v>415.2018051259015</v>
      </c>
      <c r="I12" s="733">
        <f t="shared" si="2"/>
        <v>444.55336125429267</v>
      </c>
      <c r="J12" s="733">
        <f t="shared" si="2"/>
        <v>480.08758235888195</v>
      </c>
      <c r="K12" s="733">
        <f t="shared" si="2"/>
        <v>510.27762366722391</v>
      </c>
      <c r="L12" s="69"/>
    </row>
    <row r="13" spans="1:30" ht="15" thickBot="1" x14ac:dyDescent="0.35">
      <c r="B13" s="185" t="s">
        <v>40</v>
      </c>
      <c r="C13" s="90"/>
      <c r="D13" s="185">
        <f t="shared" ref="D13:K13" si="3">D12*$D$84</f>
        <v>9.552460550090272</v>
      </c>
      <c r="E13" s="367">
        <f t="shared" si="3"/>
        <v>37.60677225745772</v>
      </c>
      <c r="F13" s="367">
        <f t="shared" si="3"/>
        <v>37.614366154829952</v>
      </c>
      <c r="G13" s="367">
        <f t="shared" si="3"/>
        <v>63.236233682706192</v>
      </c>
      <c r="H13" s="367">
        <f t="shared" si="3"/>
        <v>64.294594945503846</v>
      </c>
      <c r="I13" s="367">
        <f t="shared" si="3"/>
        <v>68.839725503698048</v>
      </c>
      <c r="J13" s="367">
        <f t="shared" si="3"/>
        <v>74.342250599731216</v>
      </c>
      <c r="K13" s="367">
        <f t="shared" si="3"/>
        <v>79.017221790473712</v>
      </c>
      <c r="L13" s="69"/>
      <c r="N13" s="376" t="s">
        <v>553</v>
      </c>
    </row>
    <row r="14" spans="1:30" ht="15" thickBot="1" x14ac:dyDescent="0.35">
      <c r="B14" s="731" t="s">
        <v>548</v>
      </c>
      <c r="C14" s="656"/>
      <c r="D14" s="732">
        <f t="shared" ref="D14" si="4">D12+D13</f>
        <v>71.240365531110783</v>
      </c>
      <c r="E14" s="733">
        <f>E12+E13</f>
        <v>280.46388551075529</v>
      </c>
      <c r="F14" s="733">
        <f t="shared" ref="F14:K14" si="5">F12+F13</f>
        <v>280.52051929864342</v>
      </c>
      <c r="G14" s="733">
        <f t="shared" si="5"/>
        <v>471.60335064918502</v>
      </c>
      <c r="H14" s="733">
        <f t="shared" si="5"/>
        <v>479.49640007140533</v>
      </c>
      <c r="I14" s="733">
        <f t="shared" si="5"/>
        <v>513.39308675799066</v>
      </c>
      <c r="J14" s="733">
        <f t="shared" si="5"/>
        <v>554.42983295861313</v>
      </c>
      <c r="K14" s="733">
        <f t="shared" si="5"/>
        <v>589.29484545769765</v>
      </c>
      <c r="L14" s="69"/>
      <c r="N14" s="426">
        <v>2015</v>
      </c>
      <c r="O14" s="426">
        <v>2020</v>
      </c>
      <c r="P14" s="426">
        <v>2025</v>
      </c>
      <c r="Q14" s="426">
        <v>2030</v>
      </c>
      <c r="R14" s="426">
        <v>2035</v>
      </c>
      <c r="S14" s="426">
        <v>2040</v>
      </c>
      <c r="T14" s="426">
        <v>2045</v>
      </c>
      <c r="U14" s="426">
        <v>2050</v>
      </c>
    </row>
    <row r="15" spans="1:30" x14ac:dyDescent="0.3">
      <c r="B15" s="736" t="s">
        <v>674</v>
      </c>
      <c r="C15" s="90"/>
      <c r="D15" s="737">
        <f>D14/N15</f>
        <v>96.075477515374203</v>
      </c>
      <c r="E15" s="738">
        <f>E14/O15</f>
        <v>363.29038577799747</v>
      </c>
      <c r="F15" s="738">
        <f t="shared" ref="F15:K15" si="6">F14/P15</f>
        <v>351.45254908281527</v>
      </c>
      <c r="G15" s="738">
        <f t="shared" si="6"/>
        <v>574.31276721671588</v>
      </c>
      <c r="H15" s="738">
        <f t="shared" si="6"/>
        <v>573.1687501205538</v>
      </c>
      <c r="I15" s="738">
        <f t="shared" si="6"/>
        <v>606.87435155150695</v>
      </c>
      <c r="J15" s="738">
        <f t="shared" si="6"/>
        <v>648.99557795640203</v>
      </c>
      <c r="K15" s="739">
        <f t="shared" si="6"/>
        <v>686.43581912859963</v>
      </c>
      <c r="L15" s="69"/>
      <c r="N15" s="171">
        <f>PROGNOOS!D24</f>
        <v>0.74150415250042079</v>
      </c>
      <c r="O15" s="171">
        <f>PROGNOOS!E24</f>
        <v>0.77201020585814106</v>
      </c>
      <c r="P15" s="171">
        <f>PROGNOOS!F24</f>
        <v>0.79817466121875358</v>
      </c>
      <c r="Q15" s="171">
        <f>PROGNOOS!G24</f>
        <v>0.82116118179769859</v>
      </c>
      <c r="R15" s="171">
        <f>PROGNOOS!H24</f>
        <v>0.83657107958267696</v>
      </c>
      <c r="S15" s="171">
        <f>PROGNOOS!I24</f>
        <v>0.84596273585376214</v>
      </c>
      <c r="T15" s="171">
        <f>PROGNOOS!J24</f>
        <v>0.85428907652103969</v>
      </c>
      <c r="U15" s="171">
        <f>PROGNOOS!K24</f>
        <v>0.85848498728662181</v>
      </c>
      <c r="V15" s="91" t="s">
        <v>675</v>
      </c>
      <c r="AD15" s="169"/>
    </row>
    <row r="16" spans="1:30" ht="15.75" customHeight="1" x14ac:dyDescent="0.3">
      <c r="B16" s="734" t="s">
        <v>525</v>
      </c>
      <c r="C16" s="90"/>
      <c r="D16" s="735">
        <f>D15*1000000/N16</f>
        <v>72.106054863653398</v>
      </c>
      <c r="E16" s="735">
        <f t="shared" ref="E16:K16" si="7">E15*1000000/O16</f>
        <v>273.50869504968347</v>
      </c>
      <c r="F16" s="735">
        <f t="shared" si="7"/>
        <v>267.07500773810142</v>
      </c>
      <c r="G16" s="735">
        <f t="shared" si="7"/>
        <v>443.01198814602174</v>
      </c>
      <c r="H16" s="735">
        <f t="shared" si="7"/>
        <v>448.67772984288678</v>
      </c>
      <c r="I16" s="735">
        <f t="shared" si="7"/>
        <v>479.9360624057976</v>
      </c>
      <c r="J16" s="735">
        <f t="shared" si="7"/>
        <v>516.43785790334516</v>
      </c>
      <c r="K16" s="735">
        <f t="shared" si="7"/>
        <v>549.10033447344608</v>
      </c>
      <c r="L16" s="69"/>
      <c r="N16" s="143">
        <f>PROGNOOS!D28</f>
        <v>1332419</v>
      </c>
      <c r="O16" s="143">
        <f>PROGNOOS!E28</f>
        <v>1328259</v>
      </c>
      <c r="P16" s="143">
        <f>PROGNOOS!F28</f>
        <v>1315932</v>
      </c>
      <c r="Q16" s="143">
        <f>PROGNOOS!G28</f>
        <v>1296382</v>
      </c>
      <c r="R16" s="143">
        <f>PROGNOOS!H28</f>
        <v>1277462</v>
      </c>
      <c r="S16" s="143">
        <f>PROGNOOS!I28</f>
        <v>1264490</v>
      </c>
      <c r="T16" s="143">
        <f>PROGNOOS!J28</f>
        <v>1256677</v>
      </c>
      <c r="U16" s="143">
        <f>PROGNOOS!K28</f>
        <v>1250110</v>
      </c>
      <c r="V16" s="91" t="s">
        <v>673</v>
      </c>
    </row>
    <row r="17" spans="1:31" ht="15.75" customHeight="1" x14ac:dyDescent="0.3">
      <c r="B17" s="444" t="s">
        <v>524</v>
      </c>
      <c r="C17" s="69"/>
      <c r="D17" s="644"/>
      <c r="E17" s="69"/>
      <c r="F17" s="69"/>
      <c r="G17" s="69"/>
      <c r="H17" s="69"/>
      <c r="I17" s="69"/>
      <c r="J17" s="69"/>
      <c r="K17" s="69"/>
      <c r="L17" s="69"/>
    </row>
    <row r="18" spans="1:31" x14ac:dyDescent="0.3">
      <c r="B18" s="366" t="s">
        <v>522</v>
      </c>
      <c r="C18" s="90"/>
      <c r="D18" s="367">
        <f t="shared" ref="D18:K18" si="8">SUMPRODUCT(D31:D43,$V91:$V103)+SUMPRODUCT($T79:$T81,D65:D67)+SUMPRODUCT($T79:$T81,D60:D62)</f>
        <v>36.478707804635476</v>
      </c>
      <c r="E18" s="367">
        <f t="shared" si="8"/>
        <v>112.99184540049384</v>
      </c>
      <c r="F18" s="367">
        <f t="shared" si="8"/>
        <v>110.42707699606534</v>
      </c>
      <c r="G18" s="367">
        <f t="shared" si="8"/>
        <v>179.73532199452927</v>
      </c>
      <c r="H18" s="367">
        <f t="shared" si="8"/>
        <v>167.17125817040071</v>
      </c>
      <c r="I18" s="367">
        <f t="shared" si="8"/>
        <v>176.02166813352804</v>
      </c>
      <c r="J18" s="367">
        <f t="shared" si="8"/>
        <v>188.1067843095293</v>
      </c>
      <c r="K18" s="367">
        <f t="shared" si="8"/>
        <v>197.44861790530672</v>
      </c>
      <c r="L18" s="69"/>
      <c r="N18" s="72"/>
    </row>
    <row r="19" spans="1:31" x14ac:dyDescent="0.3">
      <c r="B19" s="366" t="s">
        <v>523</v>
      </c>
      <c r="C19" s="90"/>
      <c r="D19" s="143">
        <f>D18*1000000/(PROGNOOS!D43*12*TULEMUSED!E122*$D$21)</f>
        <v>2036.7132536966483</v>
      </c>
      <c r="E19" s="143">
        <f>E18*1000000/(PROGNOOS!E43*12*TULEMUSED!F122*$D$21)</f>
        <v>5285.9562842278692</v>
      </c>
      <c r="F19" s="143">
        <f>F18*1000000/(PROGNOOS!F43*12*TULEMUSED!G122*$D$21)</f>
        <v>4404.3840680395833</v>
      </c>
      <c r="G19" s="143">
        <f>G18*1000000/(PROGNOOS!G43*12*TULEMUSED!H122*$D$21)</f>
        <v>6185.079187019719</v>
      </c>
      <c r="H19" s="143">
        <f>H18*1000000/(PROGNOOS!H43*12*TULEMUSED!I122*$D$21)</f>
        <v>5049.4789144441647</v>
      </c>
      <c r="I19" s="143">
        <f>I18*1000000/(PROGNOOS!I43*12*TULEMUSED!J122*$D$21)</f>
        <v>4807.6351608594277</v>
      </c>
      <c r="J19" s="143">
        <f>J18*1000000/(PROGNOOS!J43*12*TULEMUSED!K122*$D$21)</f>
        <v>4724.3329214731266</v>
      </c>
      <c r="K19" s="143">
        <f>K18*1000000/(PROGNOOS!K43*12*TULEMUSED!L122*$D$21)</f>
        <v>4528.2498955801639</v>
      </c>
      <c r="L19" s="69" t="s">
        <v>528</v>
      </c>
      <c r="N19" s="72"/>
    </row>
    <row r="20" spans="1:31" x14ac:dyDescent="0.3">
      <c r="B20" s="442" t="s">
        <v>291</v>
      </c>
      <c r="C20" s="90"/>
      <c r="D20" s="729">
        <f>D14*1000000/D19</f>
        <v>34978.102784871182</v>
      </c>
      <c r="E20" s="729">
        <f t="shared" ref="E20:K20" si="9">E14*1000000/E19</f>
        <v>53058.305901544787</v>
      </c>
      <c r="F20" s="729">
        <f t="shared" si="9"/>
        <v>63691.202893553447</v>
      </c>
      <c r="G20" s="729">
        <f t="shared" si="9"/>
        <v>76248.555012668658</v>
      </c>
      <c r="H20" s="729">
        <f t="shared" si="9"/>
        <v>94959.580621238667</v>
      </c>
      <c r="I20" s="729">
        <f t="shared" si="9"/>
        <v>106787.03137411427</v>
      </c>
      <c r="J20" s="729">
        <f t="shared" si="9"/>
        <v>117356.21561270763</v>
      </c>
      <c r="K20" s="729">
        <f t="shared" si="9"/>
        <v>130137.43919762109</v>
      </c>
      <c r="L20" s="69"/>
      <c r="N20" s="72"/>
    </row>
    <row r="21" spans="1:31" x14ac:dyDescent="0.3">
      <c r="B21" s="976" t="s">
        <v>795</v>
      </c>
      <c r="C21" s="940"/>
      <c r="D21" s="941">
        <v>1.2</v>
      </c>
      <c r="L21" s="69"/>
      <c r="N21" s="72"/>
    </row>
    <row r="22" spans="1:31" x14ac:dyDescent="0.3">
      <c r="B22" s="68"/>
      <c r="D22" s="68"/>
      <c r="L22" s="69"/>
      <c r="N22" s="72"/>
    </row>
    <row r="23" spans="1:31" x14ac:dyDescent="0.3">
      <c r="B23" s="444" t="s">
        <v>694</v>
      </c>
      <c r="D23" s="645" t="s">
        <v>208</v>
      </c>
      <c r="L23" s="69"/>
      <c r="N23" s="1164">
        <v>2015</v>
      </c>
      <c r="O23" s="91">
        <v>2016</v>
      </c>
      <c r="P23" s="1164">
        <v>2017</v>
      </c>
      <c r="Q23" s="91">
        <v>2018</v>
      </c>
      <c r="R23" s="1164">
        <v>2019</v>
      </c>
      <c r="S23" s="91">
        <v>2020</v>
      </c>
      <c r="T23" s="1164">
        <v>2021</v>
      </c>
      <c r="U23" s="91">
        <v>2022</v>
      </c>
      <c r="V23" s="1164">
        <v>2023</v>
      </c>
      <c r="W23" s="91">
        <v>2024</v>
      </c>
      <c r="X23" s="1164">
        <v>2025</v>
      </c>
      <c r="Y23" s="91">
        <v>2026</v>
      </c>
      <c r="Z23" s="1164">
        <v>2027</v>
      </c>
      <c r="AA23" s="91">
        <v>2028</v>
      </c>
      <c r="AB23" s="1164">
        <v>2029</v>
      </c>
      <c r="AC23" s="91">
        <v>2030</v>
      </c>
    </row>
    <row r="24" spans="1:31" x14ac:dyDescent="0.3">
      <c r="B24" s="366" t="s">
        <v>364</v>
      </c>
      <c r="D24" s="367">
        <f>D9</f>
        <v>-15.360997874935169</v>
      </c>
      <c r="E24" s="367">
        <f t="shared" ref="E24:K24" si="10">E9</f>
        <v>-48.235957831702187</v>
      </c>
      <c r="F24" s="367">
        <f t="shared" si="10"/>
        <v>-14.098779550267528</v>
      </c>
      <c r="G24" s="367">
        <f t="shared" si="10"/>
        <v>-63.89877955026752</v>
      </c>
      <c r="H24" s="367">
        <f t="shared" si="10"/>
        <v>0</v>
      </c>
      <c r="I24" s="367">
        <f t="shared" si="10"/>
        <v>0</v>
      </c>
      <c r="J24" s="367">
        <f t="shared" si="10"/>
        <v>0</v>
      </c>
      <c r="K24" s="367">
        <f t="shared" si="10"/>
        <v>0</v>
      </c>
      <c r="L24" s="69"/>
      <c r="M24" s="68">
        <v>20</v>
      </c>
      <c r="N24" s="1165">
        <f>HLOOKUP(N$23,$B$5:$K$27,$M24,FALSE)</f>
        <v>-15.360997874935169</v>
      </c>
      <c r="O24" s="1165">
        <f>($S24-$N24)/5+N24</f>
        <v>-21.935989866288573</v>
      </c>
      <c r="P24" s="1165">
        <f t="shared" ref="P24:R24" si="11">($S24-$N24)/5+O24</f>
        <v>-28.510981857641976</v>
      </c>
      <c r="Q24" s="1165">
        <f t="shared" si="11"/>
        <v>-35.08597384899538</v>
      </c>
      <c r="R24" s="1165">
        <f t="shared" si="11"/>
        <v>-41.66096584034878</v>
      </c>
      <c r="S24" s="1165">
        <f>HLOOKUP(S$23,$B$5:$K$27,$M24,FALSE)</f>
        <v>-48.235957831702187</v>
      </c>
      <c r="T24" s="1165">
        <f>($X24-$S24)/5+S24</f>
        <v>-41.408522175415257</v>
      </c>
      <c r="U24" s="1165">
        <f t="shared" ref="U24:W24" si="12">($X24-$S24)/5+T24</f>
        <v>-34.581086519128327</v>
      </c>
      <c r="V24" s="1165">
        <f t="shared" si="12"/>
        <v>-27.753650862841397</v>
      </c>
      <c r="W24" s="1165">
        <f t="shared" si="12"/>
        <v>-20.926215206554467</v>
      </c>
      <c r="X24" s="1165">
        <f>HLOOKUP(X$23,$B$5:$K$27,$M24,FALSE)</f>
        <v>-14.098779550267528</v>
      </c>
      <c r="Y24" s="1165">
        <f>($AC24-$X24)/5+X24</f>
        <v>-24.058779550267523</v>
      </c>
      <c r="Z24" s="1165">
        <f t="shared" ref="Z24:AB24" si="13">($AC24-$X24)/5+Y24</f>
        <v>-34.018779550267524</v>
      </c>
      <c r="AA24" s="1165">
        <f t="shared" si="13"/>
        <v>-43.978779550267518</v>
      </c>
      <c r="AB24" s="1165">
        <f t="shared" si="13"/>
        <v>-53.938779550267512</v>
      </c>
      <c r="AC24" s="1165">
        <f>HLOOKUP(AC$23,$B$5:$K$27,$M24,FALSE)</f>
        <v>-63.89877955026752</v>
      </c>
      <c r="AD24" s="1166">
        <f>SUM(N24:AC24)</f>
        <v>-549.45301918545658</v>
      </c>
      <c r="AE24" s="1166"/>
    </row>
    <row r="25" spans="1:31" x14ac:dyDescent="0.3">
      <c r="B25" s="366" t="s">
        <v>110</v>
      </c>
      <c r="D25" s="367">
        <f>D10+D13</f>
        <v>9.552460550090272</v>
      </c>
      <c r="E25" s="367">
        <f>E10+E13</f>
        <v>37.60677225745772</v>
      </c>
      <c r="F25" s="367">
        <f t="shared" ref="F25:K25" si="14">F10+F13</f>
        <v>37.614366154829952</v>
      </c>
      <c r="G25" s="367">
        <f t="shared" si="14"/>
        <v>63.236233682706192</v>
      </c>
      <c r="H25" s="367">
        <f t="shared" si="14"/>
        <v>64.294594945503846</v>
      </c>
      <c r="I25" s="367">
        <f t="shared" si="14"/>
        <v>68.839725503698048</v>
      </c>
      <c r="J25" s="367">
        <f t="shared" si="14"/>
        <v>74.342250599731216</v>
      </c>
      <c r="K25" s="367">
        <f t="shared" si="14"/>
        <v>79.017221790473712</v>
      </c>
      <c r="L25" s="69"/>
      <c r="M25" s="68">
        <v>21</v>
      </c>
      <c r="N25" s="1165">
        <f t="shared" ref="N25:N27" si="15">HLOOKUP(N$23,$B$5:$K$27,$M25,FALSE)</f>
        <v>9.552460550090272</v>
      </c>
      <c r="O25" s="1165">
        <f t="shared" ref="O25:R26" si="16">($S25-$N25)/5+N25</f>
        <v>15.163322891563762</v>
      </c>
      <c r="P25" s="1165">
        <f t="shared" si="16"/>
        <v>20.774185233037251</v>
      </c>
      <c r="Q25" s="1165">
        <f t="shared" si="16"/>
        <v>26.38504757451074</v>
      </c>
      <c r="R25" s="1165">
        <f t="shared" si="16"/>
        <v>31.995909915984228</v>
      </c>
      <c r="S25" s="1165">
        <f t="shared" ref="S25:S27" si="17">HLOOKUP(S$23,$B$5:$K$27,$M25,FALSE)</f>
        <v>37.60677225745772</v>
      </c>
      <c r="T25" s="1165">
        <f t="shared" ref="T25:W26" si="18">($X25-$S25)/5+S25</f>
        <v>37.608291036932165</v>
      </c>
      <c r="U25" s="1165">
        <f t="shared" si="18"/>
        <v>37.60980981640661</v>
      </c>
      <c r="V25" s="1165">
        <f t="shared" si="18"/>
        <v>37.611328595881055</v>
      </c>
      <c r="W25" s="1165">
        <f t="shared" si="18"/>
        <v>37.6128473753555</v>
      </c>
      <c r="X25" s="1165">
        <f t="shared" ref="X25:X27" si="19">HLOOKUP(X$23,$B$5:$K$27,$M25,FALSE)</f>
        <v>37.614366154829952</v>
      </c>
      <c r="Y25" s="1165">
        <f t="shared" ref="Y25:AB26" si="20">($AC25-$X25)/5+X25</f>
        <v>42.738739660405201</v>
      </c>
      <c r="Z25" s="1165">
        <f t="shared" si="20"/>
        <v>47.863113165980451</v>
      </c>
      <c r="AA25" s="1165">
        <f t="shared" si="20"/>
        <v>52.9874866715557</v>
      </c>
      <c r="AB25" s="1165">
        <f t="shared" si="20"/>
        <v>58.11186017713095</v>
      </c>
      <c r="AC25" s="1165">
        <f t="shared" ref="AC25:AC27" si="21">HLOOKUP(AC$23,$B$5:$K$27,$M25,FALSE)</f>
        <v>63.236233682706192</v>
      </c>
      <c r="AD25" s="1166">
        <f t="shared" ref="AD25:AD26" si="22">SUM(N25:AC25)</f>
        <v>594.47177475982767</v>
      </c>
      <c r="AE25" s="1166"/>
    </row>
    <row r="26" spans="1:31" x14ac:dyDescent="0.3">
      <c r="B26" s="366" t="s">
        <v>695</v>
      </c>
      <c r="D26" s="367">
        <f t="shared" ref="D26:K26" si="23">D18*$D$85</f>
        <v>14.182479428287065</v>
      </c>
      <c r="E26" s="367">
        <f t="shared" si="23"/>
        <v>43.929859893585942</v>
      </c>
      <c r="F26" s="367">
        <f t="shared" si="23"/>
        <v>42.932709026046012</v>
      </c>
      <c r="G26" s="367">
        <f t="shared" si="23"/>
        <v>69.878914581509406</v>
      </c>
      <c r="H26" s="367">
        <f t="shared" si="23"/>
        <v>64.994158858370938</v>
      </c>
      <c r="I26" s="367">
        <f t="shared" si="23"/>
        <v>68.435090974338323</v>
      </c>
      <c r="J26" s="367">
        <f t="shared" si="23"/>
        <v>73.133637657310942</v>
      </c>
      <c r="K26" s="367">
        <f t="shared" si="23"/>
        <v>76.765629325002578</v>
      </c>
      <c r="L26" s="69"/>
      <c r="M26" s="68">
        <v>22</v>
      </c>
      <c r="N26" s="1165">
        <f t="shared" si="15"/>
        <v>14.182479428287065</v>
      </c>
      <c r="O26" s="1165">
        <f t="shared" si="16"/>
        <v>20.131955521346839</v>
      </c>
      <c r="P26" s="1165">
        <f t="shared" si="16"/>
        <v>26.081431614406615</v>
      </c>
      <c r="Q26" s="1165">
        <f t="shared" si="16"/>
        <v>32.03090770746639</v>
      </c>
      <c r="R26" s="1165">
        <f t="shared" si="16"/>
        <v>37.980383800526162</v>
      </c>
      <c r="S26" s="1165">
        <f t="shared" si="17"/>
        <v>43.929859893585942</v>
      </c>
      <c r="T26" s="1165">
        <f t="shared" si="18"/>
        <v>43.730429720077957</v>
      </c>
      <c r="U26" s="1165">
        <f t="shared" si="18"/>
        <v>43.530999546569973</v>
      </c>
      <c r="V26" s="1165">
        <f t="shared" si="18"/>
        <v>43.331569373061988</v>
      </c>
      <c r="W26" s="1165">
        <f t="shared" si="18"/>
        <v>43.132139199554004</v>
      </c>
      <c r="X26" s="1165">
        <f t="shared" si="19"/>
        <v>42.932709026046012</v>
      </c>
      <c r="Y26" s="1165">
        <f t="shared" si="20"/>
        <v>48.321950137138693</v>
      </c>
      <c r="Z26" s="1165">
        <f t="shared" si="20"/>
        <v>53.711191248231373</v>
      </c>
      <c r="AA26" s="1165">
        <f t="shared" si="20"/>
        <v>59.100432359324053</v>
      </c>
      <c r="AB26" s="1165">
        <f t="shared" si="20"/>
        <v>64.489673470416733</v>
      </c>
      <c r="AC26" s="1165">
        <f t="shared" si="21"/>
        <v>69.878914581509406</v>
      </c>
      <c r="AD26" s="1166">
        <f t="shared" si="22"/>
        <v>686.49702662754919</v>
      </c>
      <c r="AE26" s="75">
        <f>SUM(AD25:AD26)</f>
        <v>1280.968801387377</v>
      </c>
    </row>
    <row r="27" spans="1:31" x14ac:dyDescent="0.3">
      <c r="B27" s="730" t="s">
        <v>201</v>
      </c>
      <c r="D27" s="728">
        <f>SUM(D24:D26)</f>
        <v>8.3739421034421682</v>
      </c>
      <c r="E27" s="728">
        <f t="shared" ref="E27:K27" si="24">SUM(E24:E26)</f>
        <v>33.300674319341475</v>
      </c>
      <c r="F27" s="728">
        <f t="shared" si="24"/>
        <v>66.448295630608442</v>
      </c>
      <c r="G27" s="728">
        <f t="shared" si="24"/>
        <v>69.216368713948071</v>
      </c>
      <c r="H27" s="728">
        <f t="shared" si="24"/>
        <v>129.28875380387478</v>
      </c>
      <c r="I27" s="728">
        <f t="shared" si="24"/>
        <v>137.27481647803637</v>
      </c>
      <c r="J27" s="728">
        <f t="shared" si="24"/>
        <v>147.47588825704216</v>
      </c>
      <c r="K27" s="728">
        <f t="shared" si="24"/>
        <v>155.78285111547629</v>
      </c>
      <c r="L27" s="69"/>
      <c r="M27" s="68">
        <v>10</v>
      </c>
      <c r="N27" s="1165">
        <f t="shared" si="15"/>
        <v>71.240365531110783</v>
      </c>
      <c r="O27" s="1165">
        <f t="shared" ref="O27" si="25">($S27-$N27)/5+N27</f>
        <v>113.08506952703968</v>
      </c>
      <c r="P27" s="1165">
        <f t="shared" ref="P27" si="26">($S27-$N27)/5+O27</f>
        <v>154.92977352296856</v>
      </c>
      <c r="Q27" s="1165">
        <f t="shared" ref="Q27" si="27">($S27-$N27)/5+P27</f>
        <v>196.77447751889747</v>
      </c>
      <c r="R27" s="1165">
        <f t="shared" ref="R27" si="28">($S27-$N27)/5+Q27</f>
        <v>238.61918151482638</v>
      </c>
      <c r="S27" s="1165">
        <f t="shared" si="17"/>
        <v>280.46388551075529</v>
      </c>
      <c r="T27" s="1165">
        <f t="shared" ref="T27" si="29">($X27-$S27)/5+S27</f>
        <v>280.47521226833294</v>
      </c>
      <c r="U27" s="1165">
        <f t="shared" ref="U27" si="30">($X27-$S27)/5+T27</f>
        <v>280.48653902591059</v>
      </c>
      <c r="V27" s="1165">
        <f t="shared" ref="V27" si="31">($X27-$S27)/5+U27</f>
        <v>280.49786578348824</v>
      </c>
      <c r="W27" s="1165">
        <f t="shared" ref="W27" si="32">($X27-$S27)/5+V27</f>
        <v>280.50919254106589</v>
      </c>
      <c r="X27" s="1165">
        <f t="shared" si="19"/>
        <v>280.52051929864342</v>
      </c>
      <c r="Y27" s="1165">
        <f t="shared" ref="Y27" si="33">($AC27-$X27)/5+X27</f>
        <v>318.73708556875175</v>
      </c>
      <c r="Z27" s="1165">
        <f t="shared" ref="Z27" si="34">($AC27-$X27)/5+Y27</f>
        <v>356.95365183886008</v>
      </c>
      <c r="AA27" s="1165">
        <f t="shared" ref="AA27" si="35">($AC27-$X27)/5+Z27</f>
        <v>395.17021810896841</v>
      </c>
      <c r="AB27" s="1165">
        <f t="shared" ref="AB27" si="36">($AC27-$X27)/5+AA27</f>
        <v>433.38678437907674</v>
      </c>
      <c r="AC27" s="1165">
        <f t="shared" si="21"/>
        <v>471.60335064918502</v>
      </c>
      <c r="AD27" s="1165">
        <f>SUM(N27:AC27)</f>
        <v>4433.4531725878805</v>
      </c>
      <c r="AE27" s="75"/>
    </row>
    <row r="28" spans="1:31" x14ac:dyDescent="0.3">
      <c r="L28" s="69"/>
      <c r="N28" s="72"/>
      <c r="AD28" s="1165"/>
    </row>
    <row r="29" spans="1:31" ht="23.25" customHeight="1" x14ac:dyDescent="0.3">
      <c r="B29" s="634" t="s">
        <v>656</v>
      </c>
      <c r="C29" s="91"/>
      <c r="D29" s="645" t="s">
        <v>208</v>
      </c>
      <c r="L29" s="69"/>
      <c r="N29" s="376" t="s">
        <v>655</v>
      </c>
      <c r="AD29" s="1165"/>
    </row>
    <row r="30" spans="1:31" ht="15" thickBot="1" x14ac:dyDescent="0.35">
      <c r="B30" s="424" t="s">
        <v>210</v>
      </c>
      <c r="C30" s="101"/>
      <c r="D30" s="643">
        <v>2015</v>
      </c>
      <c r="E30" s="426">
        <v>2020</v>
      </c>
      <c r="F30" s="426">
        <v>2025</v>
      </c>
      <c r="G30" s="426">
        <v>2030</v>
      </c>
      <c r="H30" s="426">
        <v>2035</v>
      </c>
      <c r="I30" s="426">
        <v>2040</v>
      </c>
      <c r="J30" s="426">
        <v>2045</v>
      </c>
      <c r="K30" s="426">
        <v>2050</v>
      </c>
      <c r="L30" s="390"/>
      <c r="N30" s="426">
        <v>2015</v>
      </c>
      <c r="O30" s="426">
        <v>2020</v>
      </c>
      <c r="P30" s="426">
        <v>2025</v>
      </c>
      <c r="Q30" s="426">
        <v>2030</v>
      </c>
      <c r="R30" s="426">
        <v>2035</v>
      </c>
      <c r="S30" s="426">
        <v>2040</v>
      </c>
      <c r="T30" s="426">
        <v>2045</v>
      </c>
      <c r="U30" s="426">
        <v>2050</v>
      </c>
    </row>
    <row r="31" spans="1:31" x14ac:dyDescent="0.3">
      <c r="A31" s="93"/>
      <c r="B31" s="661" t="s">
        <v>231</v>
      </c>
      <c r="C31" s="312" t="s">
        <v>7</v>
      </c>
      <c r="D31" s="646">
        <f>TULEMUSED!E92</f>
        <v>3.9899999999999998</v>
      </c>
      <c r="E31" s="646">
        <f>TULEMUSED!F92</f>
        <v>20.615000000000002</v>
      </c>
      <c r="F31" s="646">
        <f>TULEMUSED!G92</f>
        <v>26.6</v>
      </c>
      <c r="G31" s="646">
        <f>TULEMUSED!H92</f>
        <v>34.978999999999999</v>
      </c>
      <c r="H31" s="646">
        <f>TULEMUSED!I92</f>
        <v>39.900000000000006</v>
      </c>
      <c r="I31" s="646">
        <f>TULEMUSED!J92</f>
        <v>43.092000000000006</v>
      </c>
      <c r="J31" s="646">
        <f>TULEMUSED!K92</f>
        <v>46.550000000000004</v>
      </c>
      <c r="K31" s="646">
        <f>TULEMUSED!L92</f>
        <v>49.316400000000002</v>
      </c>
      <c r="L31" s="69"/>
      <c r="N31" s="427">
        <f t="shared" ref="N31:U33" si="37">D31*$S91</f>
        <v>4.889758379644455</v>
      </c>
      <c r="O31" s="427">
        <f t="shared" si="37"/>
        <v>25.263751628163025</v>
      </c>
      <c r="P31" s="427">
        <f t="shared" si="37"/>
        <v>32.598389197629707</v>
      </c>
      <c r="Q31" s="427">
        <f t="shared" si="37"/>
        <v>42.866881794883064</v>
      </c>
      <c r="R31" s="427">
        <f t="shared" si="37"/>
        <v>48.897583796444565</v>
      </c>
      <c r="S31" s="427">
        <f t="shared" si="37"/>
        <v>52.809390500160127</v>
      </c>
      <c r="T31" s="427">
        <f t="shared" si="37"/>
        <v>57.04718109585199</v>
      </c>
      <c r="U31" s="427">
        <f t="shared" si="37"/>
        <v>60.437413572405475</v>
      </c>
    </row>
    <row r="32" spans="1:31" ht="15" customHeight="1" x14ac:dyDescent="0.3">
      <c r="A32" s="93"/>
      <c r="B32" s="662" t="s">
        <v>37</v>
      </c>
      <c r="C32" s="312" t="s">
        <v>7</v>
      </c>
      <c r="D32" s="646">
        <f>TULEMUSED!E93</f>
        <v>0</v>
      </c>
      <c r="E32" s="646">
        <f>TULEMUSED!F93</f>
        <v>0</v>
      </c>
      <c r="F32" s="646">
        <f>TULEMUSED!G93</f>
        <v>0</v>
      </c>
      <c r="G32" s="646">
        <f>TULEMUSED!H93</f>
        <v>0</v>
      </c>
      <c r="H32" s="646">
        <f>TULEMUSED!I93</f>
        <v>0</v>
      </c>
      <c r="I32" s="646">
        <f>TULEMUSED!J93</f>
        <v>0</v>
      </c>
      <c r="J32" s="646">
        <f>TULEMUSED!K93</f>
        <v>0</v>
      </c>
      <c r="K32" s="646">
        <f>TULEMUSED!L93</f>
        <v>0</v>
      </c>
      <c r="L32" s="69"/>
      <c r="N32" s="323">
        <f t="shared" si="37"/>
        <v>0</v>
      </c>
      <c r="O32" s="323">
        <f t="shared" si="37"/>
        <v>0</v>
      </c>
      <c r="P32" s="323">
        <f t="shared" si="37"/>
        <v>0</v>
      </c>
      <c r="Q32" s="323">
        <f t="shared" si="37"/>
        <v>0</v>
      </c>
      <c r="R32" s="323">
        <f t="shared" si="37"/>
        <v>0</v>
      </c>
      <c r="S32" s="323">
        <f t="shared" si="37"/>
        <v>0</v>
      </c>
      <c r="T32" s="323">
        <f t="shared" si="37"/>
        <v>0</v>
      </c>
      <c r="U32" s="323">
        <f t="shared" si="37"/>
        <v>0</v>
      </c>
    </row>
    <row r="33" spans="1:28" ht="15" customHeight="1" x14ac:dyDescent="0.3">
      <c r="A33" s="93"/>
      <c r="B33" s="662" t="s">
        <v>870</v>
      </c>
      <c r="C33" s="312"/>
      <c r="D33" s="646">
        <f>TULEMUSED!E94</f>
        <v>0</v>
      </c>
      <c r="E33" s="646">
        <f>TULEMUSED!F94</f>
        <v>0</v>
      </c>
      <c r="F33" s="646">
        <f>TULEMUSED!G94</f>
        <v>0</v>
      </c>
      <c r="G33" s="646">
        <f>TULEMUSED!H94</f>
        <v>0</v>
      </c>
      <c r="H33" s="646">
        <f>TULEMUSED!I94</f>
        <v>0</v>
      </c>
      <c r="I33" s="646">
        <f>TULEMUSED!J94</f>
        <v>0</v>
      </c>
      <c r="J33" s="646">
        <f>TULEMUSED!K94</f>
        <v>0</v>
      </c>
      <c r="K33" s="646">
        <f>TULEMUSED!L94</f>
        <v>0</v>
      </c>
      <c r="L33" s="69"/>
      <c r="N33" s="323">
        <f t="shared" si="37"/>
        <v>0</v>
      </c>
      <c r="O33" s="323">
        <f t="shared" si="37"/>
        <v>0</v>
      </c>
      <c r="P33" s="323">
        <f t="shared" si="37"/>
        <v>0</v>
      </c>
      <c r="Q33" s="323">
        <f t="shared" si="37"/>
        <v>0</v>
      </c>
      <c r="R33" s="323">
        <f t="shared" si="37"/>
        <v>0</v>
      </c>
      <c r="S33" s="323">
        <f t="shared" si="37"/>
        <v>0</v>
      </c>
      <c r="T33" s="323">
        <f t="shared" si="37"/>
        <v>0</v>
      </c>
      <c r="U33" s="323">
        <f t="shared" si="37"/>
        <v>0</v>
      </c>
    </row>
    <row r="34" spans="1:28" ht="15" customHeight="1" x14ac:dyDescent="0.3">
      <c r="A34" s="93"/>
      <c r="B34" s="662" t="s">
        <v>124</v>
      </c>
      <c r="C34" s="312"/>
      <c r="D34" s="646">
        <f>TULEMUSED!E95</f>
        <v>0</v>
      </c>
      <c r="E34" s="646">
        <f>TULEMUSED!F95</f>
        <v>0</v>
      </c>
      <c r="F34" s="646">
        <f>TULEMUSED!G95</f>
        <v>0</v>
      </c>
      <c r="G34" s="646">
        <f>TULEMUSED!H95</f>
        <v>0</v>
      </c>
      <c r="H34" s="646">
        <f>TULEMUSED!I95</f>
        <v>0</v>
      </c>
      <c r="I34" s="646">
        <f>TULEMUSED!J95</f>
        <v>0</v>
      </c>
      <c r="J34" s="646">
        <f>TULEMUSED!K95</f>
        <v>0</v>
      </c>
      <c r="K34" s="646">
        <f>TULEMUSED!L95</f>
        <v>0</v>
      </c>
      <c r="L34" s="69"/>
      <c r="N34" s="323"/>
      <c r="O34" s="323"/>
      <c r="P34" s="323"/>
      <c r="Q34" s="323"/>
      <c r="R34" s="323"/>
      <c r="S34" s="323"/>
      <c r="T34" s="323"/>
      <c r="U34" s="323"/>
    </row>
    <row r="35" spans="1:28" ht="12.75" customHeight="1" x14ac:dyDescent="0.3">
      <c r="A35" s="93"/>
      <c r="B35" s="662" t="s">
        <v>480</v>
      </c>
      <c r="C35" s="312" t="s">
        <v>7</v>
      </c>
      <c r="D35" s="646">
        <f>TULEMUSED!E96</f>
        <v>19.927708316706074</v>
      </c>
      <c r="E35" s="646">
        <f>TULEMUSED!F96</f>
        <v>56.156978974006158</v>
      </c>
      <c r="F35" s="646">
        <f>TULEMUSED!G96</f>
        <v>60.033246254543961</v>
      </c>
      <c r="G35" s="646">
        <f>TULEMUSED!H96</f>
        <v>93.78327807920148</v>
      </c>
      <c r="H35" s="646">
        <f>TULEMUSED!I96</f>
        <v>72.948553545205471</v>
      </c>
      <c r="I35" s="646">
        <f>TULEMUSED!J96</f>
        <v>75.453419145205473</v>
      </c>
      <c r="J35" s="646">
        <f>TULEMUSED!K96</f>
        <v>79.076516745205467</v>
      </c>
      <c r="K35" s="646">
        <f>TULEMUSED!L96</f>
        <v>81.590462985205477</v>
      </c>
      <c r="L35" s="69"/>
      <c r="N35" s="323">
        <f t="shared" ref="N35:N43" si="38">D35*$S94</f>
        <v>20.634262979527556</v>
      </c>
      <c r="O35" s="323">
        <f t="shared" ref="O35:O43" si="39">E35*$S94</f>
        <v>58.148074724378446</v>
      </c>
      <c r="P35" s="323">
        <f t="shared" ref="P35:P43" si="40">F35*$S94</f>
        <v>62.161778516826161</v>
      </c>
      <c r="Q35" s="323">
        <f t="shared" ref="Q35:Q43" si="41">G35*$S94</f>
        <v>97.108447806118491</v>
      </c>
      <c r="R35" s="323">
        <f t="shared" ref="R35:R43" si="42">H35*$S94</f>
        <v>75.535009540762061</v>
      </c>
      <c r="S35" s="323">
        <f t="shared" ref="S35:S43" si="43">I35*$S94</f>
        <v>78.128687383559566</v>
      </c>
      <c r="T35" s="323">
        <f t="shared" ref="T35:T43" si="44">J35*$S94</f>
        <v>81.880245138759207</v>
      </c>
      <c r="U35" s="323">
        <f t="shared" ref="U35:U43" si="45">K35*$S94</f>
        <v>84.483325583742811</v>
      </c>
    </row>
    <row r="36" spans="1:28" x14ac:dyDescent="0.3">
      <c r="A36" s="93"/>
      <c r="B36" s="662" t="s">
        <v>285</v>
      </c>
      <c r="C36" s="312" t="s">
        <v>7</v>
      </c>
      <c r="D36" s="646">
        <f>TULEMUSED!E97</f>
        <v>2.0249999999999999</v>
      </c>
      <c r="E36" s="646">
        <f>TULEMUSED!F97</f>
        <v>15.981817808219178</v>
      </c>
      <c r="F36" s="646">
        <f>TULEMUSED!G97</f>
        <v>19.019317808219178</v>
      </c>
      <c r="G36" s="646">
        <f>TULEMUSED!H97</f>
        <v>29.894999178082191</v>
      </c>
      <c r="H36" s="646">
        <f>TULEMUSED!I97</f>
        <v>32.39249917808219</v>
      </c>
      <c r="I36" s="646">
        <f>TULEMUSED!J97</f>
        <v>34.012499178082194</v>
      </c>
      <c r="J36" s="646">
        <f>TULEMUSED!K97</f>
        <v>35.76749917808219</v>
      </c>
      <c r="K36" s="646">
        <f>TULEMUSED!L97</f>
        <v>37.171499178082193</v>
      </c>
      <c r="L36" s="69"/>
      <c r="N36" s="323">
        <f t="shared" si="38"/>
        <v>2.2516078059405906</v>
      </c>
      <c r="O36" s="323">
        <f t="shared" si="39"/>
        <v>17.770264558077354</v>
      </c>
      <c r="P36" s="323">
        <f t="shared" si="40"/>
        <v>21.147676266988242</v>
      </c>
      <c r="Q36" s="323">
        <f t="shared" si="41"/>
        <v>33.240401732324649</v>
      </c>
      <c r="R36" s="323">
        <f t="shared" si="42"/>
        <v>36.017384692984706</v>
      </c>
      <c r="S36" s="323">
        <f t="shared" si="43"/>
        <v>37.818670937737181</v>
      </c>
      <c r="T36" s="323">
        <f t="shared" si="44"/>
        <v>39.770064369552358</v>
      </c>
      <c r="U36" s="323">
        <f t="shared" si="45"/>
        <v>41.331179115004502</v>
      </c>
    </row>
    <row r="37" spans="1:28" x14ac:dyDescent="0.3">
      <c r="B37" s="662" t="s">
        <v>315</v>
      </c>
      <c r="C37" s="312" t="s">
        <v>7</v>
      </c>
      <c r="D37" s="646">
        <f>TULEMUSED!E98</f>
        <v>2.4750000000000001</v>
      </c>
      <c r="E37" s="646">
        <f>TULEMUSED!F98</f>
        <v>19.533332876712329</v>
      </c>
      <c r="F37" s="646">
        <f>TULEMUSED!G98</f>
        <v>23.245832876712331</v>
      </c>
      <c r="G37" s="646">
        <f>TULEMUSED!H98</f>
        <v>36.538332328767126</v>
      </c>
      <c r="H37" s="646">
        <f>TULEMUSED!I98</f>
        <v>39.590832328767121</v>
      </c>
      <c r="I37" s="646">
        <f>TULEMUSED!J98</f>
        <v>41.570832328767132</v>
      </c>
      <c r="J37" s="646">
        <f>TULEMUSED!K98</f>
        <v>43.715832328767121</v>
      </c>
      <c r="K37" s="646">
        <f>TULEMUSED!L98</f>
        <v>45.431832328767129</v>
      </c>
      <c r="L37" s="69"/>
      <c r="N37" s="323">
        <f t="shared" si="38"/>
        <v>2.522876934952861</v>
      </c>
      <c r="O37" s="323">
        <f t="shared" si="39"/>
        <v>19.911189889864222</v>
      </c>
      <c r="P37" s="323">
        <f t="shared" si="40"/>
        <v>23.695505292293518</v>
      </c>
      <c r="Q37" s="323">
        <f t="shared" si="41"/>
        <v>37.245137726823856</v>
      </c>
      <c r="R37" s="323">
        <f t="shared" si="42"/>
        <v>40.356685946599043</v>
      </c>
      <c r="S37" s="323">
        <f t="shared" si="43"/>
        <v>42.374987494561346</v>
      </c>
      <c r="T37" s="323">
        <f t="shared" si="44"/>
        <v>44.561480838187144</v>
      </c>
      <c r="U37" s="323">
        <f t="shared" si="45"/>
        <v>46.310675513087801</v>
      </c>
    </row>
    <row r="38" spans="1:28" x14ac:dyDescent="0.3">
      <c r="B38" s="662" t="s">
        <v>38</v>
      </c>
      <c r="C38" s="312" t="s">
        <v>7</v>
      </c>
      <c r="D38" s="646">
        <f>TULEMUSED!E99</f>
        <v>29.844942699021313</v>
      </c>
      <c r="E38" s="646">
        <f>TULEMUSED!F99</f>
        <v>57.415806205870631</v>
      </c>
      <c r="F38" s="646">
        <f>TULEMUSED!G99</f>
        <v>29.69422723700983</v>
      </c>
      <c r="G38" s="646">
        <f>TULEMUSED!H99</f>
        <v>65.810756245229001</v>
      </c>
      <c r="H38" s="646">
        <f>TULEMUSED!I99</f>
        <v>29.896850115068492</v>
      </c>
      <c r="I38" s="646">
        <f>TULEMUSED!J99</f>
        <v>28.771030915068494</v>
      </c>
      <c r="J38" s="646">
        <f>TULEMUSED!K99</f>
        <v>30.280387715068493</v>
      </c>
      <c r="K38" s="646">
        <f>TULEMUSED!L99</f>
        <v>30.334060035068493</v>
      </c>
      <c r="L38" s="69"/>
      <c r="N38" s="323">
        <f t="shared" si="38"/>
        <v>29.950424207600932</v>
      </c>
      <c r="O38" s="323">
        <f t="shared" si="39"/>
        <v>57.618731904739839</v>
      </c>
      <c r="P38" s="323">
        <f t="shared" si="40"/>
        <v>29.799176069267716</v>
      </c>
      <c r="Q38" s="323">
        <f t="shared" si="41"/>
        <v>66.043352364428117</v>
      </c>
      <c r="R38" s="323">
        <f t="shared" si="42"/>
        <v>30.002515080946264</v>
      </c>
      <c r="S38" s="323">
        <f t="shared" si="43"/>
        <v>28.872716878245491</v>
      </c>
      <c r="T38" s="323">
        <f t="shared" si="44"/>
        <v>30.387408224666117</v>
      </c>
      <c r="U38" s="323">
        <f t="shared" si="45"/>
        <v>30.441270239695513</v>
      </c>
      <c r="V38" s="102" t="s">
        <v>111</v>
      </c>
    </row>
    <row r="39" spans="1:28" x14ac:dyDescent="0.3">
      <c r="B39" s="662" t="s">
        <v>481</v>
      </c>
      <c r="C39" s="312" t="s">
        <v>7</v>
      </c>
      <c r="D39" s="646">
        <f>TULEMUSED!E100</f>
        <v>0</v>
      </c>
      <c r="E39" s="646">
        <f>TULEMUSED!F100</f>
        <v>0</v>
      </c>
      <c r="F39" s="646">
        <f>TULEMUSED!G100</f>
        <v>0</v>
      </c>
      <c r="G39" s="646">
        <f>TULEMUSED!H100</f>
        <v>0</v>
      </c>
      <c r="H39" s="646">
        <f>TULEMUSED!I100</f>
        <v>0</v>
      </c>
      <c r="I39" s="646">
        <f>TULEMUSED!J100</f>
        <v>0</v>
      </c>
      <c r="J39" s="646">
        <f>TULEMUSED!K100</f>
        <v>0</v>
      </c>
      <c r="K39" s="646">
        <f>TULEMUSED!L100</f>
        <v>0</v>
      </c>
      <c r="L39" s="69"/>
      <c r="N39" s="323">
        <f t="shared" si="38"/>
        <v>0</v>
      </c>
      <c r="O39" s="323">
        <f t="shared" si="39"/>
        <v>0</v>
      </c>
      <c r="P39" s="323">
        <f t="shared" si="40"/>
        <v>0</v>
      </c>
      <c r="Q39" s="323">
        <f t="shared" si="41"/>
        <v>0</v>
      </c>
      <c r="R39" s="323">
        <f t="shared" si="42"/>
        <v>0</v>
      </c>
      <c r="S39" s="323">
        <f t="shared" si="43"/>
        <v>0</v>
      </c>
      <c r="T39" s="323">
        <f t="shared" si="44"/>
        <v>0</v>
      </c>
      <c r="U39" s="323">
        <f t="shared" si="45"/>
        <v>0</v>
      </c>
    </row>
    <row r="40" spans="1:28" x14ac:dyDescent="0.3">
      <c r="B40" s="662" t="s">
        <v>360</v>
      </c>
      <c r="C40" s="312" t="s">
        <v>7</v>
      </c>
      <c r="D40" s="646">
        <f>TULEMUSED!E101</f>
        <v>0</v>
      </c>
      <c r="E40" s="646">
        <f>TULEMUSED!F101</f>
        <v>0</v>
      </c>
      <c r="F40" s="646">
        <f>TULEMUSED!G101</f>
        <v>0</v>
      </c>
      <c r="G40" s="646">
        <f>TULEMUSED!H101</f>
        <v>0</v>
      </c>
      <c r="H40" s="646">
        <f>TULEMUSED!I101</f>
        <v>0</v>
      </c>
      <c r="I40" s="646">
        <f>TULEMUSED!J101</f>
        <v>0</v>
      </c>
      <c r="J40" s="646">
        <f>TULEMUSED!K101</f>
        <v>0</v>
      </c>
      <c r="K40" s="646">
        <f>TULEMUSED!L101</f>
        <v>0</v>
      </c>
      <c r="L40" s="69"/>
      <c r="N40" s="323">
        <f t="shared" si="38"/>
        <v>0</v>
      </c>
      <c r="O40" s="323">
        <f t="shared" si="39"/>
        <v>0</v>
      </c>
      <c r="P40" s="323">
        <f t="shared" si="40"/>
        <v>0</v>
      </c>
      <c r="Q40" s="323">
        <f t="shared" si="41"/>
        <v>0</v>
      </c>
      <c r="R40" s="323">
        <f t="shared" si="42"/>
        <v>0</v>
      </c>
      <c r="S40" s="323">
        <f t="shared" si="43"/>
        <v>0</v>
      </c>
      <c r="T40" s="323">
        <f t="shared" si="44"/>
        <v>0</v>
      </c>
      <c r="U40" s="323">
        <f t="shared" si="45"/>
        <v>0</v>
      </c>
    </row>
    <row r="41" spans="1:28" x14ac:dyDescent="0.3">
      <c r="B41" s="662" t="s">
        <v>361</v>
      </c>
      <c r="C41" s="312" t="s">
        <v>7</v>
      </c>
      <c r="D41" s="646">
        <f>TULEMUSED!E102</f>
        <v>0</v>
      </c>
      <c r="E41" s="646">
        <f>TULEMUSED!F102</f>
        <v>0</v>
      </c>
      <c r="F41" s="646">
        <f>TULEMUSED!G102</f>
        <v>0</v>
      </c>
      <c r="G41" s="646">
        <f>TULEMUSED!H102</f>
        <v>0</v>
      </c>
      <c r="H41" s="646">
        <f>TULEMUSED!I102</f>
        <v>0</v>
      </c>
      <c r="I41" s="646">
        <f>TULEMUSED!J102</f>
        <v>0</v>
      </c>
      <c r="J41" s="646">
        <f>TULEMUSED!K102</f>
        <v>0</v>
      </c>
      <c r="K41" s="646">
        <f>TULEMUSED!L102</f>
        <v>0</v>
      </c>
      <c r="L41" s="69"/>
      <c r="N41" s="323">
        <f t="shared" si="38"/>
        <v>0</v>
      </c>
      <c r="O41" s="323">
        <f t="shared" si="39"/>
        <v>0</v>
      </c>
      <c r="P41" s="323">
        <f t="shared" si="40"/>
        <v>0</v>
      </c>
      <c r="Q41" s="323">
        <f t="shared" si="41"/>
        <v>0</v>
      </c>
      <c r="R41" s="323">
        <f t="shared" si="42"/>
        <v>0</v>
      </c>
      <c r="S41" s="323">
        <f t="shared" si="43"/>
        <v>0</v>
      </c>
      <c r="T41" s="323">
        <f t="shared" si="44"/>
        <v>0</v>
      </c>
      <c r="U41" s="323">
        <f t="shared" si="45"/>
        <v>0</v>
      </c>
    </row>
    <row r="42" spans="1:28" x14ac:dyDescent="0.3">
      <c r="B42" s="663" t="s">
        <v>362</v>
      </c>
      <c r="C42" s="312" t="s">
        <v>7</v>
      </c>
      <c r="D42" s="646">
        <f>TULEMUSED!E103</f>
        <v>2.31</v>
      </c>
      <c r="E42" s="646">
        <f>TULEMUSED!F103</f>
        <v>12.864178082191783</v>
      </c>
      <c r="F42" s="646">
        <f>TULEMUSED!G103</f>
        <v>16.329178082191781</v>
      </c>
      <c r="G42" s="646">
        <f>TULEMUSED!H103</f>
        <v>22.29519178082192</v>
      </c>
      <c r="H42" s="646">
        <f>TULEMUSED!I103</f>
        <v>25.144191780821924</v>
      </c>
      <c r="I42" s="646">
        <f>TULEMUSED!J103</f>
        <v>26.992191780821923</v>
      </c>
      <c r="J42" s="646">
        <f>TULEMUSED!K103</f>
        <v>28.994191780821922</v>
      </c>
      <c r="K42" s="646">
        <f>TULEMUSED!L103</f>
        <v>30.595791780821923</v>
      </c>
      <c r="L42" s="69"/>
      <c r="N42" s="323">
        <f t="shared" si="38"/>
        <v>2.3176437159065486</v>
      </c>
      <c r="O42" s="323">
        <f t="shared" si="39"/>
        <v>12.906745234846122</v>
      </c>
      <c r="P42" s="323">
        <f t="shared" si="40"/>
        <v>16.383210808705943</v>
      </c>
      <c r="Q42" s="323">
        <f t="shared" si="41"/>
        <v>22.368965855304438</v>
      </c>
      <c r="R42" s="323">
        <f t="shared" si="42"/>
        <v>25.22739310492252</v>
      </c>
      <c r="S42" s="323">
        <f t="shared" si="43"/>
        <v>27.081508077647754</v>
      </c>
      <c r="T42" s="323">
        <f t="shared" si="44"/>
        <v>29.090132631433431</v>
      </c>
      <c r="U42" s="323">
        <f t="shared" si="45"/>
        <v>30.697032274461971</v>
      </c>
    </row>
    <row r="43" spans="1:28" x14ac:dyDescent="0.3">
      <c r="B43" s="662" t="s">
        <v>482</v>
      </c>
      <c r="C43" s="657" t="s">
        <v>7</v>
      </c>
      <c r="D43" s="646">
        <f>TULEMUSED!E104</f>
        <v>0</v>
      </c>
      <c r="E43" s="646">
        <f>TULEMUSED!F104</f>
        <v>0</v>
      </c>
      <c r="F43" s="646">
        <f>TULEMUSED!G104</f>
        <v>0</v>
      </c>
      <c r="G43" s="646">
        <f>TULEMUSED!H104</f>
        <v>0</v>
      </c>
      <c r="H43" s="646">
        <f>TULEMUSED!I104</f>
        <v>0</v>
      </c>
      <c r="I43" s="646">
        <f>TULEMUSED!J104</f>
        <v>0</v>
      </c>
      <c r="J43" s="646">
        <f>TULEMUSED!K104</f>
        <v>0</v>
      </c>
      <c r="K43" s="646">
        <f>TULEMUSED!L104</f>
        <v>0</v>
      </c>
      <c r="L43" s="69"/>
      <c r="N43" s="323">
        <f t="shared" si="38"/>
        <v>0</v>
      </c>
      <c r="O43" s="323">
        <f t="shared" si="39"/>
        <v>0</v>
      </c>
      <c r="P43" s="323">
        <f t="shared" si="40"/>
        <v>0</v>
      </c>
      <c r="Q43" s="323">
        <f t="shared" si="41"/>
        <v>0</v>
      </c>
      <c r="R43" s="323">
        <f t="shared" si="42"/>
        <v>0</v>
      </c>
      <c r="S43" s="323">
        <f t="shared" si="43"/>
        <v>0</v>
      </c>
      <c r="T43" s="323">
        <f t="shared" si="44"/>
        <v>0</v>
      </c>
      <c r="U43" s="323">
        <f t="shared" si="45"/>
        <v>0</v>
      </c>
    </row>
    <row r="44" spans="1:28" hidden="1" x14ac:dyDescent="0.3">
      <c r="B44" s="632"/>
      <c r="C44" s="312" t="s">
        <v>7</v>
      </c>
      <c r="D44" s="647"/>
      <c r="E44" s="129"/>
      <c r="F44" s="129"/>
      <c r="G44" s="129"/>
      <c r="H44" s="129"/>
      <c r="I44" s="129"/>
      <c r="J44" s="129"/>
      <c r="K44" s="129"/>
      <c r="L44" s="69"/>
      <c r="N44" s="98"/>
      <c r="O44" s="98"/>
      <c r="P44" s="98"/>
      <c r="Q44" s="98"/>
      <c r="R44" s="98"/>
      <c r="S44" s="98"/>
      <c r="T44" s="98"/>
      <c r="U44" s="98"/>
      <c r="AB44" s="91"/>
    </row>
    <row r="45" spans="1:28" hidden="1" x14ac:dyDescent="0.3">
      <c r="B45" s="632"/>
      <c r="C45" s="312" t="s">
        <v>7</v>
      </c>
      <c r="D45" s="648"/>
      <c r="E45" s="434"/>
      <c r="F45" s="434"/>
      <c r="G45" s="434"/>
      <c r="H45" s="434"/>
      <c r="I45" s="434"/>
      <c r="J45" s="434"/>
      <c r="K45" s="434"/>
      <c r="L45" s="69"/>
      <c r="N45" s="98"/>
      <c r="O45" s="98"/>
      <c r="P45" s="98"/>
      <c r="Q45" s="98"/>
      <c r="R45" s="98"/>
      <c r="S45" s="98"/>
      <c r="T45" s="98"/>
      <c r="U45" s="98"/>
      <c r="AB45" s="91"/>
    </row>
    <row r="46" spans="1:28" ht="15" thickBot="1" x14ac:dyDescent="0.35">
      <c r="B46" s="664" t="s">
        <v>513</v>
      </c>
      <c r="C46" s="429"/>
      <c r="D46" s="633">
        <f>SUM(D31:D43)</f>
        <v>60.572651015727388</v>
      </c>
      <c r="E46" s="430">
        <f t="shared" ref="E46:K46" si="46">SUM(E31:E43)</f>
        <v>182.56711394700008</v>
      </c>
      <c r="F46" s="430">
        <f t="shared" si="46"/>
        <v>174.9218022586771</v>
      </c>
      <c r="G46" s="430">
        <f t="shared" si="46"/>
        <v>283.30155761210176</v>
      </c>
      <c r="H46" s="430">
        <f t="shared" si="46"/>
        <v>239.87292694794525</v>
      </c>
      <c r="I46" s="430">
        <f t="shared" si="46"/>
        <v>249.8919733479452</v>
      </c>
      <c r="J46" s="430">
        <f t="shared" si="46"/>
        <v>264.38442774794521</v>
      </c>
      <c r="K46" s="430">
        <f t="shared" si="46"/>
        <v>274.44004630794518</v>
      </c>
      <c r="L46" s="69" t="s">
        <v>514</v>
      </c>
    </row>
    <row r="47" spans="1:28" x14ac:dyDescent="0.3">
      <c r="A47" s="631"/>
      <c r="B47" s="665" t="s">
        <v>499</v>
      </c>
      <c r="D47" s="649">
        <f t="shared" ref="D47:K47" si="47">SUM(N31:N45)</f>
        <v>62.566574023572947</v>
      </c>
      <c r="E47" s="427">
        <f t="shared" si="47"/>
        <v>191.618757940069</v>
      </c>
      <c r="F47" s="427">
        <f t="shared" si="47"/>
        <v>185.78573615171126</v>
      </c>
      <c r="G47" s="427">
        <f t="shared" si="47"/>
        <v>298.87318727988264</v>
      </c>
      <c r="H47" s="427">
        <f t="shared" si="47"/>
        <v>256.03657216265918</v>
      </c>
      <c r="I47" s="427">
        <f t="shared" si="47"/>
        <v>267.08596127191146</v>
      </c>
      <c r="J47" s="427">
        <f t="shared" si="47"/>
        <v>282.73651229845029</v>
      </c>
      <c r="K47" s="427">
        <f t="shared" si="47"/>
        <v>293.70089629839805</v>
      </c>
      <c r="L47" s="69" t="s">
        <v>515</v>
      </c>
      <c r="V47" s="91"/>
    </row>
    <row r="48" spans="1:28" x14ac:dyDescent="0.3">
      <c r="A48" s="631"/>
      <c r="B48" s="666" t="s">
        <v>653</v>
      </c>
      <c r="D48" s="650">
        <f t="shared" ref="D48:K48" si="48">SUMPRODUCT(D31:D43,$T91:$T103)</f>
        <v>56.880860248740163</v>
      </c>
      <c r="E48" s="650">
        <f t="shared" si="48"/>
        <v>170.54054563344934</v>
      </c>
      <c r="F48" s="650">
        <f t="shared" si="48"/>
        <v>159.98911135836201</v>
      </c>
      <c r="G48" s="650">
        <f t="shared" si="48"/>
        <v>263.09498776877854</v>
      </c>
      <c r="H48" s="650">
        <f t="shared" si="48"/>
        <v>221.06142239653161</v>
      </c>
      <c r="I48" s="650">
        <f t="shared" si="48"/>
        <v>229.79942116669176</v>
      </c>
      <c r="J48" s="650">
        <f t="shared" si="48"/>
        <v>242.81697781415565</v>
      </c>
      <c r="K48" s="650">
        <f t="shared" si="48"/>
        <v>251.7295022453346</v>
      </c>
      <c r="L48" s="69" t="s">
        <v>516</v>
      </c>
      <c r="V48" s="91"/>
    </row>
    <row r="49" spans="1:30" x14ac:dyDescent="0.3">
      <c r="B49" s="667" t="s">
        <v>238</v>
      </c>
      <c r="D49" s="650">
        <f t="shared" ref="D49:K49" si="49">SUMPRODUCT($R79:$R81,D65:D67)+SUMPRODUCT($R79:$R81,D60:D62)</f>
        <v>56.210959673655033</v>
      </c>
      <c r="E49" s="428">
        <f t="shared" si="49"/>
        <v>212.35780376431526</v>
      </c>
      <c r="F49" s="428">
        <f t="shared" si="49"/>
        <v>196.57812075277477</v>
      </c>
      <c r="G49" s="428">
        <f t="shared" si="49"/>
        <v>351.30734390320038</v>
      </c>
      <c r="H49" s="428">
        <f t="shared" si="49"/>
        <v>337.42913887179759</v>
      </c>
      <c r="I49" s="428">
        <f t="shared" si="49"/>
        <v>362.27149717070438</v>
      </c>
      <c r="J49" s="428">
        <f t="shared" si="49"/>
        <v>392.5656420981461</v>
      </c>
      <c r="K49" s="428">
        <f t="shared" si="49"/>
        <v>418.69501596132</v>
      </c>
      <c r="L49" s="69"/>
      <c r="V49" s="91"/>
    </row>
    <row r="50" spans="1:30" ht="15" thickBot="1" x14ac:dyDescent="0.35">
      <c r="B50" s="668" t="s">
        <v>265</v>
      </c>
      <c r="C50" s="429"/>
      <c r="D50" s="633">
        <f t="shared" ref="D50:J50" si="50">SUM(D47:D49)</f>
        <v>175.65839394596813</v>
      </c>
      <c r="E50" s="430">
        <f t="shared" si="50"/>
        <v>574.51710733783364</v>
      </c>
      <c r="F50" s="430">
        <f t="shared" si="50"/>
        <v>542.35296826284809</v>
      </c>
      <c r="G50" s="430">
        <f t="shared" si="50"/>
        <v>913.2755189518615</v>
      </c>
      <c r="H50" s="430">
        <f t="shared" si="50"/>
        <v>814.52713343098844</v>
      </c>
      <c r="I50" s="430">
        <f t="shared" si="50"/>
        <v>859.15687960930757</v>
      </c>
      <c r="J50" s="430">
        <f t="shared" si="50"/>
        <v>918.11913221075201</v>
      </c>
      <c r="K50" s="430">
        <f>SUM(K47:K49)</f>
        <v>964.12541450505262</v>
      </c>
      <c r="L50" s="69"/>
      <c r="V50" s="91"/>
    </row>
    <row r="51" spans="1:30" ht="15.75" customHeight="1" x14ac:dyDescent="0.3">
      <c r="L51" s="69"/>
    </row>
    <row r="52" spans="1:30" x14ac:dyDescent="0.3">
      <c r="B52" s="634" t="s">
        <v>676</v>
      </c>
      <c r="C52" s="69"/>
      <c r="E52" s="651" t="s">
        <v>208</v>
      </c>
      <c r="N52" s="72"/>
    </row>
    <row r="53" spans="1:30" ht="15" thickBot="1" x14ac:dyDescent="0.35">
      <c r="B53" s="669"/>
      <c r="C53" s="432"/>
      <c r="D53" s="433">
        <v>2015</v>
      </c>
      <c r="E53" s="433">
        <v>2020</v>
      </c>
      <c r="F53" s="433">
        <v>2025</v>
      </c>
      <c r="G53" s="433">
        <v>2030</v>
      </c>
      <c r="H53" s="433">
        <v>2035</v>
      </c>
      <c r="I53" s="433">
        <v>2040</v>
      </c>
      <c r="J53" s="433">
        <v>2045</v>
      </c>
      <c r="K53" s="433">
        <v>2050</v>
      </c>
      <c r="L53" s="69"/>
      <c r="N53" s="72"/>
    </row>
    <row r="54" spans="1:30" x14ac:dyDescent="0.3">
      <c r="B54" s="670" t="s">
        <v>782</v>
      </c>
      <c r="C54" s="69"/>
      <c r="D54" s="366"/>
      <c r="E54" s="366"/>
      <c r="F54" s="366"/>
      <c r="G54" s="366"/>
      <c r="H54" s="366"/>
      <c r="I54" s="366"/>
      <c r="J54" s="366"/>
      <c r="K54" s="185"/>
      <c r="L54" s="69"/>
      <c r="N54" s="72"/>
    </row>
    <row r="55" spans="1:30" ht="15" thickBot="1" x14ac:dyDescent="0.35">
      <c r="B55" s="701" t="s">
        <v>18</v>
      </c>
      <c r="C55" s="432"/>
      <c r="D55" s="702">
        <f t="shared" ref="D55:K55" si="51">SUMPRODUCT($V91:$V103,D31:D43)</f>
        <v>24.658667150571077</v>
      </c>
      <c r="E55" s="702">
        <f t="shared" si="51"/>
        <v>68.63989001119036</v>
      </c>
      <c r="F55" s="702">
        <f t="shared" si="51"/>
        <v>62.774429600507879</v>
      </c>
      <c r="G55" s="702">
        <f t="shared" si="51"/>
        <v>103.92352992910571</v>
      </c>
      <c r="H55" s="702">
        <f t="shared" si="51"/>
        <v>82.9428250156042</v>
      </c>
      <c r="I55" s="702">
        <f t="shared" si="51"/>
        <v>85.947286191620663</v>
      </c>
      <c r="J55" s="702">
        <f t="shared" si="51"/>
        <v>90.785014394554736</v>
      </c>
      <c r="K55" s="702">
        <f t="shared" si="51"/>
        <v>93.985952120634821</v>
      </c>
      <c r="L55" s="69"/>
      <c r="N55" s="72"/>
    </row>
    <row r="56" spans="1:30" ht="15" thickBot="1" x14ac:dyDescent="0.35">
      <c r="A56" s="89"/>
      <c r="B56" s="703" t="s">
        <v>204</v>
      </c>
      <c r="C56" s="432"/>
      <c r="D56" s="704">
        <f>SUMPRODUCT(D31:D43,$W91:$W103)+TULEMUSED!E105</f>
        <v>22.224148994093774</v>
      </c>
      <c r="E56" s="704">
        <f>SUMPRODUCT(E31:E43,$W91:$W103)+TULEMUSED!F105</f>
        <v>103.15757752444796</v>
      </c>
      <c r="F56" s="704">
        <f>SUMPRODUCT(F31:F43,$W91:$W103)+TULEMUSED!G105</f>
        <v>66.98584465872365</v>
      </c>
      <c r="G56" s="704">
        <f>SUMPRODUCT(G31:G43,$W91:$W103)+TULEMUSED!H105</f>
        <v>166.92241871137378</v>
      </c>
      <c r="H56" s="704">
        <f>SUMPRODUCT(H31:H43,$W91:$W103)+TULEMUSED!I105</f>
        <v>122.34432154007354</v>
      </c>
      <c r="I56" s="704">
        <f>SUMPRODUCT(I31:I43,$W91:$W103)+TULEMUSED!J105</f>
        <v>135.17664235044759</v>
      </c>
      <c r="J56" s="704">
        <f>SUMPRODUCT(J31:J43,$W91:$W103)+TULEMUSED!K105</f>
        <v>149.44754626378008</v>
      </c>
      <c r="K56" s="704">
        <f>SUMPRODUCT(K31:K43,$W91:$W103)+TULEMUSED!L105</f>
        <v>162.94980686860907</v>
      </c>
      <c r="L56" s="69"/>
      <c r="N56" s="72"/>
    </row>
    <row r="57" spans="1:30" ht="15" thickBot="1" x14ac:dyDescent="0.35">
      <c r="A57" s="89"/>
      <c r="B57" s="703" t="s">
        <v>110</v>
      </c>
      <c r="C57" s="432"/>
      <c r="D57" s="704">
        <f t="shared" ref="D57:K57" si="52">D7*$D$84</f>
        <v>6.4607250468556252</v>
      </c>
      <c r="E57" s="704">
        <f t="shared" si="52"/>
        <v>19.629291026622596</v>
      </c>
      <c r="F57" s="704">
        <f t="shared" si="52"/>
        <v>18.74103215349788</v>
      </c>
      <c r="G57" s="704">
        <f t="shared" si="52"/>
        <v>30.538057489366459</v>
      </c>
      <c r="H57" s="704">
        <f t="shared" si="52"/>
        <v>25.882234316804585</v>
      </c>
      <c r="I57" s="704">
        <f t="shared" si="52"/>
        <v>26.937170147152901</v>
      </c>
      <c r="J57" s="704">
        <f t="shared" si="52"/>
        <v>28.471020608778311</v>
      </c>
      <c r="K57" s="704">
        <f t="shared" si="52"/>
        <v>29.532785588100189</v>
      </c>
      <c r="L57" s="69"/>
      <c r="N57" s="72"/>
    </row>
    <row r="58" spans="1:30" ht="15" thickBot="1" x14ac:dyDescent="0.35">
      <c r="B58" s="705" t="s">
        <v>396</v>
      </c>
      <c r="C58" s="432"/>
      <c r="D58" s="706">
        <f>TULEMUSED!E109</f>
        <v>0</v>
      </c>
      <c r="E58" s="707">
        <f>TULEMUSED!F109</f>
        <v>0</v>
      </c>
      <c r="F58" s="707">
        <f>TULEMUSED!G109</f>
        <v>0</v>
      </c>
      <c r="G58" s="707">
        <f>TULEMUSED!H109</f>
        <v>0</v>
      </c>
      <c r="H58" s="707">
        <f>TULEMUSED!I109</f>
        <v>0</v>
      </c>
      <c r="I58" s="707">
        <f>TULEMUSED!J109</f>
        <v>0</v>
      </c>
      <c r="J58" s="707">
        <f>TULEMUSED!K109</f>
        <v>0</v>
      </c>
      <c r="K58" s="707">
        <f>TULEMUSED!L109</f>
        <v>0</v>
      </c>
      <c r="N58" s="69"/>
    </row>
    <row r="59" spans="1:30" ht="15" thickBot="1" x14ac:dyDescent="0.35">
      <c r="B59" s="670" t="s">
        <v>652</v>
      </c>
      <c r="C59" s="432"/>
      <c r="D59" s="366"/>
      <c r="E59" s="366"/>
      <c r="F59" s="366"/>
      <c r="G59" s="366"/>
      <c r="H59" s="366"/>
      <c r="I59" s="366"/>
      <c r="J59" s="366"/>
      <c r="K59" s="185"/>
      <c r="L59" s="69"/>
      <c r="N59" s="72"/>
    </row>
    <row r="60" spans="1:30" ht="13.5" customHeight="1" x14ac:dyDescent="0.3">
      <c r="B60" s="676" t="s">
        <v>219</v>
      </c>
      <c r="C60" s="69"/>
      <c r="D60" s="185">
        <f t="shared" ref="D60:K60" si="53">SUMPRODUCT(D55:D57,$D79:$D81)+D58</f>
        <v>19.057207026400967</v>
      </c>
      <c r="E60" s="185">
        <f t="shared" si="53"/>
        <v>57.7860622914245</v>
      </c>
      <c r="F60" s="185">
        <f t="shared" si="53"/>
        <v>50.23992168108132</v>
      </c>
      <c r="G60" s="185">
        <f t="shared" si="53"/>
        <v>88.832922138496713</v>
      </c>
      <c r="H60" s="185">
        <f t="shared" si="53"/>
        <v>70.199430192682698</v>
      </c>
      <c r="I60" s="185">
        <f t="shared" si="53"/>
        <v>73.644831027874147</v>
      </c>
      <c r="J60" s="185">
        <f t="shared" si="53"/>
        <v>78.484540463040673</v>
      </c>
      <c r="K60" s="185">
        <f t="shared" si="53"/>
        <v>82.120176813811</v>
      </c>
      <c r="N60" s="391" t="s">
        <v>400</v>
      </c>
    </row>
    <row r="61" spans="1:30" x14ac:dyDescent="0.3">
      <c r="B61" s="676" t="s">
        <v>228</v>
      </c>
      <c r="C61" s="92"/>
      <c r="D61" s="185">
        <f t="shared" ref="D61:K61" si="54">SUMPRODUCT(D55:D57,$E79:$E81)</f>
        <v>8.5642285622889887</v>
      </c>
      <c r="E61" s="185">
        <f t="shared" si="54"/>
        <v>25.767912899877174</v>
      </c>
      <c r="F61" s="185">
        <f t="shared" si="54"/>
        <v>23.221098113452602</v>
      </c>
      <c r="G61" s="185">
        <f t="shared" si="54"/>
        <v>39.709067985856414</v>
      </c>
      <c r="H61" s="185">
        <f t="shared" si="54"/>
        <v>32.14868382595273</v>
      </c>
      <c r="I61" s="185">
        <f t="shared" si="54"/>
        <v>33.597676510578722</v>
      </c>
      <c r="J61" s="185">
        <f t="shared" si="54"/>
        <v>35.676928282875323</v>
      </c>
      <c r="K61" s="185">
        <f t="shared" si="54"/>
        <v>37.185266798168414</v>
      </c>
      <c r="L61" s="69"/>
      <c r="N61" s="69"/>
      <c r="AD61" s="169"/>
    </row>
    <row r="62" spans="1:30" x14ac:dyDescent="0.3">
      <c r="B62" s="676" t="s">
        <v>171</v>
      </c>
      <c r="C62" s="69"/>
      <c r="D62" s="185">
        <f t="shared" ref="D62:K62" si="55">SUMPRODUCT(D55:D57,$F79:$F81)</f>
        <v>20.890171061743853</v>
      </c>
      <c r="E62" s="185">
        <f t="shared" si="55"/>
        <v>88.968229615593856</v>
      </c>
      <c r="F62" s="185">
        <f t="shared" si="55"/>
        <v>61.183267334005507</v>
      </c>
      <c r="G62" s="185">
        <f t="shared" si="55"/>
        <v>142.76377099765929</v>
      </c>
      <c r="H62" s="185">
        <f t="shared" si="55"/>
        <v>106.06485723009983</v>
      </c>
      <c r="I62" s="185">
        <f t="shared" si="55"/>
        <v>116.14924200172531</v>
      </c>
      <c r="J62" s="185">
        <f t="shared" si="55"/>
        <v>127.6281298666551</v>
      </c>
      <c r="K62" s="185">
        <f t="shared" si="55"/>
        <v>138.23878214159618</v>
      </c>
      <c r="L62" s="69"/>
      <c r="N62" s="69"/>
      <c r="O62" s="74"/>
      <c r="AD62" s="169"/>
    </row>
    <row r="63" spans="1:30" x14ac:dyDescent="0.3">
      <c r="B63" s="69" t="s">
        <v>677</v>
      </c>
      <c r="E63" s="100"/>
      <c r="F63" s="100"/>
      <c r="G63" s="100"/>
      <c r="H63" s="100"/>
      <c r="I63" s="100"/>
      <c r="J63" s="100"/>
      <c r="K63" s="100"/>
      <c r="L63" s="69"/>
      <c r="N63" s="69"/>
      <c r="O63" s="74"/>
    </row>
    <row r="64" spans="1:30" ht="21" customHeight="1" x14ac:dyDescent="0.3">
      <c r="B64" s="634" t="s">
        <v>679</v>
      </c>
      <c r="D64" s="68"/>
      <c r="E64" s="651" t="s">
        <v>208</v>
      </c>
    </row>
    <row r="65" spans="2:22" x14ac:dyDescent="0.3">
      <c r="B65" s="635" t="s">
        <v>219</v>
      </c>
      <c r="C65" s="69"/>
      <c r="D65" s="185">
        <f t="shared" ref="D65:K65" si="56">(D$9+D10)*$U79</f>
        <v>-4.3402383884556714</v>
      </c>
      <c r="E65" s="185">
        <f t="shared" si="56"/>
        <v>-13.629033581645906</v>
      </c>
      <c r="F65" s="185">
        <f t="shared" si="56"/>
        <v>-3.9835995508008732</v>
      </c>
      <c r="G65" s="185">
        <f t="shared" si="56"/>
        <v>-18.054552069958397</v>
      </c>
      <c r="H65" s="185">
        <f t="shared" si="56"/>
        <v>0</v>
      </c>
      <c r="I65" s="185">
        <f t="shared" si="56"/>
        <v>0</v>
      </c>
      <c r="J65" s="185">
        <f t="shared" si="56"/>
        <v>0</v>
      </c>
      <c r="K65" s="185">
        <f t="shared" si="56"/>
        <v>0</v>
      </c>
      <c r="L65" s="69"/>
    </row>
    <row r="66" spans="2:22" x14ac:dyDescent="0.3">
      <c r="B66" s="635" t="s">
        <v>228</v>
      </c>
      <c r="C66" s="69"/>
      <c r="D66" s="185">
        <f t="shared" ref="D66:K66" si="57">(D$9+D10)*$U80</f>
        <v>-7.6249624224161847</v>
      </c>
      <c r="E66" s="185">
        <f t="shared" si="57"/>
        <v>-23.943585492979125</v>
      </c>
      <c r="F66" s="185">
        <f t="shared" si="57"/>
        <v>-6.9984167140686733</v>
      </c>
      <c r="G66" s="185">
        <f t="shared" si="57"/>
        <v>-31.718368616147078</v>
      </c>
      <c r="H66" s="185">
        <f t="shared" si="57"/>
        <v>0</v>
      </c>
      <c r="I66" s="185">
        <f t="shared" si="57"/>
        <v>0</v>
      </c>
      <c r="J66" s="185">
        <f t="shared" si="57"/>
        <v>0</v>
      </c>
      <c r="K66" s="185">
        <f t="shared" si="57"/>
        <v>0</v>
      </c>
    </row>
    <row r="67" spans="2:22" x14ac:dyDescent="0.3">
      <c r="B67" s="635" t="s">
        <v>171</v>
      </c>
      <c r="C67" s="69"/>
      <c r="D67" s="185">
        <f t="shared" ref="D67:K67" si="58">(D$9+D10)*$U81</f>
        <v>-1.9135611539653963</v>
      </c>
      <c r="E67" s="185">
        <f t="shared" si="58"/>
        <v>-6.0088840505387928</v>
      </c>
      <c r="F67" s="185">
        <f t="shared" si="58"/>
        <v>-1.7563231949752174</v>
      </c>
      <c r="G67" s="185">
        <f t="shared" si="58"/>
        <v>-7.9600442190482648</v>
      </c>
      <c r="H67" s="185">
        <f t="shared" si="58"/>
        <v>0</v>
      </c>
      <c r="I67" s="185">
        <f t="shared" si="58"/>
        <v>0</v>
      </c>
      <c r="J67" s="185">
        <f t="shared" si="58"/>
        <v>0</v>
      </c>
      <c r="K67" s="185">
        <f t="shared" si="58"/>
        <v>0</v>
      </c>
      <c r="L67" s="69"/>
    </row>
    <row r="68" spans="2:22" x14ac:dyDescent="0.3">
      <c r="B68" s="69" t="s">
        <v>678</v>
      </c>
      <c r="L68" s="69"/>
    </row>
    <row r="69" spans="2:22" ht="18" customHeight="1" x14ac:dyDescent="0.3">
      <c r="B69" s="634" t="s">
        <v>469</v>
      </c>
      <c r="C69" s="69"/>
      <c r="D69" s="651" t="s">
        <v>208</v>
      </c>
      <c r="E69" s="128"/>
      <c r="F69" s="128"/>
      <c r="G69" s="128"/>
      <c r="H69" s="128"/>
      <c r="I69" s="128"/>
      <c r="J69" s="128"/>
      <c r="K69" s="128"/>
      <c r="N69" s="69"/>
      <c r="O69" s="75"/>
    </row>
    <row r="70" spans="2:22" x14ac:dyDescent="0.3">
      <c r="B70" s="635" t="s">
        <v>473</v>
      </c>
      <c r="C70" s="69"/>
      <c r="D70" s="185">
        <f>TULEMUSED!E107</f>
        <v>-67.851829318842121</v>
      </c>
      <c r="E70" s="185">
        <f>TULEMUSED!F107</f>
        <v>4.7586588144570641</v>
      </c>
      <c r="F70" s="185">
        <f>TULEMUSED!G107</f>
        <v>84.111649329905205</v>
      </c>
      <c r="G70" s="185">
        <f>TULEMUSED!H107</f>
        <v>72.546872528803263</v>
      </c>
      <c r="H70" s="185">
        <f>TULEMUSED!I107</f>
        <v>239.4421549322571</v>
      </c>
      <c r="I70" s="185">
        <f>TULEMUSED!J107</f>
        <v>293.93105258034319</v>
      </c>
      <c r="J70" s="185">
        <f>TULEMUSED!K107</f>
        <v>338.40314748732027</v>
      </c>
      <c r="K70" s="185">
        <f>TULEMUSED!L107</f>
        <v>399.94602131198513</v>
      </c>
      <c r="N70" s="69"/>
      <c r="O70" s="75"/>
    </row>
    <row r="71" spans="2:22" x14ac:dyDescent="0.3">
      <c r="B71" s="635" t="s">
        <v>472</v>
      </c>
      <c r="C71" s="69"/>
      <c r="D71" s="185">
        <f t="shared" ref="D71:K71" si="59">SUMPRODUCT(D31:D43,$X91:$X103)</f>
        <v>17.410371346094017</v>
      </c>
      <c r="E71" s="185">
        <f t="shared" si="59"/>
        <v>50.756608039053688</v>
      </c>
      <c r="F71" s="185">
        <f t="shared" si="59"/>
        <v>48.721017568083269</v>
      </c>
      <c r="G71" s="185">
        <f t="shared" si="59"/>
        <v>78.069997924492881</v>
      </c>
      <c r="H71" s="185">
        <f t="shared" si="59"/>
        <v>65.191788447747214</v>
      </c>
      <c r="I71" s="185">
        <f t="shared" si="59"/>
        <v>67.998417911595311</v>
      </c>
      <c r="J71" s="185">
        <f t="shared" si="59"/>
        <v>72.076627522232897</v>
      </c>
      <c r="K71" s="185">
        <f t="shared" si="59"/>
        <v>74.900460186785168</v>
      </c>
    </row>
    <row r="72" spans="2:22" x14ac:dyDescent="0.3">
      <c r="B72" s="635" t="s">
        <v>471</v>
      </c>
      <c r="C72" s="69"/>
      <c r="D72" s="185">
        <f t="shared" ref="D72:K72" si="60">SUMPRODUCT(D65:D67,$Q79:$Q81)+SUMPRODUCT(D60:D62,$Q79:$Q81)</f>
        <v>9.1470302239176124</v>
      </c>
      <c r="E72" s="185">
        <f t="shared" si="60"/>
        <v>35.382122841459079</v>
      </c>
      <c r="F72" s="185">
        <f t="shared" si="60"/>
        <v>29.195152852040255</v>
      </c>
      <c r="G72" s="185">
        <f t="shared" si="60"/>
        <v>57.469686486321997</v>
      </c>
      <c r="H72" s="185">
        <f t="shared" si="60"/>
        <v>49.464099238874475</v>
      </c>
      <c r="I72" s="185">
        <f t="shared" si="60"/>
        <v>53.382146972653914</v>
      </c>
      <c r="J72" s="185">
        <f t="shared" si="60"/>
        <v>58.064057756111623</v>
      </c>
      <c r="K72" s="185">
        <f t="shared" si="60"/>
        <v>62.18828153671064</v>
      </c>
      <c r="L72" s="69"/>
    </row>
    <row r="73" spans="2:22" x14ac:dyDescent="0.3">
      <c r="B73" s="636" t="s">
        <v>518</v>
      </c>
      <c r="C73" s="69"/>
      <c r="D73" s="178">
        <f>D70-D71-D72</f>
        <v>-94.409230888853742</v>
      </c>
      <c r="E73" s="178">
        <f t="shared" ref="E73:K73" si="61">E70-E71-E72</f>
        <v>-81.380072066055703</v>
      </c>
      <c r="F73" s="178">
        <f t="shared" si="61"/>
        <v>6.1954789097816807</v>
      </c>
      <c r="G73" s="178">
        <f t="shared" si="61"/>
        <v>-62.992811882011615</v>
      </c>
      <c r="H73" s="178">
        <f t="shared" si="61"/>
        <v>124.7862672456354</v>
      </c>
      <c r="I73" s="178">
        <f t="shared" si="61"/>
        <v>172.55048769609397</v>
      </c>
      <c r="J73" s="178">
        <f t="shared" si="61"/>
        <v>208.26246220897573</v>
      </c>
      <c r="K73" s="178">
        <f t="shared" si="61"/>
        <v>262.85727958848935</v>
      </c>
      <c r="L73" s="69"/>
    </row>
    <row r="75" spans="2:22" x14ac:dyDescent="0.3">
      <c r="L75" s="120"/>
    </row>
    <row r="76" spans="2:22" x14ac:dyDescent="0.3">
      <c r="B76" s="634" t="s">
        <v>337</v>
      </c>
      <c r="M76" s="100"/>
      <c r="N76" s="100"/>
    </row>
    <row r="77" spans="2:22" x14ac:dyDescent="0.3">
      <c r="B77" s="634" t="s">
        <v>264</v>
      </c>
      <c r="E77" s="100"/>
      <c r="F77" s="100"/>
      <c r="G77" s="100"/>
      <c r="I77" s="634" t="s">
        <v>758</v>
      </c>
      <c r="J77" s="80"/>
      <c r="K77" s="80"/>
      <c r="L77" s="80"/>
      <c r="Q77" s="376" t="s">
        <v>527</v>
      </c>
    </row>
    <row r="78" spans="2:22" ht="81.75" customHeight="1" x14ac:dyDescent="0.3">
      <c r="B78" s="168"/>
      <c r="D78" s="388" t="s">
        <v>227</v>
      </c>
      <c r="E78" s="386" t="s">
        <v>229</v>
      </c>
      <c r="F78" s="386" t="s">
        <v>230</v>
      </c>
      <c r="G78" s="1051" t="s">
        <v>13</v>
      </c>
      <c r="H78" s="298"/>
      <c r="I78" s="383" t="s">
        <v>470</v>
      </c>
      <c r="J78" s="384" t="s">
        <v>236</v>
      </c>
      <c r="K78" s="385"/>
      <c r="L78" s="299" t="s">
        <v>205</v>
      </c>
      <c r="M78" s="299" t="s">
        <v>206</v>
      </c>
      <c r="N78" s="299" t="s">
        <v>4</v>
      </c>
      <c r="Q78" s="932" t="s">
        <v>25</v>
      </c>
      <c r="R78" s="932" t="s">
        <v>237</v>
      </c>
      <c r="S78" s="932" t="str">
        <f>B98</f>
        <v>Lisandväärtus</v>
      </c>
      <c r="T78" s="932" t="s">
        <v>18</v>
      </c>
      <c r="U78" s="932" t="s">
        <v>651</v>
      </c>
    </row>
    <row r="79" spans="2:22" x14ac:dyDescent="0.3">
      <c r="B79" s="130" t="s">
        <v>18</v>
      </c>
      <c r="D79" s="389">
        <f>ABITABELID!C5</f>
        <v>0.60553808617548444</v>
      </c>
      <c r="E79" s="167">
        <f>ABITABELID!C11</f>
        <v>0.19298830650095289</v>
      </c>
      <c r="F79" s="167">
        <f>ABITABELID!C8</f>
        <v>0.14638236019158893</v>
      </c>
      <c r="G79" s="387">
        <f>SUM(D79:F79)</f>
        <v>0.94490875286802622</v>
      </c>
      <c r="I79" s="130" t="s">
        <v>44</v>
      </c>
      <c r="J79" s="131"/>
      <c r="K79" s="132"/>
      <c r="L79" s="133">
        <f>'I-O 2010'!E381</f>
        <v>0.57923655437102928</v>
      </c>
      <c r="M79" s="133">
        <f>'I-O 2010'!E390</f>
        <v>0.94937635164474188</v>
      </c>
      <c r="N79" s="133">
        <f>'I-O 2010'!E399</f>
        <v>0.54711563716550204</v>
      </c>
      <c r="Q79" s="931">
        <f t="array" ref="Q79:Q81">TRANSPOSE(L81:N81)</f>
        <v>0.22385556015180977</v>
      </c>
      <c r="R79" s="931">
        <f t="array" ref="R79:R81">TRANSPOSE(L80:N80)</f>
        <v>1.4811326329394581</v>
      </c>
      <c r="S79" s="931">
        <f t="array" ref="S79:S81">TRANSPOSE(L79:N79)</f>
        <v>0.57923655437102928</v>
      </c>
      <c r="T79" s="931">
        <f t="array" ref="T79:T81">TRANSPOSE(L82:N82)</f>
        <v>0.27262049546267175</v>
      </c>
      <c r="U79" s="931">
        <f t="array" ref="U79:U81">TRANSPOSE(D81:F81)</f>
        <v>0.28254924737264109</v>
      </c>
      <c r="V79" s="91" t="str">
        <f t="array" ref="V79:V81">TRANSPOSE(L78:N78)</f>
        <v>Kodu-majapidamised</v>
      </c>
    </row>
    <row r="80" spans="2:22" x14ac:dyDescent="0.3">
      <c r="B80" s="130" t="s">
        <v>204</v>
      </c>
      <c r="D80" s="389">
        <f>ABITABELID!C6</f>
        <v>0.10348976302968797</v>
      </c>
      <c r="E80" s="167">
        <f>ABITABELID!C12</f>
        <v>2.6925210194146391E-2</v>
      </c>
      <c r="F80" s="167">
        <f>ABITABELID!C9</f>
        <v>0.74134434273363792</v>
      </c>
      <c r="G80" s="387">
        <f t="shared" ref="G80:G81" si="62">SUM(D80:F80)</f>
        <v>0.87175931595747225</v>
      </c>
      <c r="H80" s="70"/>
      <c r="I80" s="130" t="s">
        <v>61</v>
      </c>
      <c r="J80" s="131"/>
      <c r="K80" s="131"/>
      <c r="L80" s="133">
        <f>'I-O 2010'!E382</f>
        <v>1.4811326329394581</v>
      </c>
      <c r="M80" s="133">
        <f>'I-O 2010'!E391</f>
        <v>1.5283492441625925</v>
      </c>
      <c r="N80" s="133">
        <f>'I-O 2010'!E400</f>
        <v>1.7378051523095355</v>
      </c>
      <c r="Q80" s="931">
        <v>3.8597226652372904E-2</v>
      </c>
      <c r="R80" s="931">
        <v>1.5283492441625925</v>
      </c>
      <c r="S80" s="931">
        <v>0.94937635164474188</v>
      </c>
      <c r="T80" s="931">
        <v>0.7974463126794622</v>
      </c>
      <c r="U80" s="931">
        <v>0.49638457634695599</v>
      </c>
      <c r="V80" s="91" t="str">
        <v>Valitsemis-sektor</v>
      </c>
    </row>
    <row r="81" spans="2:24" x14ac:dyDescent="0.3">
      <c r="B81" s="130" t="s">
        <v>239</v>
      </c>
      <c r="D81" s="389">
        <f>ABITABELID!C22</f>
        <v>0.28254924737264109</v>
      </c>
      <c r="E81" s="167">
        <f>ABITABELID!C20</f>
        <v>0.49638457634695599</v>
      </c>
      <c r="F81" s="167">
        <f>ABITABELID!C21</f>
        <v>0.12457271132676805</v>
      </c>
      <c r="G81" s="387">
        <f t="shared" si="62"/>
        <v>0.90350653504636513</v>
      </c>
      <c r="H81" s="71"/>
      <c r="I81" s="130" t="s">
        <v>25</v>
      </c>
      <c r="J81" s="131"/>
      <c r="K81" s="131"/>
      <c r="L81" s="133">
        <f>'I-O 2010'!E383</f>
        <v>0.22385556015180977</v>
      </c>
      <c r="M81" s="133">
        <f>'I-O 2010'!E392</f>
        <v>3.8597226652372904E-2</v>
      </c>
      <c r="N81" s="133">
        <f>'I-O 2010'!E401</f>
        <v>0.30649846974311767</v>
      </c>
      <c r="Q81" s="931">
        <v>0.30649846974311767</v>
      </c>
      <c r="R81" s="931">
        <v>1.7378051523095355</v>
      </c>
      <c r="S81" s="931">
        <v>0.54711563716550204</v>
      </c>
      <c r="T81" s="931">
        <v>0.37197787627596757</v>
      </c>
      <c r="U81" s="931">
        <v>0.12457271132676805</v>
      </c>
      <c r="V81" s="91" t="str">
        <v>Kapitali kogumahutus</v>
      </c>
    </row>
    <row r="82" spans="2:24" x14ac:dyDescent="0.3">
      <c r="H82" s="71"/>
      <c r="I82" s="130" t="s">
        <v>18</v>
      </c>
      <c r="J82" s="131"/>
      <c r="K82" s="131"/>
      <c r="L82" s="133">
        <f>'I-O 2010'!E384</f>
        <v>0.27262049546267175</v>
      </c>
      <c r="M82" s="133">
        <f>'I-O 2010'!E393</f>
        <v>0.7974463126794622</v>
      </c>
      <c r="N82" s="133">
        <f>'I-O 2010'!E402</f>
        <v>0.37197787627596757</v>
      </c>
    </row>
    <row r="83" spans="2:24" x14ac:dyDescent="0.3">
      <c r="B83" s="634" t="s">
        <v>258</v>
      </c>
      <c r="H83" s="71"/>
      <c r="K83" s="100"/>
    </row>
    <row r="84" spans="2:24" x14ac:dyDescent="0.3">
      <c r="B84" s="130" t="s">
        <v>289</v>
      </c>
      <c r="D84" s="727">
        <f>'I-O 2010'!BT155</f>
        <v>0.15485143405387608</v>
      </c>
    </row>
    <row r="85" spans="2:24" x14ac:dyDescent="0.3">
      <c r="B85" s="130" t="s">
        <v>697</v>
      </c>
      <c r="D85" s="727">
        <f>ABITABELID!C67</f>
        <v>0.38878787878787879</v>
      </c>
      <c r="H85" s="70"/>
    </row>
    <row r="86" spans="2:24" x14ac:dyDescent="0.3">
      <c r="B86" s="136" t="s">
        <v>759</v>
      </c>
      <c r="D86" s="885">
        <f>'I-O 2010'!BS75/'I-O 2010'!BS80</f>
        <v>0.54801607939338093</v>
      </c>
      <c r="H86" s="70"/>
    </row>
    <row r="88" spans="2:24" x14ac:dyDescent="0.3">
      <c r="B88" s="634" t="s">
        <v>654</v>
      </c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</row>
    <row r="89" spans="2:24" x14ac:dyDescent="0.3">
      <c r="B89" s="637"/>
      <c r="C89" s="91"/>
      <c r="D89" s="652">
        <v>1</v>
      </c>
      <c r="E89" s="310">
        <v>2</v>
      </c>
      <c r="F89" s="310">
        <v>4</v>
      </c>
      <c r="G89" s="310">
        <v>10</v>
      </c>
      <c r="H89" s="310">
        <v>23</v>
      </c>
      <c r="I89" s="310">
        <v>24</v>
      </c>
      <c r="J89" s="310">
        <v>26</v>
      </c>
      <c r="K89" s="310">
        <v>29</v>
      </c>
      <c r="L89" s="310">
        <v>30</v>
      </c>
      <c r="M89" s="310">
        <v>31</v>
      </c>
      <c r="N89" s="310">
        <v>32</v>
      </c>
      <c r="O89" s="310">
        <v>33</v>
      </c>
      <c r="P89" s="310">
        <v>55</v>
      </c>
      <c r="R89" s="376" t="s">
        <v>526</v>
      </c>
      <c r="S89" s="414"/>
      <c r="T89" s="414"/>
    </row>
    <row r="90" spans="2:24" ht="69" customHeight="1" x14ac:dyDescent="0.3">
      <c r="B90" s="637" t="s">
        <v>61</v>
      </c>
      <c r="C90" s="655"/>
      <c r="D90" s="653" t="s">
        <v>394</v>
      </c>
      <c r="E90" s="311" t="s">
        <v>37</v>
      </c>
      <c r="F90" s="311" t="s">
        <v>463</v>
      </c>
      <c r="G90" s="311" t="s">
        <v>124</v>
      </c>
      <c r="H90" s="311" t="s">
        <v>113</v>
      </c>
      <c r="I90" s="311" t="s">
        <v>392</v>
      </c>
      <c r="J90" s="311" t="s">
        <v>393</v>
      </c>
      <c r="K90" s="311" t="s">
        <v>38</v>
      </c>
      <c r="L90" s="311" t="s">
        <v>390</v>
      </c>
      <c r="M90" s="311" t="s">
        <v>360</v>
      </c>
      <c r="N90" s="311" t="s">
        <v>361</v>
      </c>
      <c r="O90" s="311" t="s">
        <v>362</v>
      </c>
      <c r="P90" s="311" t="s">
        <v>391</v>
      </c>
      <c r="R90" s="361" t="s">
        <v>465</v>
      </c>
      <c r="S90" s="443" t="s">
        <v>466</v>
      </c>
      <c r="T90" s="443" t="s">
        <v>467</v>
      </c>
      <c r="U90" s="443" t="s">
        <v>44</v>
      </c>
      <c r="V90" s="443" t="s">
        <v>18</v>
      </c>
      <c r="W90" s="443" t="s">
        <v>204</v>
      </c>
      <c r="X90" s="443" t="s">
        <v>25</v>
      </c>
    </row>
    <row r="91" spans="2:24" x14ac:dyDescent="0.3">
      <c r="B91" s="638" t="s">
        <v>395</v>
      </c>
      <c r="C91" s="69"/>
      <c r="D91" s="533">
        <f>'I-O 2010'!E406</f>
        <v>1.2255033532943498</v>
      </c>
      <c r="E91" s="20">
        <f>'I-O 2010'!E416</f>
        <v>1.1558699273160966</v>
      </c>
      <c r="F91" s="20">
        <f>'I-O 2010'!E426</f>
        <v>1.0576374536026529</v>
      </c>
      <c r="G91" s="20">
        <f>'I-O 2010'!E436</f>
        <v>1.0354558914448357</v>
      </c>
      <c r="H91" s="20">
        <f>'I-O 2010'!E446</f>
        <v>1.1119050893533782</v>
      </c>
      <c r="I91" s="20">
        <f>'I-O 2010'!E456</f>
        <v>1.0193442161425701</v>
      </c>
      <c r="J91" s="20">
        <f>'I-O 2010'!E466</f>
        <v>1.0035343176779856</v>
      </c>
      <c r="K91" s="20">
        <f>'I-O 2010'!E476</f>
        <v>1.0455474415173183</v>
      </c>
      <c r="L91" s="20">
        <f>'I-O 2010'!E486</f>
        <v>1.024560262729143</v>
      </c>
      <c r="M91" s="20">
        <f>'I-O 2010'!E496</f>
        <v>1.0434718263917686</v>
      </c>
      <c r="N91" s="20">
        <f>'I-O 2010'!E506</f>
        <v>1.0033089679249128</v>
      </c>
      <c r="O91" s="20">
        <f>'I-O 2010'!E516</f>
        <v>1.0852538946956047</v>
      </c>
      <c r="P91" s="20">
        <f>'I-O 2010'!E526</f>
        <v>1.0678155177413691</v>
      </c>
      <c r="Q91" s="362"/>
      <c r="R91" s="33">
        <f t="array" ref="R91:R103">TRANSPOSE(D89:P89)</f>
        <v>1</v>
      </c>
      <c r="S91" s="359">
        <f t="array" ref="S91:S103">TRANSPOSE(D91:P91)</f>
        <v>1.2255033532943498</v>
      </c>
      <c r="T91" s="359">
        <f t="array" ref="T91:T103">TRANSPOSE(D92:P92)</f>
        <v>0.65558104665655903</v>
      </c>
      <c r="U91" s="359">
        <f t="array" ref="U91:U103">TRANSPOSE(D98:P98)</f>
        <v>0.54725100947389826</v>
      </c>
      <c r="V91" s="359">
        <f t="array" ref="V91:V103">TRANSPOSE(D95:P95)</f>
        <v>0.24545499175091723</v>
      </c>
      <c r="W91" s="359">
        <f t="array" ref="W91:W103">TRANSPOSE(D96:P96)</f>
        <v>0.39029989669306886</v>
      </c>
      <c r="X91" s="359">
        <f t="array" ref="X91:X103">TRANSPOSE(D99:P99)</f>
        <v>0.41884780785348374</v>
      </c>
    </row>
    <row r="92" spans="2:24" x14ac:dyDescent="0.3">
      <c r="B92" s="638" t="s">
        <v>60</v>
      </c>
      <c r="C92" s="69"/>
      <c r="D92" s="533">
        <f>'I-O 2010'!E407</f>
        <v>0.65558104665655903</v>
      </c>
      <c r="E92" s="20">
        <f>'I-O 2010'!E417</f>
        <v>0.91957174867034674</v>
      </c>
      <c r="F92" s="20">
        <f>'I-O 2010'!E427</f>
        <v>0.68673047684942734</v>
      </c>
      <c r="G92" s="20">
        <f>'I-O 2010'!E437</f>
        <v>0.99492331600444461</v>
      </c>
      <c r="H92" s="20">
        <f>'I-O 2010'!E447</f>
        <v>0.8287052931616441</v>
      </c>
      <c r="I92" s="20">
        <f>'I-O 2010'!E457</f>
        <v>0.7186153794253618</v>
      </c>
      <c r="J92" s="20">
        <f>'I-O 2010'!E467</f>
        <v>1.4612063270378541</v>
      </c>
      <c r="K92" s="20">
        <f>'I-O 2010'!E477</f>
        <v>1.0251723568501561</v>
      </c>
      <c r="L92" s="20">
        <f>'I-O 2010'!E487</f>
        <v>0.8599082831885585</v>
      </c>
      <c r="M92" s="20">
        <f>'I-O 2010'!E497</f>
        <v>0.79809231738116493</v>
      </c>
      <c r="N92" s="20">
        <f>'I-O 2010'!E507</f>
        <v>0.74219492063692316</v>
      </c>
      <c r="O92" s="20">
        <f>'I-O 2010'!E517</f>
        <v>0.90173266682955289</v>
      </c>
      <c r="P92" s="20">
        <f>'I-O 2010'!E527</f>
        <v>0.67173239075001945</v>
      </c>
      <c r="Q92" s="362"/>
      <c r="R92" s="33">
        <v>2</v>
      </c>
      <c r="S92" s="359">
        <v>1.1558699273160966</v>
      </c>
      <c r="T92" s="359">
        <v>0.91957174867034674</v>
      </c>
      <c r="U92" s="359">
        <v>0.74465092876977768</v>
      </c>
      <c r="V92" s="359">
        <v>0.27831427082384574</v>
      </c>
      <c r="W92" s="359">
        <v>0.30745917823111268</v>
      </c>
      <c r="X92" s="359">
        <v>0.22841748061558814</v>
      </c>
    </row>
    <row r="93" spans="2:24" x14ac:dyDescent="0.3">
      <c r="B93" s="638" t="s">
        <v>13</v>
      </c>
      <c r="C93" s="69"/>
      <c r="D93" s="533">
        <f>'I-O 2010'!E408</f>
        <v>1.8810843999509088</v>
      </c>
      <c r="E93" s="20">
        <f>'I-O 2010'!E418</f>
        <v>2.0754416759864434</v>
      </c>
      <c r="F93" s="20">
        <f>'I-O 2010'!E428</f>
        <v>1.7443679304520803</v>
      </c>
      <c r="G93" s="20">
        <f>'I-O 2010'!E438</f>
        <v>2.0303792074492804</v>
      </c>
      <c r="H93" s="20">
        <f>'I-O 2010'!E448</f>
        <v>1.9406103825150223</v>
      </c>
      <c r="I93" s="20">
        <f>'I-O 2010'!E458</f>
        <v>1.7379595955679319</v>
      </c>
      <c r="J93" s="20">
        <f>'I-O 2010'!E468</f>
        <v>2.4647406447158398</v>
      </c>
      <c r="K93" s="20">
        <f>'I-O 2010'!E478</f>
        <v>2.0707197983674743</v>
      </c>
      <c r="L93" s="20">
        <f>'I-O 2010'!E488</f>
        <v>1.8844685459177015</v>
      </c>
      <c r="M93" s="20">
        <f>'I-O 2010'!E498</f>
        <v>1.8415641437729335</v>
      </c>
      <c r="N93" s="20">
        <f>'I-O 2010'!E508</f>
        <v>1.7455038885618359</v>
      </c>
      <c r="O93" s="20">
        <f>'I-O 2010'!E518</f>
        <v>1.9869865615251576</v>
      </c>
      <c r="P93" s="20">
        <f>'I-O 2010'!E528</f>
        <v>1.7395479084913885</v>
      </c>
      <c r="Q93" s="362"/>
      <c r="R93" s="33">
        <v>4</v>
      </c>
      <c r="S93" s="359">
        <v>1.0576374536026529</v>
      </c>
      <c r="T93" s="359">
        <v>0.68673047684942734</v>
      </c>
      <c r="U93" s="359">
        <v>0.79733638730321321</v>
      </c>
      <c r="V93" s="359">
        <v>0.36523103478857449</v>
      </c>
      <c r="W93" s="359">
        <v>0.28556726471467325</v>
      </c>
      <c r="X93" s="359">
        <v>0.17659593907603541</v>
      </c>
    </row>
    <row r="94" spans="2:24" x14ac:dyDescent="0.3">
      <c r="B94" s="136" t="s">
        <v>110</v>
      </c>
      <c r="C94" s="69"/>
      <c r="D94" s="533">
        <f>'I-O 2010'!E409</f>
        <v>3.3901182672618067E-2</v>
      </c>
      <c r="E94" s="20">
        <f>'I-O 2010'!E419</f>
        <v>2.6931590614634036E-2</v>
      </c>
      <c r="F94" s="20">
        <f>'I-O 2010'!E429</f>
        <v>2.6067673620751516E-2</v>
      </c>
      <c r="G94" s="20">
        <f>'I-O 2010'!E439</f>
        <v>2.5621746429396183E-2</v>
      </c>
      <c r="H94" s="20">
        <f>'I-O 2010'!E449</f>
        <v>1.138636921910373E-2</v>
      </c>
      <c r="I94" s="20">
        <f>'I-O 2010'!E459</f>
        <v>1.1021509087120667E-2</v>
      </c>
      <c r="J94" s="20">
        <f>'I-O 2010'!E469</f>
        <v>4.5658481054349095E-2</v>
      </c>
      <c r="K94" s="20">
        <f>'I-O 2010'!E479</f>
        <v>2.3970391597357501E-2</v>
      </c>
      <c r="L94" s="20">
        <f>'I-O 2010'!E489</f>
        <v>1.4152361105548508E-2</v>
      </c>
      <c r="M94" s="20">
        <f>'I-O 2010'!E499</f>
        <v>1.8259717482799507E-2</v>
      </c>
      <c r="N94" s="20">
        <f>'I-O 2010'!E509</f>
        <v>1.666484866098383E-2</v>
      </c>
      <c r="O94" s="20">
        <f>'I-O 2010'!E519</f>
        <v>9.8400072336509353E-2</v>
      </c>
      <c r="P94" s="20">
        <f>'I-O 2010'!E529</f>
        <v>1.7694637152190117E-2</v>
      </c>
      <c r="Q94" s="362"/>
      <c r="R94" s="33">
        <v>10</v>
      </c>
      <c r="S94" s="359">
        <v>1.0354558914448357</v>
      </c>
      <c r="T94" s="359">
        <v>0.99492331600444461</v>
      </c>
      <c r="U94" s="359">
        <v>0.82654367178950139</v>
      </c>
      <c r="V94" s="359">
        <v>0.29142466498627345</v>
      </c>
      <c r="W94" s="359">
        <v>0.4085123658217939</v>
      </c>
      <c r="X94" s="359">
        <v>0.14783458178110195</v>
      </c>
    </row>
    <row r="95" spans="2:24" x14ac:dyDescent="0.3">
      <c r="B95" s="639" t="s">
        <v>18</v>
      </c>
      <c r="C95" s="69"/>
      <c r="D95" s="654">
        <f>'I-O 2010'!E410</f>
        <v>0.24545499175091723</v>
      </c>
      <c r="E95" s="322">
        <f>'I-O 2010'!E420</f>
        <v>0.27831427082384574</v>
      </c>
      <c r="F95" s="322">
        <f>'I-O 2010'!E430</f>
        <v>0.36523103478857449</v>
      </c>
      <c r="G95" s="322">
        <f>'I-O 2010'!E440</f>
        <v>0.29142466498627345</v>
      </c>
      <c r="H95" s="322">
        <f>'I-O 2010'!E450</f>
        <v>0.43501400551564201</v>
      </c>
      <c r="I95" s="322">
        <f>'I-O 2010'!E460</f>
        <v>0.22751007491968217</v>
      </c>
      <c r="J95" s="322">
        <f>'I-O 2010'!E470</f>
        <v>0.31595048946147658</v>
      </c>
      <c r="K95" s="322">
        <f>'I-O 2010'!E480</f>
        <v>0.43505147549410444</v>
      </c>
      <c r="L95" s="322">
        <f>'I-O 2010'!E490</f>
        <v>0.4428681857058207</v>
      </c>
      <c r="M95" s="322">
        <f>'I-O 2010'!E500</f>
        <v>0.39489717238277855</v>
      </c>
      <c r="N95" s="322">
        <f>'I-O 2010'!E510</f>
        <v>0.5128503777516179</v>
      </c>
      <c r="O95" s="322">
        <f>'I-O 2010'!E520</f>
        <v>0.33926311580584606</v>
      </c>
      <c r="P95" s="322">
        <f>'I-O 2010'!E530</f>
        <v>0.57523644019845499</v>
      </c>
      <c r="Q95" s="362"/>
      <c r="R95" s="13">
        <v>23</v>
      </c>
      <c r="S95" s="360">
        <v>1.1119050893533782</v>
      </c>
      <c r="T95" s="360">
        <v>0.8287052931616441</v>
      </c>
      <c r="U95" s="360">
        <v>0.6722939497743432</v>
      </c>
      <c r="V95" s="360">
        <v>0.43501400551564201</v>
      </c>
      <c r="W95" s="360">
        <v>0.15834798555199783</v>
      </c>
      <c r="X95" s="360">
        <v>0.31631968100655267</v>
      </c>
    </row>
    <row r="96" spans="2:24" x14ac:dyDescent="0.3">
      <c r="B96" s="640" t="s">
        <v>204</v>
      </c>
      <c r="C96" s="69"/>
      <c r="D96" s="654">
        <f>'I-O 2010'!E411</f>
        <v>0.39029989669306886</v>
      </c>
      <c r="E96" s="322">
        <f>'I-O 2010'!E421</f>
        <v>0.30745917823111268</v>
      </c>
      <c r="F96" s="322">
        <f>'I-O 2010'!E431</f>
        <v>0.28556726471467325</v>
      </c>
      <c r="G96" s="322">
        <f>'I-O 2010'!E441</f>
        <v>0.4085123658217939</v>
      </c>
      <c r="H96" s="322">
        <f>'I-O 2010'!E451</f>
        <v>0.15834798555199783</v>
      </c>
      <c r="I96" s="322">
        <f>'I-O 2010'!E461</f>
        <v>0.35308542350113947</v>
      </c>
      <c r="J96" s="322">
        <f>'I-O 2010'!E471</f>
        <v>0.3406994348834288</v>
      </c>
      <c r="K96" s="322">
        <f>'I-O 2010'!E481</f>
        <v>0.16187162328903887</v>
      </c>
      <c r="L96" s="322">
        <f>'I-O 2010'!E491</f>
        <v>0.14618018237721439</v>
      </c>
      <c r="M96" s="322">
        <f>'I-O 2010'!E501</f>
        <v>0.31286094428821604</v>
      </c>
      <c r="N96" s="322">
        <f>'I-O 2010'!E511</f>
        <v>0.22315362169525593</v>
      </c>
      <c r="O96" s="322">
        <f>'I-O 2010'!E521</f>
        <v>0.17054945526884346</v>
      </c>
      <c r="P96" s="322">
        <f>'I-O 2010'!E531</f>
        <v>0.16935186753228718</v>
      </c>
      <c r="Q96" s="362"/>
      <c r="R96" s="13">
        <v>24</v>
      </c>
      <c r="S96" s="360">
        <v>1.0193442161425701</v>
      </c>
      <c r="T96" s="360">
        <v>0.7186153794253618</v>
      </c>
      <c r="U96" s="360">
        <v>0.80388082295288377</v>
      </c>
      <c r="V96" s="360">
        <v>0.22751007491968217</v>
      </c>
      <c r="W96" s="360">
        <v>0.35308542350113947</v>
      </c>
      <c r="X96" s="360">
        <v>0.18509766795999613</v>
      </c>
    </row>
    <row r="97" spans="2:24" x14ac:dyDescent="0.3">
      <c r="B97" s="641" t="s">
        <v>21</v>
      </c>
      <c r="C97" s="69"/>
      <c r="D97" s="533">
        <f>'I-O 2010'!E412</f>
        <v>0.16554330289375313</v>
      </c>
      <c r="E97" s="20">
        <f>'I-O 2010'!E422</f>
        <v>0.14706728068505909</v>
      </c>
      <c r="F97" s="20">
        <f>'I-O 2010'!E432</f>
        <v>0.10995348797419853</v>
      </c>
      <c r="G97" s="20">
        <f>'I-O 2010'!E442</f>
        <v>0.10282829959055413</v>
      </c>
      <c r="H97" s="20">
        <f>'I-O 2010'!E452</f>
        <v>7.8332746614262497E-2</v>
      </c>
      <c r="I97" s="20">
        <f>'I-O 2010'!E462</f>
        <v>0.19115434361457781</v>
      </c>
      <c r="J97" s="20">
        <f>'I-O 2010'!E472</f>
        <v>0.13108614622319212</v>
      </c>
      <c r="K97" s="20">
        <f>'I-O 2010'!E482</f>
        <v>0.10097908012720129</v>
      </c>
      <c r="L97" s="20">
        <f>'I-O 2010'!E492</f>
        <v>0.11742094160783903</v>
      </c>
      <c r="M97" s="20">
        <f>'I-O 2010'!E502</f>
        <v>0.12779316770287652</v>
      </c>
      <c r="N97" s="20">
        <f>'I-O 2010'!E512</f>
        <v>0.1457405748997373</v>
      </c>
      <c r="O97" s="20">
        <f>'I-O 2010'!E522</f>
        <v>0.17334483031221562</v>
      </c>
      <c r="P97" s="20">
        <f>'I-O 2010'!E532</f>
        <v>8.2345810154979021E-2</v>
      </c>
      <c r="Q97" s="362"/>
      <c r="R97" s="13">
        <v>26</v>
      </c>
      <c r="S97" s="360">
        <v>1.0035343176779856</v>
      </c>
      <c r="T97" s="360">
        <v>1.4612063270378541</v>
      </c>
      <c r="U97" s="360">
        <v>0.80836708850510652</v>
      </c>
      <c r="V97" s="360">
        <v>0.31595048946147658</v>
      </c>
      <c r="W97" s="360">
        <v>0.3406994348834288</v>
      </c>
      <c r="X97" s="360">
        <v>0.14597443044054481</v>
      </c>
    </row>
    <row r="98" spans="2:24" x14ac:dyDescent="0.3">
      <c r="B98" s="136" t="s">
        <v>44</v>
      </c>
      <c r="D98" s="533">
        <f>'I-O 2010'!E413</f>
        <v>0.54725100947389826</v>
      </c>
      <c r="E98" s="20">
        <f>'I-O 2010'!E423</f>
        <v>0.74465092876977768</v>
      </c>
      <c r="F98" s="20">
        <f>'I-O 2010'!E433</f>
        <v>0.79733638730321321</v>
      </c>
      <c r="G98" s="20">
        <f>'I-O 2010'!E443</f>
        <v>0.82654367178950139</v>
      </c>
      <c r="H98" s="20">
        <f>'I-O 2010'!E453</f>
        <v>0.6722939497743432</v>
      </c>
      <c r="I98" s="20">
        <f>'I-O 2010'!E463</f>
        <v>0.80388082295288377</v>
      </c>
      <c r="J98" s="20">
        <f>'I-O 2010'!E473</f>
        <v>0.80836708850510652</v>
      </c>
      <c r="K98" s="20">
        <f>'I-O 2010'!E483</f>
        <v>0.70120170993660735</v>
      </c>
      <c r="L98" s="20">
        <f>'I-O 2010'!E493</f>
        <v>0.70844674954289577</v>
      </c>
      <c r="M98" s="20">
        <f>'I-O 2010'!E503</f>
        <v>0.83648636674639942</v>
      </c>
      <c r="N98" s="20">
        <f>'I-O 2010'!E513</f>
        <v>0.88615114481053181</v>
      </c>
      <c r="O98" s="20">
        <f>'I-O 2010'!E523</f>
        <v>0.68631426530162276</v>
      </c>
      <c r="P98" s="20">
        <f>'I-O 2010'!E533</f>
        <v>0.82619033671401321</v>
      </c>
      <c r="Q98" s="362"/>
      <c r="R98" s="13">
        <v>29</v>
      </c>
      <c r="S98" s="360">
        <v>1.0455474415173183</v>
      </c>
      <c r="T98" s="360">
        <v>1.0251723568501561</v>
      </c>
      <c r="U98" s="360">
        <v>0.70120170993660735</v>
      </c>
      <c r="V98" s="360">
        <v>0.43505147549410444</v>
      </c>
      <c r="W98" s="360">
        <v>0.16187162328903887</v>
      </c>
      <c r="X98" s="360">
        <v>0.27482789846603534</v>
      </c>
    </row>
    <row r="99" spans="2:24" x14ac:dyDescent="0.3">
      <c r="B99" s="136" t="s">
        <v>25</v>
      </c>
      <c r="D99" s="533">
        <f>'I-O 2010'!E414</f>
        <v>0.41884780785348374</v>
      </c>
      <c r="E99" s="20">
        <f>'I-O 2010'!E424</f>
        <v>0.22841748061558814</v>
      </c>
      <c r="F99" s="20">
        <f>'I-O 2010'!E434</f>
        <v>0.17659593907603541</v>
      </c>
      <c r="G99" s="20">
        <f>'I-O 2010'!E444</f>
        <v>0.14783458178110195</v>
      </c>
      <c r="H99" s="20">
        <f>'I-O 2010'!E454</f>
        <v>0.31631968100655267</v>
      </c>
      <c r="I99" s="20">
        <f>'I-O 2010'!E464</f>
        <v>0.18509766795999613</v>
      </c>
      <c r="J99" s="20">
        <f>'I-O 2010'!E474</f>
        <v>0.14597443044054481</v>
      </c>
      <c r="K99" s="20">
        <f>'I-O 2010'!E484</f>
        <v>0.27482789846603534</v>
      </c>
      <c r="L99" s="20">
        <f>'I-O 2010'!E494</f>
        <v>0.27740088935155677</v>
      </c>
      <c r="M99" s="20">
        <f>'I-O 2010'!E504</f>
        <v>0.14525391577080071</v>
      </c>
      <c r="N99" s="20">
        <f>'I-O 2010'!E514</f>
        <v>9.7184006528483996E-2</v>
      </c>
      <c r="O99" s="20">
        <f>'I-O 2010'!E524</f>
        <v>0.2152856623618675</v>
      </c>
      <c r="P99" s="20">
        <f>'I-O 2010'!E534</f>
        <v>0.15611502613379696</v>
      </c>
      <c r="Q99" s="362"/>
      <c r="R99" s="13">
        <v>30</v>
      </c>
      <c r="S99" s="360">
        <v>1.024560262729143</v>
      </c>
      <c r="T99" s="360">
        <v>0.8599082831885585</v>
      </c>
      <c r="U99" s="360">
        <v>0.70844674954289577</v>
      </c>
      <c r="V99" s="360">
        <v>0.4428681857058207</v>
      </c>
      <c r="W99" s="360">
        <v>0.14618018237721439</v>
      </c>
      <c r="X99" s="360">
        <v>0.27740088935155677</v>
      </c>
    </row>
    <row r="100" spans="2:24" x14ac:dyDescent="0.3">
      <c r="Q100" s="362"/>
      <c r="R100" s="13">
        <v>31</v>
      </c>
      <c r="S100" s="360">
        <v>1.0434718263917686</v>
      </c>
      <c r="T100" s="360">
        <v>0.79809231738116493</v>
      </c>
      <c r="U100" s="360">
        <v>0.83648636674639942</v>
      </c>
      <c r="V100" s="360">
        <v>0.39489717238277855</v>
      </c>
      <c r="W100" s="360">
        <v>0.31286094428821604</v>
      </c>
      <c r="X100" s="360">
        <v>0.14525391577080071</v>
      </c>
    </row>
    <row r="101" spans="2:24" x14ac:dyDescent="0.3">
      <c r="Q101" s="362"/>
      <c r="R101" s="13">
        <v>32</v>
      </c>
      <c r="S101" s="360">
        <v>1.0033089679249128</v>
      </c>
      <c r="T101" s="360">
        <v>0.74219492063692316</v>
      </c>
      <c r="U101" s="360">
        <v>0.88615114481053181</v>
      </c>
      <c r="V101" s="360">
        <v>0.5128503777516179</v>
      </c>
      <c r="W101" s="360">
        <v>0.22315362169525593</v>
      </c>
      <c r="X101" s="360">
        <v>9.7184006528483996E-2</v>
      </c>
    </row>
    <row r="102" spans="2:24" x14ac:dyDescent="0.3">
      <c r="Q102" s="362"/>
      <c r="R102" s="13">
        <v>33</v>
      </c>
      <c r="S102" s="360">
        <v>1.0852538946956047</v>
      </c>
      <c r="T102" s="360">
        <v>0.90173266682955289</v>
      </c>
      <c r="U102" s="360">
        <v>0.68631426530162276</v>
      </c>
      <c r="V102" s="360">
        <v>0.33926311580584606</v>
      </c>
      <c r="W102" s="360">
        <v>0.17054945526884346</v>
      </c>
      <c r="X102" s="360">
        <v>0.2152856623618675</v>
      </c>
    </row>
    <row r="103" spans="2:24" x14ac:dyDescent="0.3">
      <c r="R103" s="13">
        <v>55</v>
      </c>
      <c r="S103" s="360">
        <v>1.0678155177413691</v>
      </c>
      <c r="T103" s="360">
        <v>0.67173239075001945</v>
      </c>
      <c r="U103" s="360">
        <v>0.82619033671401321</v>
      </c>
      <c r="V103" s="360">
        <v>0.57523644019845499</v>
      </c>
      <c r="W103" s="360">
        <v>0.16935186753228718</v>
      </c>
      <c r="X103" s="360">
        <v>0.15611502613379696</v>
      </c>
    </row>
  </sheetData>
  <hyperlinks>
    <hyperlink ref="A1" location="Tiitel!A1" display="Tiitel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4"/>
  <dimension ref="A1:O750"/>
  <sheetViews>
    <sheetView zoomScale="85" zoomScaleNormal="85" workbookViewId="0">
      <pane ySplit="2" topLeftCell="A63" activePane="bottomLeft" state="frozen"/>
      <selection pane="bottomLeft" activeCell="E89" sqref="E89"/>
    </sheetView>
  </sheetViews>
  <sheetFormatPr defaultColWidth="7.33203125" defaultRowHeight="13.8" x14ac:dyDescent="0.3"/>
  <cols>
    <col min="1" max="1" width="4.33203125" style="106" customWidth="1"/>
    <col min="2" max="2" width="1.88671875" style="105" customWidth="1"/>
    <col min="3" max="3" width="33.5546875" style="105" customWidth="1"/>
    <col min="4" max="4" width="8.33203125" style="196" customWidth="1"/>
    <col min="5" max="5" width="8.88671875" style="196" customWidth="1"/>
    <col min="6" max="6" width="8.88671875" style="193" customWidth="1"/>
    <col min="7" max="12" width="8.33203125" style="106" customWidth="1"/>
    <col min="13" max="13" width="9.5546875" style="106" bestFit="1" customWidth="1"/>
    <col min="14" max="14" width="8.5546875" style="106" customWidth="1"/>
    <col min="15" max="16" width="9.88671875" style="106" customWidth="1"/>
    <col min="17" max="19" width="7.33203125" style="106" customWidth="1"/>
    <col min="20" max="20" width="9.109375" style="106" customWidth="1"/>
    <col min="21" max="257" width="7.33203125" style="106"/>
    <col min="258" max="258" width="1.88671875" style="106" bestFit="1" customWidth="1"/>
    <col min="259" max="259" width="29.44140625" style="106" bestFit="1" customWidth="1"/>
    <col min="260" max="260" width="12.33203125" style="106" customWidth="1"/>
    <col min="261" max="261" width="7.44140625" style="106" customWidth="1"/>
    <col min="262" max="262" width="14" style="106" customWidth="1"/>
    <col min="263" max="268" width="9.6640625" style="106" customWidth="1"/>
    <col min="269" max="269" width="9.5546875" style="106" bestFit="1" customWidth="1"/>
    <col min="270" max="270" width="8.5546875" style="106" customWidth="1"/>
    <col min="271" max="272" width="9.88671875" style="106" customWidth="1"/>
    <col min="273" max="275" width="7.33203125" style="106" customWidth="1"/>
    <col min="276" max="276" width="9.109375" style="106" customWidth="1"/>
    <col min="277" max="513" width="7.33203125" style="106"/>
    <col min="514" max="514" width="1.88671875" style="106" bestFit="1" customWidth="1"/>
    <col min="515" max="515" width="29.44140625" style="106" bestFit="1" customWidth="1"/>
    <col min="516" max="516" width="12.33203125" style="106" customWidth="1"/>
    <col min="517" max="517" width="7.44140625" style="106" customWidth="1"/>
    <col min="518" max="518" width="14" style="106" customWidth="1"/>
    <col min="519" max="524" width="9.6640625" style="106" customWidth="1"/>
    <col min="525" max="525" width="9.5546875" style="106" bestFit="1" customWidth="1"/>
    <col min="526" max="526" width="8.5546875" style="106" customWidth="1"/>
    <col min="527" max="528" width="9.88671875" style="106" customWidth="1"/>
    <col min="529" max="531" width="7.33203125" style="106" customWidth="1"/>
    <col min="532" max="532" width="9.109375" style="106" customWidth="1"/>
    <col min="533" max="769" width="7.33203125" style="106"/>
    <col min="770" max="770" width="1.88671875" style="106" bestFit="1" customWidth="1"/>
    <col min="771" max="771" width="29.44140625" style="106" bestFit="1" customWidth="1"/>
    <col min="772" max="772" width="12.33203125" style="106" customWidth="1"/>
    <col min="773" max="773" width="7.44140625" style="106" customWidth="1"/>
    <col min="774" max="774" width="14" style="106" customWidth="1"/>
    <col min="775" max="780" width="9.6640625" style="106" customWidth="1"/>
    <col min="781" max="781" width="9.5546875" style="106" bestFit="1" customWidth="1"/>
    <col min="782" max="782" width="8.5546875" style="106" customWidth="1"/>
    <col min="783" max="784" width="9.88671875" style="106" customWidth="1"/>
    <col min="785" max="787" width="7.33203125" style="106" customWidth="1"/>
    <col min="788" max="788" width="9.109375" style="106" customWidth="1"/>
    <col min="789" max="1025" width="7.33203125" style="106"/>
    <col min="1026" max="1026" width="1.88671875" style="106" bestFit="1" customWidth="1"/>
    <col min="1027" max="1027" width="29.44140625" style="106" bestFit="1" customWidth="1"/>
    <col min="1028" max="1028" width="12.33203125" style="106" customWidth="1"/>
    <col min="1029" max="1029" width="7.44140625" style="106" customWidth="1"/>
    <col min="1030" max="1030" width="14" style="106" customWidth="1"/>
    <col min="1031" max="1036" width="9.6640625" style="106" customWidth="1"/>
    <col min="1037" max="1037" width="9.5546875" style="106" bestFit="1" customWidth="1"/>
    <col min="1038" max="1038" width="8.5546875" style="106" customWidth="1"/>
    <col min="1039" max="1040" width="9.88671875" style="106" customWidth="1"/>
    <col min="1041" max="1043" width="7.33203125" style="106" customWidth="1"/>
    <col min="1044" max="1044" width="9.109375" style="106" customWidth="1"/>
    <col min="1045" max="1281" width="7.33203125" style="106"/>
    <col min="1282" max="1282" width="1.88671875" style="106" bestFit="1" customWidth="1"/>
    <col min="1283" max="1283" width="29.44140625" style="106" bestFit="1" customWidth="1"/>
    <col min="1284" max="1284" width="12.33203125" style="106" customWidth="1"/>
    <col min="1285" max="1285" width="7.44140625" style="106" customWidth="1"/>
    <col min="1286" max="1286" width="14" style="106" customWidth="1"/>
    <col min="1287" max="1292" width="9.6640625" style="106" customWidth="1"/>
    <col min="1293" max="1293" width="9.5546875" style="106" bestFit="1" customWidth="1"/>
    <col min="1294" max="1294" width="8.5546875" style="106" customWidth="1"/>
    <col min="1295" max="1296" width="9.88671875" style="106" customWidth="1"/>
    <col min="1297" max="1299" width="7.33203125" style="106" customWidth="1"/>
    <col min="1300" max="1300" width="9.109375" style="106" customWidth="1"/>
    <col min="1301" max="1537" width="7.33203125" style="106"/>
    <col min="1538" max="1538" width="1.88671875" style="106" bestFit="1" customWidth="1"/>
    <col min="1539" max="1539" width="29.44140625" style="106" bestFit="1" customWidth="1"/>
    <col min="1540" max="1540" width="12.33203125" style="106" customWidth="1"/>
    <col min="1541" max="1541" width="7.44140625" style="106" customWidth="1"/>
    <col min="1542" max="1542" width="14" style="106" customWidth="1"/>
    <col min="1543" max="1548" width="9.6640625" style="106" customWidth="1"/>
    <col min="1549" max="1549" width="9.5546875" style="106" bestFit="1" customWidth="1"/>
    <col min="1550" max="1550" width="8.5546875" style="106" customWidth="1"/>
    <col min="1551" max="1552" width="9.88671875" style="106" customWidth="1"/>
    <col min="1553" max="1555" width="7.33203125" style="106" customWidth="1"/>
    <col min="1556" max="1556" width="9.109375" style="106" customWidth="1"/>
    <col min="1557" max="1793" width="7.33203125" style="106"/>
    <col min="1794" max="1794" width="1.88671875" style="106" bestFit="1" customWidth="1"/>
    <col min="1795" max="1795" width="29.44140625" style="106" bestFit="1" customWidth="1"/>
    <col min="1796" max="1796" width="12.33203125" style="106" customWidth="1"/>
    <col min="1797" max="1797" width="7.44140625" style="106" customWidth="1"/>
    <col min="1798" max="1798" width="14" style="106" customWidth="1"/>
    <col min="1799" max="1804" width="9.6640625" style="106" customWidth="1"/>
    <col min="1805" max="1805" width="9.5546875" style="106" bestFit="1" customWidth="1"/>
    <col min="1806" max="1806" width="8.5546875" style="106" customWidth="1"/>
    <col min="1807" max="1808" width="9.88671875" style="106" customWidth="1"/>
    <col min="1809" max="1811" width="7.33203125" style="106" customWidth="1"/>
    <col min="1812" max="1812" width="9.109375" style="106" customWidth="1"/>
    <col min="1813" max="2049" width="7.33203125" style="106"/>
    <col min="2050" max="2050" width="1.88671875" style="106" bestFit="1" customWidth="1"/>
    <col min="2051" max="2051" width="29.44140625" style="106" bestFit="1" customWidth="1"/>
    <col min="2052" max="2052" width="12.33203125" style="106" customWidth="1"/>
    <col min="2053" max="2053" width="7.44140625" style="106" customWidth="1"/>
    <col min="2054" max="2054" width="14" style="106" customWidth="1"/>
    <col min="2055" max="2060" width="9.6640625" style="106" customWidth="1"/>
    <col min="2061" max="2061" width="9.5546875" style="106" bestFit="1" customWidth="1"/>
    <col min="2062" max="2062" width="8.5546875" style="106" customWidth="1"/>
    <col min="2063" max="2064" width="9.88671875" style="106" customWidth="1"/>
    <col min="2065" max="2067" width="7.33203125" style="106" customWidth="1"/>
    <col min="2068" max="2068" width="9.109375" style="106" customWidth="1"/>
    <col min="2069" max="2305" width="7.33203125" style="106"/>
    <col min="2306" max="2306" width="1.88671875" style="106" bestFit="1" customWidth="1"/>
    <col min="2307" max="2307" width="29.44140625" style="106" bestFit="1" customWidth="1"/>
    <col min="2308" max="2308" width="12.33203125" style="106" customWidth="1"/>
    <col min="2309" max="2309" width="7.44140625" style="106" customWidth="1"/>
    <col min="2310" max="2310" width="14" style="106" customWidth="1"/>
    <col min="2311" max="2316" width="9.6640625" style="106" customWidth="1"/>
    <col min="2317" max="2317" width="9.5546875" style="106" bestFit="1" customWidth="1"/>
    <col min="2318" max="2318" width="8.5546875" style="106" customWidth="1"/>
    <col min="2319" max="2320" width="9.88671875" style="106" customWidth="1"/>
    <col min="2321" max="2323" width="7.33203125" style="106" customWidth="1"/>
    <col min="2324" max="2324" width="9.109375" style="106" customWidth="1"/>
    <col min="2325" max="2561" width="7.33203125" style="106"/>
    <col min="2562" max="2562" width="1.88671875" style="106" bestFit="1" customWidth="1"/>
    <col min="2563" max="2563" width="29.44140625" style="106" bestFit="1" customWidth="1"/>
    <col min="2564" max="2564" width="12.33203125" style="106" customWidth="1"/>
    <col min="2565" max="2565" width="7.44140625" style="106" customWidth="1"/>
    <col min="2566" max="2566" width="14" style="106" customWidth="1"/>
    <col min="2567" max="2572" width="9.6640625" style="106" customWidth="1"/>
    <col min="2573" max="2573" width="9.5546875" style="106" bestFit="1" customWidth="1"/>
    <col min="2574" max="2574" width="8.5546875" style="106" customWidth="1"/>
    <col min="2575" max="2576" width="9.88671875" style="106" customWidth="1"/>
    <col min="2577" max="2579" width="7.33203125" style="106" customWidth="1"/>
    <col min="2580" max="2580" width="9.109375" style="106" customWidth="1"/>
    <col min="2581" max="2817" width="7.33203125" style="106"/>
    <col min="2818" max="2818" width="1.88671875" style="106" bestFit="1" customWidth="1"/>
    <col min="2819" max="2819" width="29.44140625" style="106" bestFit="1" customWidth="1"/>
    <col min="2820" max="2820" width="12.33203125" style="106" customWidth="1"/>
    <col min="2821" max="2821" width="7.44140625" style="106" customWidth="1"/>
    <col min="2822" max="2822" width="14" style="106" customWidth="1"/>
    <col min="2823" max="2828" width="9.6640625" style="106" customWidth="1"/>
    <col min="2829" max="2829" width="9.5546875" style="106" bestFit="1" customWidth="1"/>
    <col min="2830" max="2830" width="8.5546875" style="106" customWidth="1"/>
    <col min="2831" max="2832" width="9.88671875" style="106" customWidth="1"/>
    <col min="2833" max="2835" width="7.33203125" style="106" customWidth="1"/>
    <col min="2836" max="2836" width="9.109375" style="106" customWidth="1"/>
    <col min="2837" max="3073" width="7.33203125" style="106"/>
    <col min="3074" max="3074" width="1.88671875" style="106" bestFit="1" customWidth="1"/>
    <col min="3075" max="3075" width="29.44140625" style="106" bestFit="1" customWidth="1"/>
    <col min="3076" max="3076" width="12.33203125" style="106" customWidth="1"/>
    <col min="3077" max="3077" width="7.44140625" style="106" customWidth="1"/>
    <col min="3078" max="3078" width="14" style="106" customWidth="1"/>
    <col min="3079" max="3084" width="9.6640625" style="106" customWidth="1"/>
    <col min="3085" max="3085" width="9.5546875" style="106" bestFit="1" customWidth="1"/>
    <col min="3086" max="3086" width="8.5546875" style="106" customWidth="1"/>
    <col min="3087" max="3088" width="9.88671875" style="106" customWidth="1"/>
    <col min="3089" max="3091" width="7.33203125" style="106" customWidth="1"/>
    <col min="3092" max="3092" width="9.109375" style="106" customWidth="1"/>
    <col min="3093" max="3329" width="7.33203125" style="106"/>
    <col min="3330" max="3330" width="1.88671875" style="106" bestFit="1" customWidth="1"/>
    <col min="3331" max="3331" width="29.44140625" style="106" bestFit="1" customWidth="1"/>
    <col min="3332" max="3332" width="12.33203125" style="106" customWidth="1"/>
    <col min="3333" max="3333" width="7.44140625" style="106" customWidth="1"/>
    <col min="3334" max="3334" width="14" style="106" customWidth="1"/>
    <col min="3335" max="3340" width="9.6640625" style="106" customWidth="1"/>
    <col min="3341" max="3341" width="9.5546875" style="106" bestFit="1" customWidth="1"/>
    <col min="3342" max="3342" width="8.5546875" style="106" customWidth="1"/>
    <col min="3343" max="3344" width="9.88671875" style="106" customWidth="1"/>
    <col min="3345" max="3347" width="7.33203125" style="106" customWidth="1"/>
    <col min="3348" max="3348" width="9.109375" style="106" customWidth="1"/>
    <col min="3349" max="3585" width="7.33203125" style="106"/>
    <col min="3586" max="3586" width="1.88671875" style="106" bestFit="1" customWidth="1"/>
    <col min="3587" max="3587" width="29.44140625" style="106" bestFit="1" customWidth="1"/>
    <col min="3588" max="3588" width="12.33203125" style="106" customWidth="1"/>
    <col min="3589" max="3589" width="7.44140625" style="106" customWidth="1"/>
    <col min="3590" max="3590" width="14" style="106" customWidth="1"/>
    <col min="3591" max="3596" width="9.6640625" style="106" customWidth="1"/>
    <col min="3597" max="3597" width="9.5546875" style="106" bestFit="1" customWidth="1"/>
    <col min="3598" max="3598" width="8.5546875" style="106" customWidth="1"/>
    <col min="3599" max="3600" width="9.88671875" style="106" customWidth="1"/>
    <col min="3601" max="3603" width="7.33203125" style="106" customWidth="1"/>
    <col min="3604" max="3604" width="9.109375" style="106" customWidth="1"/>
    <col min="3605" max="3841" width="7.33203125" style="106"/>
    <col min="3842" max="3842" width="1.88671875" style="106" bestFit="1" customWidth="1"/>
    <col min="3843" max="3843" width="29.44140625" style="106" bestFit="1" customWidth="1"/>
    <col min="3844" max="3844" width="12.33203125" style="106" customWidth="1"/>
    <col min="3845" max="3845" width="7.44140625" style="106" customWidth="1"/>
    <col min="3846" max="3846" width="14" style="106" customWidth="1"/>
    <col min="3847" max="3852" width="9.6640625" style="106" customWidth="1"/>
    <col min="3853" max="3853" width="9.5546875" style="106" bestFit="1" customWidth="1"/>
    <col min="3854" max="3854" width="8.5546875" style="106" customWidth="1"/>
    <col min="3855" max="3856" width="9.88671875" style="106" customWidth="1"/>
    <col min="3857" max="3859" width="7.33203125" style="106" customWidth="1"/>
    <col min="3860" max="3860" width="9.109375" style="106" customWidth="1"/>
    <col min="3861" max="4097" width="7.33203125" style="106"/>
    <col min="4098" max="4098" width="1.88671875" style="106" bestFit="1" customWidth="1"/>
    <col min="4099" max="4099" width="29.44140625" style="106" bestFit="1" customWidth="1"/>
    <col min="4100" max="4100" width="12.33203125" style="106" customWidth="1"/>
    <col min="4101" max="4101" width="7.44140625" style="106" customWidth="1"/>
    <col min="4102" max="4102" width="14" style="106" customWidth="1"/>
    <col min="4103" max="4108" width="9.6640625" style="106" customWidth="1"/>
    <col min="4109" max="4109" width="9.5546875" style="106" bestFit="1" customWidth="1"/>
    <col min="4110" max="4110" width="8.5546875" style="106" customWidth="1"/>
    <col min="4111" max="4112" width="9.88671875" style="106" customWidth="1"/>
    <col min="4113" max="4115" width="7.33203125" style="106" customWidth="1"/>
    <col min="4116" max="4116" width="9.109375" style="106" customWidth="1"/>
    <col min="4117" max="4353" width="7.33203125" style="106"/>
    <col min="4354" max="4354" width="1.88671875" style="106" bestFit="1" customWidth="1"/>
    <col min="4355" max="4355" width="29.44140625" style="106" bestFit="1" customWidth="1"/>
    <col min="4356" max="4356" width="12.33203125" style="106" customWidth="1"/>
    <col min="4357" max="4357" width="7.44140625" style="106" customWidth="1"/>
    <col min="4358" max="4358" width="14" style="106" customWidth="1"/>
    <col min="4359" max="4364" width="9.6640625" style="106" customWidth="1"/>
    <col min="4365" max="4365" width="9.5546875" style="106" bestFit="1" customWidth="1"/>
    <col min="4366" max="4366" width="8.5546875" style="106" customWidth="1"/>
    <col min="4367" max="4368" width="9.88671875" style="106" customWidth="1"/>
    <col min="4369" max="4371" width="7.33203125" style="106" customWidth="1"/>
    <col min="4372" max="4372" width="9.109375" style="106" customWidth="1"/>
    <col min="4373" max="4609" width="7.33203125" style="106"/>
    <col min="4610" max="4610" width="1.88671875" style="106" bestFit="1" customWidth="1"/>
    <col min="4611" max="4611" width="29.44140625" style="106" bestFit="1" customWidth="1"/>
    <col min="4612" max="4612" width="12.33203125" style="106" customWidth="1"/>
    <col min="4613" max="4613" width="7.44140625" style="106" customWidth="1"/>
    <col min="4614" max="4614" width="14" style="106" customWidth="1"/>
    <col min="4615" max="4620" width="9.6640625" style="106" customWidth="1"/>
    <col min="4621" max="4621" width="9.5546875" style="106" bestFit="1" customWidth="1"/>
    <col min="4622" max="4622" width="8.5546875" style="106" customWidth="1"/>
    <col min="4623" max="4624" width="9.88671875" style="106" customWidth="1"/>
    <col min="4625" max="4627" width="7.33203125" style="106" customWidth="1"/>
    <col min="4628" max="4628" width="9.109375" style="106" customWidth="1"/>
    <col min="4629" max="4865" width="7.33203125" style="106"/>
    <col min="4866" max="4866" width="1.88671875" style="106" bestFit="1" customWidth="1"/>
    <col min="4867" max="4867" width="29.44140625" style="106" bestFit="1" customWidth="1"/>
    <col min="4868" max="4868" width="12.33203125" style="106" customWidth="1"/>
    <col min="4869" max="4869" width="7.44140625" style="106" customWidth="1"/>
    <col min="4870" max="4870" width="14" style="106" customWidth="1"/>
    <col min="4871" max="4876" width="9.6640625" style="106" customWidth="1"/>
    <col min="4877" max="4877" width="9.5546875" style="106" bestFit="1" customWidth="1"/>
    <col min="4878" max="4878" width="8.5546875" style="106" customWidth="1"/>
    <col min="4879" max="4880" width="9.88671875" style="106" customWidth="1"/>
    <col min="4881" max="4883" width="7.33203125" style="106" customWidth="1"/>
    <col min="4884" max="4884" width="9.109375" style="106" customWidth="1"/>
    <col min="4885" max="5121" width="7.33203125" style="106"/>
    <col min="5122" max="5122" width="1.88671875" style="106" bestFit="1" customWidth="1"/>
    <col min="5123" max="5123" width="29.44140625" style="106" bestFit="1" customWidth="1"/>
    <col min="5124" max="5124" width="12.33203125" style="106" customWidth="1"/>
    <col min="5125" max="5125" width="7.44140625" style="106" customWidth="1"/>
    <col min="5126" max="5126" width="14" style="106" customWidth="1"/>
    <col min="5127" max="5132" width="9.6640625" style="106" customWidth="1"/>
    <col min="5133" max="5133" width="9.5546875" style="106" bestFit="1" customWidth="1"/>
    <col min="5134" max="5134" width="8.5546875" style="106" customWidth="1"/>
    <col min="5135" max="5136" width="9.88671875" style="106" customWidth="1"/>
    <col min="5137" max="5139" width="7.33203125" style="106" customWidth="1"/>
    <col min="5140" max="5140" width="9.109375" style="106" customWidth="1"/>
    <col min="5141" max="5377" width="7.33203125" style="106"/>
    <col min="5378" max="5378" width="1.88671875" style="106" bestFit="1" customWidth="1"/>
    <col min="5379" max="5379" width="29.44140625" style="106" bestFit="1" customWidth="1"/>
    <col min="5380" max="5380" width="12.33203125" style="106" customWidth="1"/>
    <col min="5381" max="5381" width="7.44140625" style="106" customWidth="1"/>
    <col min="5382" max="5382" width="14" style="106" customWidth="1"/>
    <col min="5383" max="5388" width="9.6640625" style="106" customWidth="1"/>
    <col min="5389" max="5389" width="9.5546875" style="106" bestFit="1" customWidth="1"/>
    <col min="5390" max="5390" width="8.5546875" style="106" customWidth="1"/>
    <col min="5391" max="5392" width="9.88671875" style="106" customWidth="1"/>
    <col min="5393" max="5395" width="7.33203125" style="106" customWidth="1"/>
    <col min="5396" max="5396" width="9.109375" style="106" customWidth="1"/>
    <col min="5397" max="5633" width="7.33203125" style="106"/>
    <col min="5634" max="5634" width="1.88671875" style="106" bestFit="1" customWidth="1"/>
    <col min="5635" max="5635" width="29.44140625" style="106" bestFit="1" customWidth="1"/>
    <col min="5636" max="5636" width="12.33203125" style="106" customWidth="1"/>
    <col min="5637" max="5637" width="7.44140625" style="106" customWidth="1"/>
    <col min="5638" max="5638" width="14" style="106" customWidth="1"/>
    <col min="5639" max="5644" width="9.6640625" style="106" customWidth="1"/>
    <col min="5645" max="5645" width="9.5546875" style="106" bestFit="1" customWidth="1"/>
    <col min="5646" max="5646" width="8.5546875" style="106" customWidth="1"/>
    <col min="5647" max="5648" width="9.88671875" style="106" customWidth="1"/>
    <col min="5649" max="5651" width="7.33203125" style="106" customWidth="1"/>
    <col min="5652" max="5652" width="9.109375" style="106" customWidth="1"/>
    <col min="5653" max="5889" width="7.33203125" style="106"/>
    <col min="5890" max="5890" width="1.88671875" style="106" bestFit="1" customWidth="1"/>
    <col min="5891" max="5891" width="29.44140625" style="106" bestFit="1" customWidth="1"/>
    <col min="5892" max="5892" width="12.33203125" style="106" customWidth="1"/>
    <col min="5893" max="5893" width="7.44140625" style="106" customWidth="1"/>
    <col min="5894" max="5894" width="14" style="106" customWidth="1"/>
    <col min="5895" max="5900" width="9.6640625" style="106" customWidth="1"/>
    <col min="5901" max="5901" width="9.5546875" style="106" bestFit="1" customWidth="1"/>
    <col min="5902" max="5902" width="8.5546875" style="106" customWidth="1"/>
    <col min="5903" max="5904" width="9.88671875" style="106" customWidth="1"/>
    <col min="5905" max="5907" width="7.33203125" style="106" customWidth="1"/>
    <col min="5908" max="5908" width="9.109375" style="106" customWidth="1"/>
    <col min="5909" max="6145" width="7.33203125" style="106"/>
    <col min="6146" max="6146" width="1.88671875" style="106" bestFit="1" customWidth="1"/>
    <col min="6147" max="6147" width="29.44140625" style="106" bestFit="1" customWidth="1"/>
    <col min="6148" max="6148" width="12.33203125" style="106" customWidth="1"/>
    <col min="6149" max="6149" width="7.44140625" style="106" customWidth="1"/>
    <col min="6150" max="6150" width="14" style="106" customWidth="1"/>
    <col min="6151" max="6156" width="9.6640625" style="106" customWidth="1"/>
    <col min="6157" max="6157" width="9.5546875" style="106" bestFit="1" customWidth="1"/>
    <col min="6158" max="6158" width="8.5546875" style="106" customWidth="1"/>
    <col min="6159" max="6160" width="9.88671875" style="106" customWidth="1"/>
    <col min="6161" max="6163" width="7.33203125" style="106" customWidth="1"/>
    <col min="6164" max="6164" width="9.109375" style="106" customWidth="1"/>
    <col min="6165" max="6401" width="7.33203125" style="106"/>
    <col min="6402" max="6402" width="1.88671875" style="106" bestFit="1" customWidth="1"/>
    <col min="6403" max="6403" width="29.44140625" style="106" bestFit="1" customWidth="1"/>
    <col min="6404" max="6404" width="12.33203125" style="106" customWidth="1"/>
    <col min="6405" max="6405" width="7.44140625" style="106" customWidth="1"/>
    <col min="6406" max="6406" width="14" style="106" customWidth="1"/>
    <col min="6407" max="6412" width="9.6640625" style="106" customWidth="1"/>
    <col min="6413" max="6413" width="9.5546875" style="106" bestFit="1" customWidth="1"/>
    <col min="6414" max="6414" width="8.5546875" style="106" customWidth="1"/>
    <col min="6415" max="6416" width="9.88671875" style="106" customWidth="1"/>
    <col min="6417" max="6419" width="7.33203125" style="106" customWidth="1"/>
    <col min="6420" max="6420" width="9.109375" style="106" customWidth="1"/>
    <col min="6421" max="6657" width="7.33203125" style="106"/>
    <col min="6658" max="6658" width="1.88671875" style="106" bestFit="1" customWidth="1"/>
    <col min="6659" max="6659" width="29.44140625" style="106" bestFit="1" customWidth="1"/>
    <col min="6660" max="6660" width="12.33203125" style="106" customWidth="1"/>
    <col min="6661" max="6661" width="7.44140625" style="106" customWidth="1"/>
    <col min="6662" max="6662" width="14" style="106" customWidth="1"/>
    <col min="6663" max="6668" width="9.6640625" style="106" customWidth="1"/>
    <col min="6669" max="6669" width="9.5546875" style="106" bestFit="1" customWidth="1"/>
    <col min="6670" max="6670" width="8.5546875" style="106" customWidth="1"/>
    <col min="6671" max="6672" width="9.88671875" style="106" customWidth="1"/>
    <col min="6673" max="6675" width="7.33203125" style="106" customWidth="1"/>
    <col min="6676" max="6676" width="9.109375" style="106" customWidth="1"/>
    <col min="6677" max="6913" width="7.33203125" style="106"/>
    <col min="6914" max="6914" width="1.88671875" style="106" bestFit="1" customWidth="1"/>
    <col min="6915" max="6915" width="29.44140625" style="106" bestFit="1" customWidth="1"/>
    <col min="6916" max="6916" width="12.33203125" style="106" customWidth="1"/>
    <col min="6917" max="6917" width="7.44140625" style="106" customWidth="1"/>
    <col min="6918" max="6918" width="14" style="106" customWidth="1"/>
    <col min="6919" max="6924" width="9.6640625" style="106" customWidth="1"/>
    <col min="6925" max="6925" width="9.5546875" style="106" bestFit="1" customWidth="1"/>
    <col min="6926" max="6926" width="8.5546875" style="106" customWidth="1"/>
    <col min="6927" max="6928" width="9.88671875" style="106" customWidth="1"/>
    <col min="6929" max="6931" width="7.33203125" style="106" customWidth="1"/>
    <col min="6932" max="6932" width="9.109375" style="106" customWidth="1"/>
    <col min="6933" max="7169" width="7.33203125" style="106"/>
    <col min="7170" max="7170" width="1.88671875" style="106" bestFit="1" customWidth="1"/>
    <col min="7171" max="7171" width="29.44140625" style="106" bestFit="1" customWidth="1"/>
    <col min="7172" max="7172" width="12.33203125" style="106" customWidth="1"/>
    <col min="7173" max="7173" width="7.44140625" style="106" customWidth="1"/>
    <col min="7174" max="7174" width="14" style="106" customWidth="1"/>
    <col min="7175" max="7180" width="9.6640625" style="106" customWidth="1"/>
    <col min="7181" max="7181" width="9.5546875" style="106" bestFit="1" customWidth="1"/>
    <col min="7182" max="7182" width="8.5546875" style="106" customWidth="1"/>
    <col min="7183" max="7184" width="9.88671875" style="106" customWidth="1"/>
    <col min="7185" max="7187" width="7.33203125" style="106" customWidth="1"/>
    <col min="7188" max="7188" width="9.109375" style="106" customWidth="1"/>
    <col min="7189" max="7425" width="7.33203125" style="106"/>
    <col min="7426" max="7426" width="1.88671875" style="106" bestFit="1" customWidth="1"/>
    <col min="7427" max="7427" width="29.44140625" style="106" bestFit="1" customWidth="1"/>
    <col min="7428" max="7428" width="12.33203125" style="106" customWidth="1"/>
    <col min="7429" max="7429" width="7.44140625" style="106" customWidth="1"/>
    <col min="7430" max="7430" width="14" style="106" customWidth="1"/>
    <col min="7431" max="7436" width="9.6640625" style="106" customWidth="1"/>
    <col min="7437" max="7437" width="9.5546875" style="106" bestFit="1" customWidth="1"/>
    <col min="7438" max="7438" width="8.5546875" style="106" customWidth="1"/>
    <col min="7439" max="7440" width="9.88671875" style="106" customWidth="1"/>
    <col min="7441" max="7443" width="7.33203125" style="106" customWidth="1"/>
    <col min="7444" max="7444" width="9.109375" style="106" customWidth="1"/>
    <col min="7445" max="7681" width="7.33203125" style="106"/>
    <col min="7682" max="7682" width="1.88671875" style="106" bestFit="1" customWidth="1"/>
    <col min="7683" max="7683" width="29.44140625" style="106" bestFit="1" customWidth="1"/>
    <col min="7684" max="7684" width="12.33203125" style="106" customWidth="1"/>
    <col min="7685" max="7685" width="7.44140625" style="106" customWidth="1"/>
    <col min="7686" max="7686" width="14" style="106" customWidth="1"/>
    <col min="7687" max="7692" width="9.6640625" style="106" customWidth="1"/>
    <col min="7693" max="7693" width="9.5546875" style="106" bestFit="1" customWidth="1"/>
    <col min="7694" max="7694" width="8.5546875" style="106" customWidth="1"/>
    <col min="7695" max="7696" width="9.88671875" style="106" customWidth="1"/>
    <col min="7697" max="7699" width="7.33203125" style="106" customWidth="1"/>
    <col min="7700" max="7700" width="9.109375" style="106" customWidth="1"/>
    <col min="7701" max="7937" width="7.33203125" style="106"/>
    <col min="7938" max="7938" width="1.88671875" style="106" bestFit="1" customWidth="1"/>
    <col min="7939" max="7939" width="29.44140625" style="106" bestFit="1" customWidth="1"/>
    <col min="7940" max="7940" width="12.33203125" style="106" customWidth="1"/>
    <col min="7941" max="7941" width="7.44140625" style="106" customWidth="1"/>
    <col min="7942" max="7942" width="14" style="106" customWidth="1"/>
    <col min="7943" max="7948" width="9.6640625" style="106" customWidth="1"/>
    <col min="7949" max="7949" width="9.5546875" style="106" bestFit="1" customWidth="1"/>
    <col min="7950" max="7950" width="8.5546875" style="106" customWidth="1"/>
    <col min="7951" max="7952" width="9.88671875" style="106" customWidth="1"/>
    <col min="7953" max="7955" width="7.33203125" style="106" customWidth="1"/>
    <col min="7956" max="7956" width="9.109375" style="106" customWidth="1"/>
    <col min="7957" max="8193" width="7.33203125" style="106"/>
    <col min="8194" max="8194" width="1.88671875" style="106" bestFit="1" customWidth="1"/>
    <col min="8195" max="8195" width="29.44140625" style="106" bestFit="1" customWidth="1"/>
    <col min="8196" max="8196" width="12.33203125" style="106" customWidth="1"/>
    <col min="8197" max="8197" width="7.44140625" style="106" customWidth="1"/>
    <col min="8198" max="8198" width="14" style="106" customWidth="1"/>
    <col min="8199" max="8204" width="9.6640625" style="106" customWidth="1"/>
    <col min="8205" max="8205" width="9.5546875" style="106" bestFit="1" customWidth="1"/>
    <col min="8206" max="8206" width="8.5546875" style="106" customWidth="1"/>
    <col min="8207" max="8208" width="9.88671875" style="106" customWidth="1"/>
    <col min="8209" max="8211" width="7.33203125" style="106" customWidth="1"/>
    <col min="8212" max="8212" width="9.109375" style="106" customWidth="1"/>
    <col min="8213" max="8449" width="7.33203125" style="106"/>
    <col min="8450" max="8450" width="1.88671875" style="106" bestFit="1" customWidth="1"/>
    <col min="8451" max="8451" width="29.44140625" style="106" bestFit="1" customWidth="1"/>
    <col min="8452" max="8452" width="12.33203125" style="106" customWidth="1"/>
    <col min="8453" max="8453" width="7.44140625" style="106" customWidth="1"/>
    <col min="8454" max="8454" width="14" style="106" customWidth="1"/>
    <col min="8455" max="8460" width="9.6640625" style="106" customWidth="1"/>
    <col min="8461" max="8461" width="9.5546875" style="106" bestFit="1" customWidth="1"/>
    <col min="8462" max="8462" width="8.5546875" style="106" customWidth="1"/>
    <col min="8463" max="8464" width="9.88671875" style="106" customWidth="1"/>
    <col min="8465" max="8467" width="7.33203125" style="106" customWidth="1"/>
    <col min="8468" max="8468" width="9.109375" style="106" customWidth="1"/>
    <col min="8469" max="8705" width="7.33203125" style="106"/>
    <col min="8706" max="8706" width="1.88671875" style="106" bestFit="1" customWidth="1"/>
    <col min="8707" max="8707" width="29.44140625" style="106" bestFit="1" customWidth="1"/>
    <col min="8708" max="8708" width="12.33203125" style="106" customWidth="1"/>
    <col min="8709" max="8709" width="7.44140625" style="106" customWidth="1"/>
    <col min="8710" max="8710" width="14" style="106" customWidth="1"/>
    <col min="8711" max="8716" width="9.6640625" style="106" customWidth="1"/>
    <col min="8717" max="8717" width="9.5546875" style="106" bestFit="1" customWidth="1"/>
    <col min="8718" max="8718" width="8.5546875" style="106" customWidth="1"/>
    <col min="8719" max="8720" width="9.88671875" style="106" customWidth="1"/>
    <col min="8721" max="8723" width="7.33203125" style="106" customWidth="1"/>
    <col min="8724" max="8724" width="9.109375" style="106" customWidth="1"/>
    <col min="8725" max="8961" width="7.33203125" style="106"/>
    <col min="8962" max="8962" width="1.88671875" style="106" bestFit="1" customWidth="1"/>
    <col min="8963" max="8963" width="29.44140625" style="106" bestFit="1" customWidth="1"/>
    <col min="8964" max="8964" width="12.33203125" style="106" customWidth="1"/>
    <col min="8965" max="8965" width="7.44140625" style="106" customWidth="1"/>
    <col min="8966" max="8966" width="14" style="106" customWidth="1"/>
    <col min="8967" max="8972" width="9.6640625" style="106" customWidth="1"/>
    <col min="8973" max="8973" width="9.5546875" style="106" bestFit="1" customWidth="1"/>
    <col min="8974" max="8974" width="8.5546875" style="106" customWidth="1"/>
    <col min="8975" max="8976" width="9.88671875" style="106" customWidth="1"/>
    <col min="8977" max="8979" width="7.33203125" style="106" customWidth="1"/>
    <col min="8980" max="8980" width="9.109375" style="106" customWidth="1"/>
    <col min="8981" max="9217" width="7.33203125" style="106"/>
    <col min="9218" max="9218" width="1.88671875" style="106" bestFit="1" customWidth="1"/>
    <col min="9219" max="9219" width="29.44140625" style="106" bestFit="1" customWidth="1"/>
    <col min="9220" max="9220" width="12.33203125" style="106" customWidth="1"/>
    <col min="9221" max="9221" width="7.44140625" style="106" customWidth="1"/>
    <col min="9222" max="9222" width="14" style="106" customWidth="1"/>
    <col min="9223" max="9228" width="9.6640625" style="106" customWidth="1"/>
    <col min="9229" max="9229" width="9.5546875" style="106" bestFit="1" customWidth="1"/>
    <col min="9230" max="9230" width="8.5546875" style="106" customWidth="1"/>
    <col min="9231" max="9232" width="9.88671875" style="106" customWidth="1"/>
    <col min="9233" max="9235" width="7.33203125" style="106" customWidth="1"/>
    <col min="9236" max="9236" width="9.109375" style="106" customWidth="1"/>
    <col min="9237" max="9473" width="7.33203125" style="106"/>
    <col min="9474" max="9474" width="1.88671875" style="106" bestFit="1" customWidth="1"/>
    <col min="9475" max="9475" width="29.44140625" style="106" bestFit="1" customWidth="1"/>
    <col min="9476" max="9476" width="12.33203125" style="106" customWidth="1"/>
    <col min="9477" max="9477" width="7.44140625" style="106" customWidth="1"/>
    <col min="9478" max="9478" width="14" style="106" customWidth="1"/>
    <col min="9479" max="9484" width="9.6640625" style="106" customWidth="1"/>
    <col min="9485" max="9485" width="9.5546875" style="106" bestFit="1" customWidth="1"/>
    <col min="9486" max="9486" width="8.5546875" style="106" customWidth="1"/>
    <col min="9487" max="9488" width="9.88671875" style="106" customWidth="1"/>
    <col min="9489" max="9491" width="7.33203125" style="106" customWidth="1"/>
    <col min="9492" max="9492" width="9.109375" style="106" customWidth="1"/>
    <col min="9493" max="9729" width="7.33203125" style="106"/>
    <col min="9730" max="9730" width="1.88671875" style="106" bestFit="1" customWidth="1"/>
    <col min="9731" max="9731" width="29.44140625" style="106" bestFit="1" customWidth="1"/>
    <col min="9732" max="9732" width="12.33203125" style="106" customWidth="1"/>
    <col min="9733" max="9733" width="7.44140625" style="106" customWidth="1"/>
    <col min="9734" max="9734" width="14" style="106" customWidth="1"/>
    <col min="9735" max="9740" width="9.6640625" style="106" customWidth="1"/>
    <col min="9741" max="9741" width="9.5546875" style="106" bestFit="1" customWidth="1"/>
    <col min="9742" max="9742" width="8.5546875" style="106" customWidth="1"/>
    <col min="9743" max="9744" width="9.88671875" style="106" customWidth="1"/>
    <col min="9745" max="9747" width="7.33203125" style="106" customWidth="1"/>
    <col min="9748" max="9748" width="9.109375" style="106" customWidth="1"/>
    <col min="9749" max="9985" width="7.33203125" style="106"/>
    <col min="9986" max="9986" width="1.88671875" style="106" bestFit="1" customWidth="1"/>
    <col min="9987" max="9987" width="29.44140625" style="106" bestFit="1" customWidth="1"/>
    <col min="9988" max="9988" width="12.33203125" style="106" customWidth="1"/>
    <col min="9989" max="9989" width="7.44140625" style="106" customWidth="1"/>
    <col min="9990" max="9990" width="14" style="106" customWidth="1"/>
    <col min="9991" max="9996" width="9.6640625" style="106" customWidth="1"/>
    <col min="9997" max="9997" width="9.5546875" style="106" bestFit="1" customWidth="1"/>
    <col min="9998" max="9998" width="8.5546875" style="106" customWidth="1"/>
    <col min="9999" max="10000" width="9.88671875" style="106" customWidth="1"/>
    <col min="10001" max="10003" width="7.33203125" style="106" customWidth="1"/>
    <col min="10004" max="10004" width="9.109375" style="106" customWidth="1"/>
    <col min="10005" max="10241" width="7.33203125" style="106"/>
    <col min="10242" max="10242" width="1.88671875" style="106" bestFit="1" customWidth="1"/>
    <col min="10243" max="10243" width="29.44140625" style="106" bestFit="1" customWidth="1"/>
    <col min="10244" max="10244" width="12.33203125" style="106" customWidth="1"/>
    <col min="10245" max="10245" width="7.44140625" style="106" customWidth="1"/>
    <col min="10246" max="10246" width="14" style="106" customWidth="1"/>
    <col min="10247" max="10252" width="9.6640625" style="106" customWidth="1"/>
    <col min="10253" max="10253" width="9.5546875" style="106" bestFit="1" customWidth="1"/>
    <col min="10254" max="10254" width="8.5546875" style="106" customWidth="1"/>
    <col min="10255" max="10256" width="9.88671875" style="106" customWidth="1"/>
    <col min="10257" max="10259" width="7.33203125" style="106" customWidth="1"/>
    <col min="10260" max="10260" width="9.109375" style="106" customWidth="1"/>
    <col min="10261" max="10497" width="7.33203125" style="106"/>
    <col min="10498" max="10498" width="1.88671875" style="106" bestFit="1" customWidth="1"/>
    <col min="10499" max="10499" width="29.44140625" style="106" bestFit="1" customWidth="1"/>
    <col min="10500" max="10500" width="12.33203125" style="106" customWidth="1"/>
    <col min="10501" max="10501" width="7.44140625" style="106" customWidth="1"/>
    <col min="10502" max="10502" width="14" style="106" customWidth="1"/>
    <col min="10503" max="10508" width="9.6640625" style="106" customWidth="1"/>
    <col min="10509" max="10509" width="9.5546875" style="106" bestFit="1" customWidth="1"/>
    <col min="10510" max="10510" width="8.5546875" style="106" customWidth="1"/>
    <col min="10511" max="10512" width="9.88671875" style="106" customWidth="1"/>
    <col min="10513" max="10515" width="7.33203125" style="106" customWidth="1"/>
    <col min="10516" max="10516" width="9.109375" style="106" customWidth="1"/>
    <col min="10517" max="10753" width="7.33203125" style="106"/>
    <col min="10754" max="10754" width="1.88671875" style="106" bestFit="1" customWidth="1"/>
    <col min="10755" max="10755" width="29.44140625" style="106" bestFit="1" customWidth="1"/>
    <col min="10756" max="10756" width="12.33203125" style="106" customWidth="1"/>
    <col min="10757" max="10757" width="7.44140625" style="106" customWidth="1"/>
    <col min="10758" max="10758" width="14" style="106" customWidth="1"/>
    <col min="10759" max="10764" width="9.6640625" style="106" customWidth="1"/>
    <col min="10765" max="10765" width="9.5546875" style="106" bestFit="1" customWidth="1"/>
    <col min="10766" max="10766" width="8.5546875" style="106" customWidth="1"/>
    <col min="10767" max="10768" width="9.88671875" style="106" customWidth="1"/>
    <col min="10769" max="10771" width="7.33203125" style="106" customWidth="1"/>
    <col min="10772" max="10772" width="9.109375" style="106" customWidth="1"/>
    <col min="10773" max="11009" width="7.33203125" style="106"/>
    <col min="11010" max="11010" width="1.88671875" style="106" bestFit="1" customWidth="1"/>
    <col min="11011" max="11011" width="29.44140625" style="106" bestFit="1" customWidth="1"/>
    <col min="11012" max="11012" width="12.33203125" style="106" customWidth="1"/>
    <col min="11013" max="11013" width="7.44140625" style="106" customWidth="1"/>
    <col min="11014" max="11014" width="14" style="106" customWidth="1"/>
    <col min="11015" max="11020" width="9.6640625" style="106" customWidth="1"/>
    <col min="11021" max="11021" width="9.5546875" style="106" bestFit="1" customWidth="1"/>
    <col min="11022" max="11022" width="8.5546875" style="106" customWidth="1"/>
    <col min="11023" max="11024" width="9.88671875" style="106" customWidth="1"/>
    <col min="11025" max="11027" width="7.33203125" style="106" customWidth="1"/>
    <col min="11028" max="11028" width="9.109375" style="106" customWidth="1"/>
    <col min="11029" max="11265" width="7.33203125" style="106"/>
    <col min="11266" max="11266" width="1.88671875" style="106" bestFit="1" customWidth="1"/>
    <col min="11267" max="11267" width="29.44140625" style="106" bestFit="1" customWidth="1"/>
    <col min="11268" max="11268" width="12.33203125" style="106" customWidth="1"/>
    <col min="11269" max="11269" width="7.44140625" style="106" customWidth="1"/>
    <col min="11270" max="11270" width="14" style="106" customWidth="1"/>
    <col min="11271" max="11276" width="9.6640625" style="106" customWidth="1"/>
    <col min="11277" max="11277" width="9.5546875" style="106" bestFit="1" customWidth="1"/>
    <col min="11278" max="11278" width="8.5546875" style="106" customWidth="1"/>
    <col min="11279" max="11280" width="9.88671875" style="106" customWidth="1"/>
    <col min="11281" max="11283" width="7.33203125" style="106" customWidth="1"/>
    <col min="11284" max="11284" width="9.109375" style="106" customWidth="1"/>
    <col min="11285" max="11521" width="7.33203125" style="106"/>
    <col min="11522" max="11522" width="1.88671875" style="106" bestFit="1" customWidth="1"/>
    <col min="11523" max="11523" width="29.44140625" style="106" bestFit="1" customWidth="1"/>
    <col min="11524" max="11524" width="12.33203125" style="106" customWidth="1"/>
    <col min="11525" max="11525" width="7.44140625" style="106" customWidth="1"/>
    <col min="11526" max="11526" width="14" style="106" customWidth="1"/>
    <col min="11527" max="11532" width="9.6640625" style="106" customWidth="1"/>
    <col min="11533" max="11533" width="9.5546875" style="106" bestFit="1" customWidth="1"/>
    <col min="11534" max="11534" width="8.5546875" style="106" customWidth="1"/>
    <col min="11535" max="11536" width="9.88671875" style="106" customWidth="1"/>
    <col min="11537" max="11539" width="7.33203125" style="106" customWidth="1"/>
    <col min="11540" max="11540" width="9.109375" style="106" customWidth="1"/>
    <col min="11541" max="11777" width="7.33203125" style="106"/>
    <col min="11778" max="11778" width="1.88671875" style="106" bestFit="1" customWidth="1"/>
    <col min="11779" max="11779" width="29.44140625" style="106" bestFit="1" customWidth="1"/>
    <col min="11780" max="11780" width="12.33203125" style="106" customWidth="1"/>
    <col min="11781" max="11781" width="7.44140625" style="106" customWidth="1"/>
    <col min="11782" max="11782" width="14" style="106" customWidth="1"/>
    <col min="11783" max="11788" width="9.6640625" style="106" customWidth="1"/>
    <col min="11789" max="11789" width="9.5546875" style="106" bestFit="1" customWidth="1"/>
    <col min="11790" max="11790" width="8.5546875" style="106" customWidth="1"/>
    <col min="11791" max="11792" width="9.88671875" style="106" customWidth="1"/>
    <col min="11793" max="11795" width="7.33203125" style="106" customWidth="1"/>
    <col min="11796" max="11796" width="9.109375" style="106" customWidth="1"/>
    <col min="11797" max="12033" width="7.33203125" style="106"/>
    <col min="12034" max="12034" width="1.88671875" style="106" bestFit="1" customWidth="1"/>
    <col min="12035" max="12035" width="29.44140625" style="106" bestFit="1" customWidth="1"/>
    <col min="12036" max="12036" width="12.33203125" style="106" customWidth="1"/>
    <col min="12037" max="12037" width="7.44140625" style="106" customWidth="1"/>
    <col min="12038" max="12038" width="14" style="106" customWidth="1"/>
    <col min="12039" max="12044" width="9.6640625" style="106" customWidth="1"/>
    <col min="12045" max="12045" width="9.5546875" style="106" bestFit="1" customWidth="1"/>
    <col min="12046" max="12046" width="8.5546875" style="106" customWidth="1"/>
    <col min="12047" max="12048" width="9.88671875" style="106" customWidth="1"/>
    <col min="12049" max="12051" width="7.33203125" style="106" customWidth="1"/>
    <col min="12052" max="12052" width="9.109375" style="106" customWidth="1"/>
    <col min="12053" max="12289" width="7.33203125" style="106"/>
    <col min="12290" max="12290" width="1.88671875" style="106" bestFit="1" customWidth="1"/>
    <col min="12291" max="12291" width="29.44140625" style="106" bestFit="1" customWidth="1"/>
    <col min="12292" max="12292" width="12.33203125" style="106" customWidth="1"/>
    <col min="12293" max="12293" width="7.44140625" style="106" customWidth="1"/>
    <col min="12294" max="12294" width="14" style="106" customWidth="1"/>
    <col min="12295" max="12300" width="9.6640625" style="106" customWidth="1"/>
    <col min="12301" max="12301" width="9.5546875" style="106" bestFit="1" customWidth="1"/>
    <col min="12302" max="12302" width="8.5546875" style="106" customWidth="1"/>
    <col min="12303" max="12304" width="9.88671875" style="106" customWidth="1"/>
    <col min="12305" max="12307" width="7.33203125" style="106" customWidth="1"/>
    <col min="12308" max="12308" width="9.109375" style="106" customWidth="1"/>
    <col min="12309" max="12545" width="7.33203125" style="106"/>
    <col min="12546" max="12546" width="1.88671875" style="106" bestFit="1" customWidth="1"/>
    <col min="12547" max="12547" width="29.44140625" style="106" bestFit="1" customWidth="1"/>
    <col min="12548" max="12548" width="12.33203125" style="106" customWidth="1"/>
    <col min="12549" max="12549" width="7.44140625" style="106" customWidth="1"/>
    <col min="12550" max="12550" width="14" style="106" customWidth="1"/>
    <col min="12551" max="12556" width="9.6640625" style="106" customWidth="1"/>
    <col min="12557" max="12557" width="9.5546875" style="106" bestFit="1" customWidth="1"/>
    <col min="12558" max="12558" width="8.5546875" style="106" customWidth="1"/>
    <col min="12559" max="12560" width="9.88671875" style="106" customWidth="1"/>
    <col min="12561" max="12563" width="7.33203125" style="106" customWidth="1"/>
    <col min="12564" max="12564" width="9.109375" style="106" customWidth="1"/>
    <col min="12565" max="12801" width="7.33203125" style="106"/>
    <col min="12802" max="12802" width="1.88671875" style="106" bestFit="1" customWidth="1"/>
    <col min="12803" max="12803" width="29.44140625" style="106" bestFit="1" customWidth="1"/>
    <col min="12804" max="12804" width="12.33203125" style="106" customWidth="1"/>
    <col min="12805" max="12805" width="7.44140625" style="106" customWidth="1"/>
    <col min="12806" max="12806" width="14" style="106" customWidth="1"/>
    <col min="12807" max="12812" width="9.6640625" style="106" customWidth="1"/>
    <col min="12813" max="12813" width="9.5546875" style="106" bestFit="1" customWidth="1"/>
    <col min="12814" max="12814" width="8.5546875" style="106" customWidth="1"/>
    <col min="12815" max="12816" width="9.88671875" style="106" customWidth="1"/>
    <col min="12817" max="12819" width="7.33203125" style="106" customWidth="1"/>
    <col min="12820" max="12820" width="9.109375" style="106" customWidth="1"/>
    <col min="12821" max="13057" width="7.33203125" style="106"/>
    <col min="13058" max="13058" width="1.88671875" style="106" bestFit="1" customWidth="1"/>
    <col min="13059" max="13059" width="29.44140625" style="106" bestFit="1" customWidth="1"/>
    <col min="13060" max="13060" width="12.33203125" style="106" customWidth="1"/>
    <col min="13061" max="13061" width="7.44140625" style="106" customWidth="1"/>
    <col min="13062" max="13062" width="14" style="106" customWidth="1"/>
    <col min="13063" max="13068" width="9.6640625" style="106" customWidth="1"/>
    <col min="13069" max="13069" width="9.5546875" style="106" bestFit="1" customWidth="1"/>
    <col min="13070" max="13070" width="8.5546875" style="106" customWidth="1"/>
    <col min="13071" max="13072" width="9.88671875" style="106" customWidth="1"/>
    <col min="13073" max="13075" width="7.33203125" style="106" customWidth="1"/>
    <col min="13076" max="13076" width="9.109375" style="106" customWidth="1"/>
    <col min="13077" max="13313" width="7.33203125" style="106"/>
    <col min="13314" max="13314" width="1.88671875" style="106" bestFit="1" customWidth="1"/>
    <col min="13315" max="13315" width="29.44140625" style="106" bestFit="1" customWidth="1"/>
    <col min="13316" max="13316" width="12.33203125" style="106" customWidth="1"/>
    <col min="13317" max="13317" width="7.44140625" style="106" customWidth="1"/>
    <col min="13318" max="13318" width="14" style="106" customWidth="1"/>
    <col min="13319" max="13324" width="9.6640625" style="106" customWidth="1"/>
    <col min="13325" max="13325" width="9.5546875" style="106" bestFit="1" customWidth="1"/>
    <col min="13326" max="13326" width="8.5546875" style="106" customWidth="1"/>
    <col min="13327" max="13328" width="9.88671875" style="106" customWidth="1"/>
    <col min="13329" max="13331" width="7.33203125" style="106" customWidth="1"/>
    <col min="13332" max="13332" width="9.109375" style="106" customWidth="1"/>
    <col min="13333" max="13569" width="7.33203125" style="106"/>
    <col min="13570" max="13570" width="1.88671875" style="106" bestFit="1" customWidth="1"/>
    <col min="13571" max="13571" width="29.44140625" style="106" bestFit="1" customWidth="1"/>
    <col min="13572" max="13572" width="12.33203125" style="106" customWidth="1"/>
    <col min="13573" max="13573" width="7.44140625" style="106" customWidth="1"/>
    <col min="13574" max="13574" width="14" style="106" customWidth="1"/>
    <col min="13575" max="13580" width="9.6640625" style="106" customWidth="1"/>
    <col min="13581" max="13581" width="9.5546875" style="106" bestFit="1" customWidth="1"/>
    <col min="13582" max="13582" width="8.5546875" style="106" customWidth="1"/>
    <col min="13583" max="13584" width="9.88671875" style="106" customWidth="1"/>
    <col min="13585" max="13587" width="7.33203125" style="106" customWidth="1"/>
    <col min="13588" max="13588" width="9.109375" style="106" customWidth="1"/>
    <col min="13589" max="13825" width="7.33203125" style="106"/>
    <col min="13826" max="13826" width="1.88671875" style="106" bestFit="1" customWidth="1"/>
    <col min="13827" max="13827" width="29.44140625" style="106" bestFit="1" customWidth="1"/>
    <col min="13828" max="13828" width="12.33203125" style="106" customWidth="1"/>
    <col min="13829" max="13829" width="7.44140625" style="106" customWidth="1"/>
    <col min="13830" max="13830" width="14" style="106" customWidth="1"/>
    <col min="13831" max="13836" width="9.6640625" style="106" customWidth="1"/>
    <col min="13837" max="13837" width="9.5546875" style="106" bestFit="1" customWidth="1"/>
    <col min="13838" max="13838" width="8.5546875" style="106" customWidth="1"/>
    <col min="13839" max="13840" width="9.88671875" style="106" customWidth="1"/>
    <col min="13841" max="13843" width="7.33203125" style="106" customWidth="1"/>
    <col min="13844" max="13844" width="9.109375" style="106" customWidth="1"/>
    <col min="13845" max="14081" width="7.33203125" style="106"/>
    <col min="14082" max="14082" width="1.88671875" style="106" bestFit="1" customWidth="1"/>
    <col min="14083" max="14083" width="29.44140625" style="106" bestFit="1" customWidth="1"/>
    <col min="14084" max="14084" width="12.33203125" style="106" customWidth="1"/>
    <col min="14085" max="14085" width="7.44140625" style="106" customWidth="1"/>
    <col min="14086" max="14086" width="14" style="106" customWidth="1"/>
    <col min="14087" max="14092" width="9.6640625" style="106" customWidth="1"/>
    <col min="14093" max="14093" width="9.5546875" style="106" bestFit="1" customWidth="1"/>
    <col min="14094" max="14094" width="8.5546875" style="106" customWidth="1"/>
    <col min="14095" max="14096" width="9.88671875" style="106" customWidth="1"/>
    <col min="14097" max="14099" width="7.33203125" style="106" customWidth="1"/>
    <col min="14100" max="14100" width="9.109375" style="106" customWidth="1"/>
    <col min="14101" max="14337" width="7.33203125" style="106"/>
    <col min="14338" max="14338" width="1.88671875" style="106" bestFit="1" customWidth="1"/>
    <col min="14339" max="14339" width="29.44140625" style="106" bestFit="1" customWidth="1"/>
    <col min="14340" max="14340" width="12.33203125" style="106" customWidth="1"/>
    <col min="14341" max="14341" width="7.44140625" style="106" customWidth="1"/>
    <col min="14342" max="14342" width="14" style="106" customWidth="1"/>
    <col min="14343" max="14348" width="9.6640625" style="106" customWidth="1"/>
    <col min="14349" max="14349" width="9.5546875" style="106" bestFit="1" customWidth="1"/>
    <col min="14350" max="14350" width="8.5546875" style="106" customWidth="1"/>
    <col min="14351" max="14352" width="9.88671875" style="106" customWidth="1"/>
    <col min="14353" max="14355" width="7.33203125" style="106" customWidth="1"/>
    <col min="14356" max="14356" width="9.109375" style="106" customWidth="1"/>
    <col min="14357" max="14593" width="7.33203125" style="106"/>
    <col min="14594" max="14594" width="1.88671875" style="106" bestFit="1" customWidth="1"/>
    <col min="14595" max="14595" width="29.44140625" style="106" bestFit="1" customWidth="1"/>
    <col min="14596" max="14596" width="12.33203125" style="106" customWidth="1"/>
    <col min="14597" max="14597" width="7.44140625" style="106" customWidth="1"/>
    <col min="14598" max="14598" width="14" style="106" customWidth="1"/>
    <col min="14599" max="14604" width="9.6640625" style="106" customWidth="1"/>
    <col min="14605" max="14605" width="9.5546875" style="106" bestFit="1" customWidth="1"/>
    <col min="14606" max="14606" width="8.5546875" style="106" customWidth="1"/>
    <col min="14607" max="14608" width="9.88671875" style="106" customWidth="1"/>
    <col min="14609" max="14611" width="7.33203125" style="106" customWidth="1"/>
    <col min="14612" max="14612" width="9.109375" style="106" customWidth="1"/>
    <col min="14613" max="14849" width="7.33203125" style="106"/>
    <col min="14850" max="14850" width="1.88671875" style="106" bestFit="1" customWidth="1"/>
    <col min="14851" max="14851" width="29.44140625" style="106" bestFit="1" customWidth="1"/>
    <col min="14852" max="14852" width="12.33203125" style="106" customWidth="1"/>
    <col min="14853" max="14853" width="7.44140625" style="106" customWidth="1"/>
    <col min="14854" max="14854" width="14" style="106" customWidth="1"/>
    <col min="14855" max="14860" width="9.6640625" style="106" customWidth="1"/>
    <col min="14861" max="14861" width="9.5546875" style="106" bestFit="1" customWidth="1"/>
    <col min="14862" max="14862" width="8.5546875" style="106" customWidth="1"/>
    <col min="14863" max="14864" width="9.88671875" style="106" customWidth="1"/>
    <col min="14865" max="14867" width="7.33203125" style="106" customWidth="1"/>
    <col min="14868" max="14868" width="9.109375" style="106" customWidth="1"/>
    <col min="14869" max="15105" width="7.33203125" style="106"/>
    <col min="15106" max="15106" width="1.88671875" style="106" bestFit="1" customWidth="1"/>
    <col min="15107" max="15107" width="29.44140625" style="106" bestFit="1" customWidth="1"/>
    <col min="15108" max="15108" width="12.33203125" style="106" customWidth="1"/>
    <col min="15109" max="15109" width="7.44140625" style="106" customWidth="1"/>
    <col min="15110" max="15110" width="14" style="106" customWidth="1"/>
    <col min="15111" max="15116" width="9.6640625" style="106" customWidth="1"/>
    <col min="15117" max="15117" width="9.5546875" style="106" bestFit="1" customWidth="1"/>
    <col min="15118" max="15118" width="8.5546875" style="106" customWidth="1"/>
    <col min="15119" max="15120" width="9.88671875" style="106" customWidth="1"/>
    <col min="15121" max="15123" width="7.33203125" style="106" customWidth="1"/>
    <col min="15124" max="15124" width="9.109375" style="106" customWidth="1"/>
    <col min="15125" max="15361" width="7.33203125" style="106"/>
    <col min="15362" max="15362" width="1.88671875" style="106" bestFit="1" customWidth="1"/>
    <col min="15363" max="15363" width="29.44140625" style="106" bestFit="1" customWidth="1"/>
    <col min="15364" max="15364" width="12.33203125" style="106" customWidth="1"/>
    <col min="15365" max="15365" width="7.44140625" style="106" customWidth="1"/>
    <col min="15366" max="15366" width="14" style="106" customWidth="1"/>
    <col min="15367" max="15372" width="9.6640625" style="106" customWidth="1"/>
    <col min="15373" max="15373" width="9.5546875" style="106" bestFit="1" customWidth="1"/>
    <col min="15374" max="15374" width="8.5546875" style="106" customWidth="1"/>
    <col min="15375" max="15376" width="9.88671875" style="106" customWidth="1"/>
    <col min="15377" max="15379" width="7.33203125" style="106" customWidth="1"/>
    <col min="15380" max="15380" width="9.109375" style="106" customWidth="1"/>
    <col min="15381" max="15617" width="7.33203125" style="106"/>
    <col min="15618" max="15618" width="1.88671875" style="106" bestFit="1" customWidth="1"/>
    <col min="15619" max="15619" width="29.44140625" style="106" bestFit="1" customWidth="1"/>
    <col min="15620" max="15620" width="12.33203125" style="106" customWidth="1"/>
    <col min="15621" max="15621" width="7.44140625" style="106" customWidth="1"/>
    <col min="15622" max="15622" width="14" style="106" customWidth="1"/>
    <col min="15623" max="15628" width="9.6640625" style="106" customWidth="1"/>
    <col min="15629" max="15629" width="9.5546875" style="106" bestFit="1" customWidth="1"/>
    <col min="15630" max="15630" width="8.5546875" style="106" customWidth="1"/>
    <col min="15631" max="15632" width="9.88671875" style="106" customWidth="1"/>
    <col min="15633" max="15635" width="7.33203125" style="106" customWidth="1"/>
    <col min="15636" max="15636" width="9.109375" style="106" customWidth="1"/>
    <col min="15637" max="15873" width="7.33203125" style="106"/>
    <col min="15874" max="15874" width="1.88671875" style="106" bestFit="1" customWidth="1"/>
    <col min="15875" max="15875" width="29.44140625" style="106" bestFit="1" customWidth="1"/>
    <col min="15876" max="15876" width="12.33203125" style="106" customWidth="1"/>
    <col min="15877" max="15877" width="7.44140625" style="106" customWidth="1"/>
    <col min="15878" max="15878" width="14" style="106" customWidth="1"/>
    <col min="15879" max="15884" width="9.6640625" style="106" customWidth="1"/>
    <col min="15885" max="15885" width="9.5546875" style="106" bestFit="1" customWidth="1"/>
    <col min="15886" max="15886" width="8.5546875" style="106" customWidth="1"/>
    <col min="15887" max="15888" width="9.88671875" style="106" customWidth="1"/>
    <col min="15889" max="15891" width="7.33203125" style="106" customWidth="1"/>
    <col min="15892" max="15892" width="9.109375" style="106" customWidth="1"/>
    <col min="15893" max="16129" width="7.33203125" style="106"/>
    <col min="16130" max="16130" width="1.88671875" style="106" bestFit="1" customWidth="1"/>
    <col min="16131" max="16131" width="29.44140625" style="106" bestFit="1" customWidth="1"/>
    <col min="16132" max="16132" width="12.33203125" style="106" customWidth="1"/>
    <col min="16133" max="16133" width="7.44140625" style="106" customWidth="1"/>
    <col min="16134" max="16134" width="14" style="106" customWidth="1"/>
    <col min="16135" max="16140" width="9.6640625" style="106" customWidth="1"/>
    <col min="16141" max="16141" width="9.5546875" style="106" bestFit="1" customWidth="1"/>
    <col min="16142" max="16142" width="8.5546875" style="106" customWidth="1"/>
    <col min="16143" max="16144" width="9.88671875" style="106" customWidth="1"/>
    <col min="16145" max="16147" width="7.33203125" style="106" customWidth="1"/>
    <col min="16148" max="16148" width="9.109375" style="106" customWidth="1"/>
    <col min="16149" max="16384" width="7.33203125" style="106"/>
  </cols>
  <sheetData>
    <row r="1" spans="1:13" ht="14.4" x14ac:dyDescent="0.3">
      <c r="A1" s="236" t="s">
        <v>338</v>
      </c>
    </row>
    <row r="2" spans="1:13" ht="20.399999999999999" x14ac:dyDescent="0.3">
      <c r="A2" s="289" t="s">
        <v>910</v>
      </c>
    </row>
    <row r="4" spans="1:13" ht="15" customHeight="1" x14ac:dyDescent="0.3">
      <c r="B4" s="106"/>
      <c r="C4" s="372" t="s">
        <v>775</v>
      </c>
      <c r="D4" s="119"/>
      <c r="E4" s="195"/>
      <c r="F4" s="106"/>
      <c r="G4" s="112"/>
      <c r="M4" s="106" t="s">
        <v>618</v>
      </c>
    </row>
    <row r="5" spans="1:13" x14ac:dyDescent="0.3">
      <c r="C5" s="316" t="s">
        <v>259</v>
      </c>
      <c r="D5" s="314" t="s">
        <v>318</v>
      </c>
      <c r="E5" s="313">
        <v>2015</v>
      </c>
      <c r="F5" s="313">
        <v>2020</v>
      </c>
      <c r="G5" s="313">
        <v>2025</v>
      </c>
      <c r="H5" s="313">
        <v>2030</v>
      </c>
      <c r="I5" s="313">
        <v>2035</v>
      </c>
      <c r="J5" s="313">
        <v>2040</v>
      </c>
      <c r="K5" s="313">
        <v>2045</v>
      </c>
      <c r="L5" s="313">
        <v>2050</v>
      </c>
    </row>
    <row r="6" spans="1:13" x14ac:dyDescent="0.3">
      <c r="C6" s="191" t="s">
        <v>231</v>
      </c>
      <c r="D6" s="183">
        <v>1</v>
      </c>
      <c r="E6" s="284">
        <f>E42+E135+E228+E383+E476+E571+E664</f>
        <v>3.9899999999999998</v>
      </c>
      <c r="F6" s="284">
        <f t="shared" ref="F6:L6" si="0">F42+F135+F228+F383+F476+F571+F664</f>
        <v>20.615000000000002</v>
      </c>
      <c r="G6" s="284">
        <f t="shared" si="0"/>
        <v>26.6</v>
      </c>
      <c r="H6" s="284">
        <f t="shared" si="0"/>
        <v>34.978999999999999</v>
      </c>
      <c r="I6" s="284">
        <f t="shared" si="0"/>
        <v>39.900000000000006</v>
      </c>
      <c r="J6" s="284">
        <f t="shared" si="0"/>
        <v>43.092000000000006</v>
      </c>
      <c r="K6" s="284">
        <f t="shared" si="0"/>
        <v>46.550000000000004</v>
      </c>
      <c r="L6" s="284">
        <f t="shared" si="0"/>
        <v>49.316400000000002</v>
      </c>
    </row>
    <row r="7" spans="1:13" x14ac:dyDescent="0.3">
      <c r="C7" s="191" t="s">
        <v>209</v>
      </c>
      <c r="D7" s="183">
        <v>2</v>
      </c>
      <c r="E7" s="284">
        <f t="shared" ref="E7:L32" si="1">E43+E136+E229+E384+E477+E572+E665</f>
        <v>0</v>
      </c>
      <c r="F7" s="284">
        <f t="shared" si="1"/>
        <v>0</v>
      </c>
      <c r="G7" s="284">
        <f t="shared" si="1"/>
        <v>0</v>
      </c>
      <c r="H7" s="284">
        <f t="shared" si="1"/>
        <v>0</v>
      </c>
      <c r="I7" s="284">
        <f t="shared" si="1"/>
        <v>0</v>
      </c>
      <c r="J7" s="284">
        <f t="shared" si="1"/>
        <v>0</v>
      </c>
      <c r="K7" s="284">
        <f t="shared" si="1"/>
        <v>0</v>
      </c>
      <c r="L7" s="284">
        <f t="shared" si="1"/>
        <v>0</v>
      </c>
    </row>
    <row r="8" spans="1:13" x14ac:dyDescent="0.3">
      <c r="C8" s="191" t="s">
        <v>862</v>
      </c>
      <c r="D8" s="183">
        <v>4</v>
      </c>
      <c r="E8" s="284">
        <f t="shared" si="1"/>
        <v>0</v>
      </c>
      <c r="F8" s="284">
        <f t="shared" si="1"/>
        <v>0</v>
      </c>
      <c r="G8" s="284">
        <f t="shared" si="1"/>
        <v>0</v>
      </c>
      <c r="H8" s="284">
        <f t="shared" si="1"/>
        <v>0</v>
      </c>
      <c r="I8" s="284">
        <f t="shared" si="1"/>
        <v>0</v>
      </c>
      <c r="J8" s="284">
        <f t="shared" si="1"/>
        <v>0</v>
      </c>
      <c r="K8" s="284">
        <f t="shared" si="1"/>
        <v>0</v>
      </c>
      <c r="L8" s="284">
        <f t="shared" si="1"/>
        <v>0</v>
      </c>
    </row>
    <row r="9" spans="1:13" x14ac:dyDescent="0.3">
      <c r="C9" s="191" t="s">
        <v>124</v>
      </c>
      <c r="D9" s="183">
        <v>10</v>
      </c>
      <c r="E9" s="284">
        <f t="shared" si="1"/>
        <v>0</v>
      </c>
      <c r="F9" s="284">
        <f>F45+F138+F231+F386+F479+F574+F667</f>
        <v>0</v>
      </c>
      <c r="G9" s="284">
        <f t="shared" si="1"/>
        <v>0</v>
      </c>
      <c r="H9" s="284">
        <f t="shared" si="1"/>
        <v>0</v>
      </c>
      <c r="I9" s="284">
        <f t="shared" si="1"/>
        <v>0</v>
      </c>
      <c r="J9" s="284">
        <f t="shared" si="1"/>
        <v>0</v>
      </c>
      <c r="K9" s="284">
        <f t="shared" si="1"/>
        <v>0</v>
      </c>
      <c r="L9" s="284">
        <f t="shared" si="1"/>
        <v>0</v>
      </c>
    </row>
    <row r="10" spans="1:13" x14ac:dyDescent="0.3">
      <c r="C10" s="191" t="s">
        <v>133</v>
      </c>
      <c r="D10" s="183">
        <v>23</v>
      </c>
      <c r="E10" s="284">
        <f t="shared" si="1"/>
        <v>19.927708316706074</v>
      </c>
      <c r="F10" s="284">
        <f t="shared" si="1"/>
        <v>56.156978974006158</v>
      </c>
      <c r="G10" s="284">
        <f t="shared" si="1"/>
        <v>60.033246254543961</v>
      </c>
      <c r="H10" s="284">
        <f t="shared" si="1"/>
        <v>93.78327807920148</v>
      </c>
      <c r="I10" s="284">
        <f t="shared" si="1"/>
        <v>72.948553545205471</v>
      </c>
      <c r="J10" s="284">
        <f t="shared" si="1"/>
        <v>75.453419145205473</v>
      </c>
      <c r="K10" s="284">
        <f t="shared" si="1"/>
        <v>79.076516745205467</v>
      </c>
      <c r="L10" s="284">
        <f t="shared" si="1"/>
        <v>81.590462985205477</v>
      </c>
    </row>
    <row r="11" spans="1:13" x14ac:dyDescent="0.3">
      <c r="C11" s="191" t="s">
        <v>285</v>
      </c>
      <c r="D11" s="183">
        <v>24</v>
      </c>
      <c r="E11" s="284">
        <f t="shared" si="1"/>
        <v>2.0249999999999999</v>
      </c>
      <c r="F11" s="284">
        <f t="shared" si="1"/>
        <v>15.981817808219178</v>
      </c>
      <c r="G11" s="284">
        <f t="shared" si="1"/>
        <v>19.019317808219178</v>
      </c>
      <c r="H11" s="284">
        <f t="shared" si="1"/>
        <v>29.894999178082191</v>
      </c>
      <c r="I11" s="284">
        <f t="shared" si="1"/>
        <v>32.39249917808219</v>
      </c>
      <c r="J11" s="284">
        <f t="shared" si="1"/>
        <v>34.012499178082194</v>
      </c>
      <c r="K11" s="284">
        <f t="shared" si="1"/>
        <v>35.76749917808219</v>
      </c>
      <c r="L11" s="284">
        <f t="shared" si="1"/>
        <v>37.171499178082193</v>
      </c>
    </row>
    <row r="12" spans="1:13" x14ac:dyDescent="0.3">
      <c r="C12" s="191" t="s">
        <v>315</v>
      </c>
      <c r="D12" s="183">
        <v>26</v>
      </c>
      <c r="E12" s="284">
        <f t="shared" si="1"/>
        <v>2.4750000000000001</v>
      </c>
      <c r="F12" s="284">
        <f t="shared" si="1"/>
        <v>19.533332876712329</v>
      </c>
      <c r="G12" s="284">
        <f t="shared" si="1"/>
        <v>23.245832876712331</v>
      </c>
      <c r="H12" s="284">
        <f t="shared" si="1"/>
        <v>36.538332328767126</v>
      </c>
      <c r="I12" s="284">
        <f t="shared" si="1"/>
        <v>39.590832328767121</v>
      </c>
      <c r="J12" s="284">
        <f t="shared" si="1"/>
        <v>41.570832328767132</v>
      </c>
      <c r="K12" s="284">
        <f t="shared" si="1"/>
        <v>43.715832328767121</v>
      </c>
      <c r="L12" s="284">
        <f t="shared" si="1"/>
        <v>45.431832328767129</v>
      </c>
    </row>
    <row r="13" spans="1:13" x14ac:dyDescent="0.3">
      <c r="C13" s="191" t="s">
        <v>38</v>
      </c>
      <c r="D13" s="183">
        <v>29</v>
      </c>
      <c r="E13" s="284">
        <f t="shared" si="1"/>
        <v>29.844942699021313</v>
      </c>
      <c r="F13" s="284">
        <f t="shared" si="1"/>
        <v>57.415806205870631</v>
      </c>
      <c r="G13" s="284">
        <f t="shared" si="1"/>
        <v>29.69422723700983</v>
      </c>
      <c r="H13" s="284">
        <f t="shared" si="1"/>
        <v>65.810756245229001</v>
      </c>
      <c r="I13" s="284">
        <f t="shared" si="1"/>
        <v>29.896850115068492</v>
      </c>
      <c r="J13" s="284">
        <f t="shared" si="1"/>
        <v>28.771030915068494</v>
      </c>
      <c r="K13" s="284">
        <f t="shared" si="1"/>
        <v>30.280387715068493</v>
      </c>
      <c r="L13" s="284">
        <f t="shared" si="1"/>
        <v>30.334060035068493</v>
      </c>
    </row>
    <row r="14" spans="1:13" x14ac:dyDescent="0.3">
      <c r="C14" s="191" t="s">
        <v>136</v>
      </c>
      <c r="D14" s="183">
        <v>30</v>
      </c>
      <c r="E14" s="284">
        <f t="shared" si="1"/>
        <v>0</v>
      </c>
      <c r="F14" s="284">
        <f t="shared" si="1"/>
        <v>0</v>
      </c>
      <c r="G14" s="284">
        <f t="shared" si="1"/>
        <v>0</v>
      </c>
      <c r="H14" s="284">
        <f t="shared" si="1"/>
        <v>0</v>
      </c>
      <c r="I14" s="284">
        <f t="shared" si="1"/>
        <v>0</v>
      </c>
      <c r="J14" s="284">
        <f t="shared" si="1"/>
        <v>0</v>
      </c>
      <c r="K14" s="284">
        <f t="shared" si="1"/>
        <v>0</v>
      </c>
      <c r="L14" s="284">
        <f t="shared" si="1"/>
        <v>0</v>
      </c>
    </row>
    <row r="15" spans="1:13" x14ac:dyDescent="0.3">
      <c r="C15" s="191" t="s">
        <v>360</v>
      </c>
      <c r="D15" s="183">
        <v>31</v>
      </c>
      <c r="E15" s="284">
        <f t="shared" si="1"/>
        <v>0</v>
      </c>
      <c r="F15" s="284">
        <f t="shared" si="1"/>
        <v>0</v>
      </c>
      <c r="G15" s="284">
        <f t="shared" si="1"/>
        <v>0</v>
      </c>
      <c r="H15" s="284">
        <f t="shared" si="1"/>
        <v>0</v>
      </c>
      <c r="I15" s="284">
        <f t="shared" si="1"/>
        <v>0</v>
      </c>
      <c r="J15" s="284">
        <f t="shared" si="1"/>
        <v>0</v>
      </c>
      <c r="K15" s="284">
        <f t="shared" si="1"/>
        <v>0</v>
      </c>
      <c r="L15" s="284">
        <f t="shared" si="1"/>
        <v>0</v>
      </c>
    </row>
    <row r="16" spans="1:13" x14ac:dyDescent="0.3">
      <c r="C16" s="191" t="s">
        <v>361</v>
      </c>
      <c r="D16" s="183">
        <v>32</v>
      </c>
      <c r="E16" s="284">
        <f t="shared" si="1"/>
        <v>0</v>
      </c>
      <c r="F16" s="284">
        <f t="shared" si="1"/>
        <v>0</v>
      </c>
      <c r="G16" s="284">
        <f t="shared" si="1"/>
        <v>0</v>
      </c>
      <c r="H16" s="284">
        <f t="shared" si="1"/>
        <v>0</v>
      </c>
      <c r="I16" s="284">
        <f t="shared" si="1"/>
        <v>0</v>
      </c>
      <c r="J16" s="284">
        <f t="shared" si="1"/>
        <v>0</v>
      </c>
      <c r="K16" s="284">
        <f t="shared" si="1"/>
        <v>0</v>
      </c>
      <c r="L16" s="284">
        <f t="shared" si="1"/>
        <v>0</v>
      </c>
    </row>
    <row r="17" spans="3:13" x14ac:dyDescent="0.3">
      <c r="C17" s="191" t="s">
        <v>362</v>
      </c>
      <c r="D17" s="183">
        <v>33</v>
      </c>
      <c r="E17" s="284">
        <f t="shared" si="1"/>
        <v>2.31</v>
      </c>
      <c r="F17" s="284">
        <f t="shared" si="1"/>
        <v>12.864178082191783</v>
      </c>
      <c r="G17" s="284">
        <f t="shared" si="1"/>
        <v>16.329178082191781</v>
      </c>
      <c r="H17" s="284">
        <f t="shared" si="1"/>
        <v>22.29519178082192</v>
      </c>
      <c r="I17" s="284">
        <f t="shared" si="1"/>
        <v>25.144191780821924</v>
      </c>
      <c r="J17" s="284">
        <f t="shared" si="1"/>
        <v>26.992191780821923</v>
      </c>
      <c r="K17" s="284">
        <f t="shared" si="1"/>
        <v>28.994191780821922</v>
      </c>
      <c r="L17" s="284">
        <f t="shared" si="1"/>
        <v>30.595791780821923</v>
      </c>
    </row>
    <row r="18" spans="3:13" x14ac:dyDescent="0.3">
      <c r="C18" s="191" t="s">
        <v>511</v>
      </c>
      <c r="D18" s="183">
        <v>55</v>
      </c>
      <c r="E18" s="284">
        <f t="shared" si="1"/>
        <v>0</v>
      </c>
      <c r="F18" s="284">
        <f t="shared" si="1"/>
        <v>0</v>
      </c>
      <c r="G18" s="284">
        <f t="shared" si="1"/>
        <v>0</v>
      </c>
      <c r="H18" s="284">
        <f t="shared" si="1"/>
        <v>0</v>
      </c>
      <c r="I18" s="284">
        <f t="shared" si="1"/>
        <v>0</v>
      </c>
      <c r="J18" s="284">
        <f t="shared" si="1"/>
        <v>0</v>
      </c>
      <c r="K18" s="284">
        <f t="shared" si="1"/>
        <v>0</v>
      </c>
      <c r="L18" s="284">
        <f t="shared" si="1"/>
        <v>0</v>
      </c>
    </row>
    <row r="19" spans="3:13" x14ac:dyDescent="0.3">
      <c r="C19" s="696" t="s">
        <v>204</v>
      </c>
      <c r="D19" s="697">
        <v>101</v>
      </c>
      <c r="E19" s="700">
        <f t="shared" si="1"/>
        <v>10.728092290413976</v>
      </c>
      <c r="F19" s="700">
        <f t="shared" si="1"/>
        <v>62.433289959889294</v>
      </c>
      <c r="G19" s="700">
        <f t="shared" si="1"/>
        <v>24.870852596551487</v>
      </c>
      <c r="H19" s="700">
        <f t="shared" si="1"/>
        <v>100.96032108466125</v>
      </c>
      <c r="I19" s="700">
        <f t="shared" si="1"/>
        <v>61.166425796926006</v>
      </c>
      <c r="J19" s="700">
        <f t="shared" si="1"/>
        <v>70.976748436173409</v>
      </c>
      <c r="K19" s="700">
        <f t="shared" si="1"/>
        <v>81.388057849466946</v>
      </c>
      <c r="L19" s="700">
        <f t="shared" si="1"/>
        <v>92.050302299215957</v>
      </c>
    </row>
    <row r="20" spans="3:13" x14ac:dyDescent="0.3">
      <c r="C20" s="696" t="s">
        <v>364</v>
      </c>
      <c r="D20" s="697">
        <v>102</v>
      </c>
      <c r="E20" s="700">
        <f t="shared" si="1"/>
        <v>15.360997874935169</v>
      </c>
      <c r="F20" s="700">
        <f t="shared" si="1"/>
        <v>48.235957831702187</v>
      </c>
      <c r="G20" s="700">
        <f t="shared" si="1"/>
        <v>14.098779550267528</v>
      </c>
      <c r="H20" s="700">
        <f t="shared" si="1"/>
        <v>63.89877955026752</v>
      </c>
      <c r="I20" s="700">
        <f t="shared" si="1"/>
        <v>0</v>
      </c>
      <c r="J20" s="700">
        <f t="shared" si="1"/>
        <v>0</v>
      </c>
      <c r="K20" s="700">
        <f t="shared" si="1"/>
        <v>0</v>
      </c>
      <c r="L20" s="700">
        <f t="shared" si="1"/>
        <v>0</v>
      </c>
      <c r="M20" s="199"/>
    </row>
    <row r="21" spans="3:13" x14ac:dyDescent="0.3">
      <c r="C21" s="696" t="s">
        <v>457</v>
      </c>
      <c r="D21" s="697">
        <v>103</v>
      </c>
      <c r="E21" s="700">
        <f t="shared" si="1"/>
        <v>-67.851829318842121</v>
      </c>
      <c r="F21" s="700">
        <f>F57+F150+F243+F398+F491+F586+F679</f>
        <v>4.7586588144570641</v>
      </c>
      <c r="G21" s="700">
        <f t="shared" si="1"/>
        <v>84.111649329905205</v>
      </c>
      <c r="H21" s="700">
        <f t="shared" si="1"/>
        <v>72.546872528803263</v>
      </c>
      <c r="I21" s="700">
        <f t="shared" si="1"/>
        <v>239.4421549322571</v>
      </c>
      <c r="J21" s="700">
        <f t="shared" si="1"/>
        <v>293.93105258034319</v>
      </c>
      <c r="K21" s="700">
        <f t="shared" si="1"/>
        <v>338.40314748732027</v>
      </c>
      <c r="L21" s="700">
        <f t="shared" si="1"/>
        <v>399.94602131198513</v>
      </c>
    </row>
    <row r="22" spans="3:13" x14ac:dyDescent="0.3">
      <c r="C22" s="698" t="s">
        <v>110</v>
      </c>
      <c r="D22" s="699">
        <v>104</v>
      </c>
      <c r="E22" s="700">
        <f t="shared" si="1"/>
        <v>0</v>
      </c>
      <c r="F22" s="700">
        <f t="shared" si="1"/>
        <v>0</v>
      </c>
      <c r="G22" s="700">
        <f t="shared" si="1"/>
        <v>0</v>
      </c>
      <c r="H22" s="700">
        <f t="shared" si="1"/>
        <v>0</v>
      </c>
      <c r="I22" s="700">
        <f t="shared" si="1"/>
        <v>0</v>
      </c>
      <c r="J22" s="700">
        <f t="shared" si="1"/>
        <v>0</v>
      </c>
      <c r="K22" s="700">
        <f t="shared" si="1"/>
        <v>0</v>
      </c>
      <c r="L22" s="700">
        <f t="shared" si="1"/>
        <v>0</v>
      </c>
    </row>
    <row r="23" spans="3:13" x14ac:dyDescent="0.3">
      <c r="C23" s="696" t="s">
        <v>53</v>
      </c>
      <c r="D23" s="697">
        <v>105</v>
      </c>
      <c r="E23" s="700">
        <f t="shared" si="1"/>
        <v>0</v>
      </c>
      <c r="F23" s="700">
        <f t="shared" si="1"/>
        <v>0</v>
      </c>
      <c r="G23" s="700">
        <f t="shared" si="1"/>
        <v>0</v>
      </c>
      <c r="H23" s="700">
        <f t="shared" si="1"/>
        <v>0</v>
      </c>
      <c r="I23" s="700">
        <f t="shared" si="1"/>
        <v>0</v>
      </c>
      <c r="J23" s="700">
        <f t="shared" si="1"/>
        <v>0</v>
      </c>
      <c r="K23" s="700">
        <f t="shared" si="1"/>
        <v>0</v>
      </c>
      <c r="L23" s="700">
        <f t="shared" si="1"/>
        <v>0</v>
      </c>
    </row>
    <row r="24" spans="3:13" x14ac:dyDescent="0.3">
      <c r="C24" s="696" t="s">
        <v>666</v>
      </c>
      <c r="D24" s="697">
        <v>106</v>
      </c>
      <c r="E24" s="700">
        <f t="shared" si="1"/>
        <v>4.8</v>
      </c>
      <c r="F24" s="700">
        <f t="shared" si="1"/>
        <v>29.200000000000003</v>
      </c>
      <c r="G24" s="700">
        <f t="shared" si="1"/>
        <v>36.4</v>
      </c>
      <c r="H24" s="700">
        <f t="shared" si="1"/>
        <v>51.76</v>
      </c>
      <c r="I24" s="700">
        <f t="shared" si="1"/>
        <v>57.68</v>
      </c>
      <c r="J24" s="700">
        <f t="shared" si="1"/>
        <v>61.52</v>
      </c>
      <c r="K24" s="700">
        <f t="shared" si="1"/>
        <v>65.680000000000007</v>
      </c>
      <c r="L24" s="700">
        <f t="shared" si="1"/>
        <v>69.00800000000001</v>
      </c>
    </row>
    <row r="25" spans="3:13" x14ac:dyDescent="0.3">
      <c r="C25" s="313" t="s">
        <v>321</v>
      </c>
      <c r="D25" s="314" t="s">
        <v>293</v>
      </c>
      <c r="E25" s="315"/>
      <c r="F25" s="315"/>
      <c r="G25" s="315"/>
      <c r="H25" s="315"/>
      <c r="I25" s="315"/>
      <c r="J25" s="315"/>
      <c r="K25" s="315"/>
      <c r="L25" s="315"/>
    </row>
    <row r="26" spans="3:13" x14ac:dyDescent="0.3">
      <c r="C26" s="191" t="s">
        <v>650</v>
      </c>
      <c r="D26" s="253" t="s">
        <v>75</v>
      </c>
      <c r="E26" s="284">
        <f t="shared" si="1"/>
        <v>381.76069638469636</v>
      </c>
      <c r="F26" s="284">
        <f t="shared" si="1"/>
        <v>2801.3302646542647</v>
      </c>
      <c r="G26" s="284">
        <f t="shared" si="1"/>
        <v>3373.9713092313091</v>
      </c>
      <c r="H26" s="284">
        <f t="shared" si="1"/>
        <v>5170.3487716391719</v>
      </c>
      <c r="I26" s="284">
        <f t="shared" si="1"/>
        <v>5641.1869638469634</v>
      </c>
      <c r="J26" s="284">
        <f t="shared" si="1"/>
        <v>5946.595520954721</v>
      </c>
      <c r="K26" s="284">
        <f t="shared" si="1"/>
        <v>6277.4547911547907</v>
      </c>
      <c r="L26" s="284">
        <f t="shared" si="1"/>
        <v>6542.1422073148478</v>
      </c>
    </row>
    <row r="27" spans="3:13" x14ac:dyDescent="0.3">
      <c r="C27" s="279" t="s">
        <v>323</v>
      </c>
      <c r="D27" s="253" t="s">
        <v>75</v>
      </c>
      <c r="E27" s="284">
        <f t="shared" si="1"/>
        <v>146.02346636714634</v>
      </c>
      <c r="F27" s="284">
        <f t="shared" si="1"/>
        <v>907.6310057479817</v>
      </c>
      <c r="G27" s="284">
        <f t="shared" si="1"/>
        <v>926.15512438399423</v>
      </c>
      <c r="H27" s="284">
        <f t="shared" si="1"/>
        <v>1046.9956262569322</v>
      </c>
      <c r="I27" s="284">
        <f t="shared" si="1"/>
        <v>837.71626413127399</v>
      </c>
      <c r="J27" s="284">
        <f t="shared" si="1"/>
        <v>668.99199610740607</v>
      </c>
      <c r="K27" s="284">
        <f t="shared" si="1"/>
        <v>367.23110528255523</v>
      </c>
      <c r="L27" s="284">
        <f t="shared" si="1"/>
        <v>294.39639932916816</v>
      </c>
    </row>
    <row r="28" spans="3:13" x14ac:dyDescent="0.3">
      <c r="C28" s="279" t="s">
        <v>324</v>
      </c>
      <c r="D28" s="253" t="s">
        <v>75</v>
      </c>
      <c r="E28" s="284">
        <f t="shared" si="1"/>
        <v>235.73723001755002</v>
      </c>
      <c r="F28" s="284">
        <f t="shared" si="1"/>
        <v>1893.6992589062829</v>
      </c>
      <c r="G28" s="284">
        <f t="shared" si="1"/>
        <v>2447.8161848473146</v>
      </c>
      <c r="H28" s="284">
        <f t="shared" si="1"/>
        <v>4123.3531453822397</v>
      </c>
      <c r="I28" s="284">
        <f t="shared" si="1"/>
        <v>4803.4706997156891</v>
      </c>
      <c r="J28" s="284">
        <f t="shared" si="1"/>
        <v>5277.6035248473145</v>
      </c>
      <c r="K28" s="284">
        <f t="shared" si="1"/>
        <v>5910.2236858722354</v>
      </c>
      <c r="L28" s="284">
        <f t="shared" si="1"/>
        <v>6247.7458079856797</v>
      </c>
    </row>
    <row r="29" spans="3:13" x14ac:dyDescent="0.3">
      <c r="C29" s="280" t="s">
        <v>325</v>
      </c>
      <c r="D29" s="253" t="s">
        <v>75</v>
      </c>
      <c r="E29" s="284">
        <f t="shared" si="1"/>
        <v>0</v>
      </c>
      <c r="F29" s="284">
        <f t="shared" si="1"/>
        <v>0</v>
      </c>
      <c r="G29" s="284">
        <f t="shared" si="1"/>
        <v>0</v>
      </c>
      <c r="H29" s="284">
        <f t="shared" si="1"/>
        <v>0</v>
      </c>
      <c r="I29" s="284">
        <f t="shared" si="1"/>
        <v>0</v>
      </c>
      <c r="J29" s="284">
        <f t="shared" si="1"/>
        <v>0</v>
      </c>
      <c r="K29" s="284">
        <f t="shared" si="1"/>
        <v>0</v>
      </c>
      <c r="L29" s="284">
        <f t="shared" si="1"/>
        <v>0</v>
      </c>
    </row>
    <row r="30" spans="3:13" x14ac:dyDescent="0.3">
      <c r="C30" s="280" t="s">
        <v>541</v>
      </c>
      <c r="D30" s="253" t="s">
        <v>75</v>
      </c>
      <c r="E30" s="284">
        <f t="shared" si="1"/>
        <v>0</v>
      </c>
      <c r="F30" s="284">
        <f t="shared" si="1"/>
        <v>0</v>
      </c>
      <c r="G30" s="284">
        <f t="shared" si="1"/>
        <v>0</v>
      </c>
      <c r="H30" s="284">
        <f t="shared" si="1"/>
        <v>0</v>
      </c>
      <c r="I30" s="284">
        <f t="shared" si="1"/>
        <v>0</v>
      </c>
      <c r="J30" s="284">
        <f t="shared" si="1"/>
        <v>0</v>
      </c>
      <c r="K30" s="284">
        <f t="shared" si="1"/>
        <v>0</v>
      </c>
      <c r="L30" s="284">
        <f t="shared" si="1"/>
        <v>0</v>
      </c>
    </row>
    <row r="31" spans="3:13" x14ac:dyDescent="0.3">
      <c r="C31" s="301" t="s">
        <v>326</v>
      </c>
      <c r="D31" s="253" t="s">
        <v>306</v>
      </c>
      <c r="E31" s="284">
        <f t="shared" si="1"/>
        <v>8604.9303835331102</v>
      </c>
      <c r="F31" s="284">
        <f t="shared" si="1"/>
        <v>44458.806981587739</v>
      </c>
      <c r="G31" s="284">
        <f t="shared" si="1"/>
        <v>57366.202556887394</v>
      </c>
      <c r="H31" s="284">
        <f t="shared" si="1"/>
        <v>75436.556362306932</v>
      </c>
      <c r="I31" s="284">
        <f t="shared" si="1"/>
        <v>86049.303835331099</v>
      </c>
      <c r="J31" s="284">
        <f t="shared" si="1"/>
        <v>92933.248142157594</v>
      </c>
      <c r="K31" s="284">
        <f t="shared" si="1"/>
        <v>100390.85447455297</v>
      </c>
      <c r="L31" s="284">
        <f t="shared" si="1"/>
        <v>106356.93954046923</v>
      </c>
    </row>
    <row r="32" spans="3:13" x14ac:dyDescent="0.3">
      <c r="C32" s="301" t="s">
        <v>387</v>
      </c>
      <c r="D32" s="253" t="s">
        <v>388</v>
      </c>
      <c r="E32" s="284">
        <f t="shared" si="1"/>
        <v>19.440000000000001</v>
      </c>
      <c r="F32" s="284">
        <f t="shared" si="1"/>
        <v>289.44</v>
      </c>
      <c r="G32" s="284">
        <f t="shared" si="1"/>
        <v>318.60000000000002</v>
      </c>
      <c r="H32" s="284">
        <f t="shared" si="1"/>
        <v>586.22400000000005</v>
      </c>
      <c r="I32" s="284">
        <f t="shared" si="1"/>
        <v>610.20000000000005</v>
      </c>
      <c r="J32" s="284">
        <f t="shared" si="1"/>
        <v>625.75199999999995</v>
      </c>
      <c r="K32" s="284">
        <f t="shared" si="1"/>
        <v>642.6</v>
      </c>
      <c r="L32" s="284">
        <f t="shared" si="1"/>
        <v>656.0784000000001</v>
      </c>
    </row>
    <row r="33" spans="2:12" x14ac:dyDescent="0.3">
      <c r="C33" s="301" t="s">
        <v>751</v>
      </c>
      <c r="D33" s="253" t="s">
        <v>75</v>
      </c>
      <c r="E33" s="284">
        <f>E155</f>
        <v>0</v>
      </c>
      <c r="F33" s="284">
        <f t="shared" ref="F33:L33" si="2">F155</f>
        <v>0</v>
      </c>
      <c r="G33" s="284">
        <f t="shared" si="2"/>
        <v>0</v>
      </c>
      <c r="H33" s="284">
        <f t="shared" si="2"/>
        <v>0</v>
      </c>
      <c r="I33" s="284">
        <f t="shared" si="2"/>
        <v>0</v>
      </c>
      <c r="J33" s="284">
        <f t="shared" si="2"/>
        <v>0</v>
      </c>
      <c r="K33" s="284">
        <f t="shared" si="2"/>
        <v>0</v>
      </c>
      <c r="L33" s="284">
        <f t="shared" si="2"/>
        <v>0</v>
      </c>
    </row>
    <row r="34" spans="2:12" x14ac:dyDescent="0.3">
      <c r="H34" s="113"/>
    </row>
    <row r="35" spans="2:12" ht="21" customHeight="1" x14ac:dyDescent="0.3">
      <c r="B35" s="302">
        <v>1</v>
      </c>
      <c r="C35" s="303" t="s">
        <v>246</v>
      </c>
      <c r="D35" s="201"/>
      <c r="E35" s="201"/>
      <c r="F35" s="202"/>
    </row>
    <row r="36" spans="2:12" ht="24" customHeight="1" x14ac:dyDescent="0.3">
      <c r="B36" s="106"/>
      <c r="C36" s="336"/>
      <c r="D36" s="338" t="s">
        <v>316</v>
      </c>
      <c r="E36" s="338" t="s">
        <v>380</v>
      </c>
      <c r="F36" s="338" t="s">
        <v>317</v>
      </c>
      <c r="G36" s="109"/>
    </row>
    <row r="37" spans="2:12" x14ac:dyDescent="0.3">
      <c r="B37" s="106"/>
      <c r="C37" s="337" t="s">
        <v>251</v>
      </c>
      <c r="D37" s="338">
        <v>1</v>
      </c>
      <c r="E37" s="338">
        <v>2</v>
      </c>
      <c r="F37" s="338">
        <v>3</v>
      </c>
      <c r="G37" s="110"/>
      <c r="H37" s="199"/>
    </row>
    <row r="38" spans="2:12" ht="11.25" customHeight="1" x14ac:dyDescent="0.3">
      <c r="B38" s="106"/>
      <c r="C38" s="204" t="s">
        <v>389</v>
      </c>
      <c r="D38" s="339">
        <f>TULEMUSED!M5</f>
        <v>1</v>
      </c>
      <c r="E38" s="205"/>
      <c r="F38" s="106"/>
      <c r="G38" s="111"/>
    </row>
    <row r="39" spans="2:12" ht="11.25" customHeight="1" x14ac:dyDescent="0.3">
      <c r="B39" s="106"/>
      <c r="D39" s="193"/>
      <c r="E39" s="193"/>
      <c r="G39" s="111"/>
    </row>
    <row r="40" spans="2:12" ht="14.4" x14ac:dyDescent="0.3">
      <c r="B40" s="106"/>
      <c r="C40" s="203" t="s">
        <v>384</v>
      </c>
      <c r="D40" s="119"/>
      <c r="E40" s="195"/>
      <c r="F40" s="106"/>
      <c r="G40" s="112"/>
    </row>
    <row r="41" spans="2:12" x14ac:dyDescent="0.3">
      <c r="C41" s="282" t="s">
        <v>259</v>
      </c>
      <c r="D41" s="253" t="s">
        <v>318</v>
      </c>
      <c r="E41" s="183">
        <v>2015</v>
      </c>
      <c r="F41" s="183">
        <v>2020</v>
      </c>
      <c r="G41" s="183">
        <v>2025</v>
      </c>
      <c r="H41" s="183">
        <v>2030</v>
      </c>
      <c r="I41" s="183">
        <v>2035</v>
      </c>
      <c r="J41" s="183">
        <v>2040</v>
      </c>
      <c r="K41" s="183">
        <v>2045</v>
      </c>
      <c r="L41" s="183">
        <v>2050</v>
      </c>
    </row>
    <row r="42" spans="2:12" x14ac:dyDescent="0.3">
      <c r="C42" s="191" t="s">
        <v>231</v>
      </c>
      <c r="D42" s="183">
        <v>1</v>
      </c>
      <c r="E42" s="284">
        <f>IF($D$38=2,E72,IF($D$38=3,E101,0))</f>
        <v>0</v>
      </c>
      <c r="F42" s="284">
        <f t="shared" ref="F42:K42" si="3">IF($D$38=2,F72,IF($D$38=3,F101,0))</f>
        <v>0</v>
      </c>
      <c r="G42" s="284">
        <f t="shared" si="3"/>
        <v>0</v>
      </c>
      <c r="H42" s="284">
        <f t="shared" si="3"/>
        <v>0</v>
      </c>
      <c r="I42" s="284">
        <f t="shared" si="3"/>
        <v>0</v>
      </c>
      <c r="J42" s="284">
        <f t="shared" si="3"/>
        <v>0</v>
      </c>
      <c r="K42" s="284">
        <f t="shared" si="3"/>
        <v>0</v>
      </c>
      <c r="L42" s="284">
        <f t="shared" ref="L42" si="4">IF($D$38=2,L72,IF($D$38=3,L101,0))</f>
        <v>0</v>
      </c>
    </row>
    <row r="43" spans="2:12" x14ac:dyDescent="0.3">
      <c r="C43" s="191" t="s">
        <v>209</v>
      </c>
      <c r="D43" s="183">
        <v>2</v>
      </c>
      <c r="E43" s="284">
        <f>IF($D$38=2,E73,IF($D$38=3,E102,0))</f>
        <v>0</v>
      </c>
      <c r="F43" s="284">
        <f t="shared" ref="F43:K44" si="5">IF($D$38=2,F73,IF($D$38=3,F102,0))</f>
        <v>0</v>
      </c>
      <c r="G43" s="284">
        <f t="shared" si="5"/>
        <v>0</v>
      </c>
      <c r="H43" s="284">
        <f t="shared" si="5"/>
        <v>0</v>
      </c>
      <c r="I43" s="284">
        <f t="shared" si="5"/>
        <v>0</v>
      </c>
      <c r="J43" s="284">
        <f t="shared" si="5"/>
        <v>0</v>
      </c>
      <c r="K43" s="284">
        <f t="shared" si="5"/>
        <v>0</v>
      </c>
      <c r="L43" s="284">
        <f t="shared" ref="L43" si="6">IF($D$38=2,L73,IF($D$38=3,L102,0))</f>
        <v>0</v>
      </c>
    </row>
    <row r="44" spans="2:12" x14ac:dyDescent="0.3">
      <c r="C44" s="191" t="s">
        <v>417</v>
      </c>
      <c r="D44" s="183">
        <v>4</v>
      </c>
      <c r="E44" s="284">
        <f>IF($D$38=2,E74,IF($D$38=3,E103,0))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4">
        <f t="shared" si="5"/>
        <v>0</v>
      </c>
      <c r="J44" s="284">
        <f t="shared" si="5"/>
        <v>0</v>
      </c>
      <c r="K44" s="284">
        <f t="shared" si="5"/>
        <v>0</v>
      </c>
      <c r="L44" s="284">
        <f t="shared" ref="L44" si="7">IF($D$38=2,L74,IF($D$38=3,L103,0))</f>
        <v>0</v>
      </c>
    </row>
    <row r="45" spans="2:12" x14ac:dyDescent="0.3">
      <c r="C45" s="191" t="s">
        <v>124</v>
      </c>
      <c r="D45" s="183">
        <v>10</v>
      </c>
      <c r="E45" s="284"/>
      <c r="F45" s="284"/>
      <c r="G45" s="284"/>
      <c r="H45" s="284"/>
      <c r="I45" s="284"/>
      <c r="J45" s="284"/>
      <c r="K45" s="284"/>
      <c r="L45" s="284"/>
    </row>
    <row r="46" spans="2:12" x14ac:dyDescent="0.3">
      <c r="C46" s="191" t="s">
        <v>133</v>
      </c>
      <c r="D46" s="183">
        <v>23</v>
      </c>
      <c r="E46" s="284">
        <f t="shared" ref="E46:K57" si="8">IF($D$38=2,E76,IF($D$38=3,E105,0))</f>
        <v>0</v>
      </c>
      <c r="F46" s="284">
        <f t="shared" si="8"/>
        <v>0</v>
      </c>
      <c r="G46" s="284">
        <f t="shared" si="8"/>
        <v>0</v>
      </c>
      <c r="H46" s="284">
        <f t="shared" si="8"/>
        <v>0</v>
      </c>
      <c r="I46" s="284">
        <f t="shared" si="8"/>
        <v>0</v>
      </c>
      <c r="J46" s="284">
        <f t="shared" si="8"/>
        <v>0</v>
      </c>
      <c r="K46" s="284">
        <f t="shared" si="8"/>
        <v>0</v>
      </c>
      <c r="L46" s="284">
        <f t="shared" ref="L46" si="9">IF($D$38=2,L76,IF($D$38=3,L105,0))</f>
        <v>0</v>
      </c>
    </row>
    <row r="47" spans="2:12" x14ac:dyDescent="0.3">
      <c r="C47" s="191" t="s">
        <v>285</v>
      </c>
      <c r="D47" s="183">
        <v>24</v>
      </c>
      <c r="E47" s="284">
        <f t="shared" si="8"/>
        <v>0</v>
      </c>
      <c r="F47" s="284">
        <f t="shared" si="8"/>
        <v>0</v>
      </c>
      <c r="G47" s="284">
        <f t="shared" si="8"/>
        <v>0</v>
      </c>
      <c r="H47" s="284">
        <f t="shared" si="8"/>
        <v>0</v>
      </c>
      <c r="I47" s="284">
        <f t="shared" si="8"/>
        <v>0</v>
      </c>
      <c r="J47" s="284">
        <f t="shared" si="8"/>
        <v>0</v>
      </c>
      <c r="K47" s="284">
        <f t="shared" si="8"/>
        <v>0</v>
      </c>
      <c r="L47" s="284">
        <f t="shared" ref="L47" si="10">IF($D$38=2,L77,IF($D$38=3,L106,0))</f>
        <v>0</v>
      </c>
    </row>
    <row r="48" spans="2:12" x14ac:dyDescent="0.3">
      <c r="C48" s="191" t="s">
        <v>315</v>
      </c>
      <c r="D48" s="183">
        <v>26</v>
      </c>
      <c r="E48" s="284">
        <f t="shared" si="8"/>
        <v>0</v>
      </c>
      <c r="F48" s="284">
        <f t="shared" si="8"/>
        <v>0</v>
      </c>
      <c r="G48" s="284">
        <f t="shared" si="8"/>
        <v>0</v>
      </c>
      <c r="H48" s="284">
        <f t="shared" si="8"/>
        <v>0</v>
      </c>
      <c r="I48" s="284">
        <f t="shared" si="8"/>
        <v>0</v>
      </c>
      <c r="J48" s="284">
        <f t="shared" si="8"/>
        <v>0</v>
      </c>
      <c r="K48" s="284">
        <f t="shared" si="8"/>
        <v>0</v>
      </c>
      <c r="L48" s="284">
        <f t="shared" ref="L48" si="11">IF($D$38=2,L78,IF($D$38=3,L107,0))</f>
        <v>0</v>
      </c>
    </row>
    <row r="49" spans="3:12" x14ac:dyDescent="0.3">
      <c r="C49" s="191" t="s">
        <v>38</v>
      </c>
      <c r="D49" s="183">
        <v>29</v>
      </c>
      <c r="E49" s="284">
        <f t="shared" si="8"/>
        <v>0</v>
      </c>
      <c r="F49" s="284">
        <f t="shared" si="8"/>
        <v>0</v>
      </c>
      <c r="G49" s="284">
        <f t="shared" si="8"/>
        <v>0</v>
      </c>
      <c r="H49" s="284">
        <f t="shared" si="8"/>
        <v>0</v>
      </c>
      <c r="I49" s="284">
        <f t="shared" si="8"/>
        <v>0</v>
      </c>
      <c r="J49" s="284">
        <f t="shared" si="8"/>
        <v>0</v>
      </c>
      <c r="K49" s="284">
        <f t="shared" si="8"/>
        <v>0</v>
      </c>
      <c r="L49" s="284">
        <f t="shared" ref="L49" si="12">IF($D$38=2,L79,IF($D$38=3,L108,0))</f>
        <v>0</v>
      </c>
    </row>
    <row r="50" spans="3:12" x14ac:dyDescent="0.3">
      <c r="C50" s="191" t="s">
        <v>136</v>
      </c>
      <c r="D50" s="183">
        <v>30</v>
      </c>
      <c r="E50" s="284">
        <f t="shared" si="8"/>
        <v>0</v>
      </c>
      <c r="F50" s="284">
        <f t="shared" si="8"/>
        <v>0</v>
      </c>
      <c r="G50" s="284">
        <f t="shared" si="8"/>
        <v>0</v>
      </c>
      <c r="H50" s="284">
        <f t="shared" si="8"/>
        <v>0</v>
      </c>
      <c r="I50" s="284">
        <f t="shared" si="8"/>
        <v>0</v>
      </c>
      <c r="J50" s="284">
        <f t="shared" si="8"/>
        <v>0</v>
      </c>
      <c r="K50" s="284">
        <f t="shared" si="8"/>
        <v>0</v>
      </c>
      <c r="L50" s="284">
        <f t="shared" ref="L50" si="13">IF($D$38=2,L80,IF($D$38=3,L109,0))</f>
        <v>0</v>
      </c>
    </row>
    <row r="51" spans="3:12" x14ac:dyDescent="0.3">
      <c r="C51" s="191" t="s">
        <v>360</v>
      </c>
      <c r="D51" s="183">
        <v>31</v>
      </c>
      <c r="E51" s="284">
        <f t="shared" si="8"/>
        <v>0</v>
      </c>
      <c r="F51" s="284">
        <f t="shared" si="8"/>
        <v>0</v>
      </c>
      <c r="G51" s="284">
        <f t="shared" si="8"/>
        <v>0</v>
      </c>
      <c r="H51" s="284">
        <f t="shared" si="8"/>
        <v>0</v>
      </c>
      <c r="I51" s="284">
        <f t="shared" si="8"/>
        <v>0</v>
      </c>
      <c r="J51" s="284">
        <f t="shared" si="8"/>
        <v>0</v>
      </c>
      <c r="K51" s="284">
        <f t="shared" si="8"/>
        <v>0</v>
      </c>
      <c r="L51" s="284">
        <f t="shared" ref="L51" si="14">IF($D$38=2,L81,IF($D$38=3,L110,0))</f>
        <v>0</v>
      </c>
    </row>
    <row r="52" spans="3:12" x14ac:dyDescent="0.3">
      <c r="C52" s="191" t="s">
        <v>361</v>
      </c>
      <c r="D52" s="183">
        <v>32</v>
      </c>
      <c r="E52" s="284">
        <f t="shared" si="8"/>
        <v>0</v>
      </c>
      <c r="F52" s="284">
        <f t="shared" si="8"/>
        <v>0</v>
      </c>
      <c r="G52" s="284">
        <f t="shared" si="8"/>
        <v>0</v>
      </c>
      <c r="H52" s="284">
        <f t="shared" si="8"/>
        <v>0</v>
      </c>
      <c r="I52" s="284">
        <f t="shared" si="8"/>
        <v>0</v>
      </c>
      <c r="J52" s="284">
        <f t="shared" si="8"/>
        <v>0</v>
      </c>
      <c r="K52" s="284">
        <f t="shared" si="8"/>
        <v>0</v>
      </c>
      <c r="L52" s="284">
        <f t="shared" ref="L52" si="15">IF($D$38=2,L82,IF($D$38=3,L111,0))</f>
        <v>0</v>
      </c>
    </row>
    <row r="53" spans="3:12" x14ac:dyDescent="0.3">
      <c r="C53" s="191" t="s">
        <v>362</v>
      </c>
      <c r="D53" s="183">
        <v>33</v>
      </c>
      <c r="E53" s="284">
        <f t="shared" si="8"/>
        <v>0</v>
      </c>
      <c r="F53" s="284">
        <f t="shared" si="8"/>
        <v>0</v>
      </c>
      <c r="G53" s="284">
        <f t="shared" si="8"/>
        <v>0</v>
      </c>
      <c r="H53" s="284">
        <f t="shared" si="8"/>
        <v>0</v>
      </c>
      <c r="I53" s="284">
        <f t="shared" si="8"/>
        <v>0</v>
      </c>
      <c r="J53" s="284">
        <f t="shared" si="8"/>
        <v>0</v>
      </c>
      <c r="K53" s="284">
        <f t="shared" si="8"/>
        <v>0</v>
      </c>
      <c r="L53" s="284">
        <f t="shared" ref="L53" si="16">IF($D$38=2,L83,IF($D$38=3,L112,0))</f>
        <v>0</v>
      </c>
    </row>
    <row r="54" spans="3:12" x14ac:dyDescent="0.3">
      <c r="C54" s="191" t="s">
        <v>363</v>
      </c>
      <c r="D54" s="183">
        <v>55</v>
      </c>
      <c r="E54" s="284">
        <f t="shared" si="8"/>
        <v>0</v>
      </c>
      <c r="F54" s="284">
        <f t="shared" si="8"/>
        <v>0</v>
      </c>
      <c r="G54" s="284">
        <f t="shared" si="8"/>
        <v>0</v>
      </c>
      <c r="H54" s="284">
        <f t="shared" si="8"/>
        <v>0</v>
      </c>
      <c r="I54" s="284">
        <f t="shared" si="8"/>
        <v>0</v>
      </c>
      <c r="J54" s="284">
        <f t="shared" si="8"/>
        <v>0</v>
      </c>
      <c r="K54" s="284">
        <f t="shared" si="8"/>
        <v>0</v>
      </c>
      <c r="L54" s="284">
        <f t="shared" ref="L54" si="17">IF($D$38=2,L84,IF($D$38=3,L113,0))</f>
        <v>0</v>
      </c>
    </row>
    <row r="55" spans="3:12" x14ac:dyDescent="0.3">
      <c r="C55" s="259" t="s">
        <v>204</v>
      </c>
      <c r="D55" s="251">
        <v>101</v>
      </c>
      <c r="E55" s="284">
        <f t="shared" si="8"/>
        <v>0</v>
      </c>
      <c r="F55" s="284">
        <f t="shared" si="8"/>
        <v>0</v>
      </c>
      <c r="G55" s="284">
        <f t="shared" si="8"/>
        <v>0</v>
      </c>
      <c r="H55" s="284">
        <f t="shared" si="8"/>
        <v>0</v>
      </c>
      <c r="I55" s="284">
        <f t="shared" si="8"/>
        <v>0</v>
      </c>
      <c r="J55" s="284">
        <f t="shared" si="8"/>
        <v>0</v>
      </c>
      <c r="K55" s="284">
        <f t="shared" si="8"/>
        <v>0</v>
      </c>
      <c r="L55" s="284">
        <f t="shared" ref="L55" si="18">IF($D$38=2,L85,IF($D$38=3,L114,0))</f>
        <v>0</v>
      </c>
    </row>
    <row r="56" spans="3:12" x14ac:dyDescent="0.3">
      <c r="C56" s="259" t="s">
        <v>364</v>
      </c>
      <c r="D56" s="251">
        <v>102</v>
      </c>
      <c r="E56" s="284">
        <f t="shared" si="8"/>
        <v>0</v>
      </c>
      <c r="F56" s="284">
        <f t="shared" si="8"/>
        <v>0</v>
      </c>
      <c r="G56" s="284">
        <f t="shared" si="8"/>
        <v>0</v>
      </c>
      <c r="H56" s="284">
        <f t="shared" si="8"/>
        <v>0</v>
      </c>
      <c r="I56" s="284">
        <f t="shared" si="8"/>
        <v>0</v>
      </c>
      <c r="J56" s="284">
        <f t="shared" si="8"/>
        <v>0</v>
      </c>
      <c r="K56" s="284">
        <f t="shared" si="8"/>
        <v>0</v>
      </c>
      <c r="L56" s="284">
        <f t="shared" ref="L56" si="19">IF($D$38=2,L86,IF($D$38=3,L115,0))</f>
        <v>0</v>
      </c>
    </row>
    <row r="57" spans="3:12" x14ac:dyDescent="0.3">
      <c r="C57" s="259" t="s">
        <v>457</v>
      </c>
      <c r="D57" s="251">
        <v>103</v>
      </c>
      <c r="E57" s="284">
        <f t="shared" si="8"/>
        <v>0</v>
      </c>
      <c r="F57" s="284">
        <f t="shared" si="8"/>
        <v>0</v>
      </c>
      <c r="G57" s="284">
        <f t="shared" si="8"/>
        <v>0</v>
      </c>
      <c r="H57" s="284">
        <f t="shared" si="8"/>
        <v>0</v>
      </c>
      <c r="I57" s="284">
        <f t="shared" si="8"/>
        <v>0</v>
      </c>
      <c r="J57" s="284">
        <f t="shared" si="8"/>
        <v>0</v>
      </c>
      <c r="K57" s="284">
        <f t="shared" si="8"/>
        <v>0</v>
      </c>
      <c r="L57" s="284">
        <f t="shared" ref="L57" si="20">IF($D$38=2,L87,IF($D$38=3,L116,0))</f>
        <v>0</v>
      </c>
    </row>
    <row r="58" spans="3:12" x14ac:dyDescent="0.3">
      <c r="C58" s="260" t="s">
        <v>110</v>
      </c>
      <c r="D58" s="252">
        <v>104</v>
      </c>
      <c r="E58" s="284">
        <f>IF($D$38=2,E88,IF($D$38=3,E117,0))</f>
        <v>0</v>
      </c>
      <c r="F58" s="284">
        <f t="shared" ref="F58:K58" si="21">IF($D$38=2,F88,IF($D$38=3,F117,0))</f>
        <v>0</v>
      </c>
      <c r="G58" s="284">
        <f t="shared" si="21"/>
        <v>0</v>
      </c>
      <c r="H58" s="284">
        <f t="shared" si="21"/>
        <v>0</v>
      </c>
      <c r="I58" s="284">
        <f t="shared" si="21"/>
        <v>0</v>
      </c>
      <c r="J58" s="284">
        <f t="shared" si="21"/>
        <v>0</v>
      </c>
      <c r="K58" s="284">
        <f t="shared" si="21"/>
        <v>0</v>
      </c>
      <c r="L58" s="284">
        <f t="shared" ref="L58" si="22">IF($D$38=2,L88,IF($D$38=3,L117,0))</f>
        <v>0</v>
      </c>
    </row>
    <row r="59" spans="3:12" x14ac:dyDescent="0.3">
      <c r="C59" s="259" t="s">
        <v>53</v>
      </c>
      <c r="D59" s="251">
        <v>105</v>
      </c>
      <c r="E59" s="284">
        <f>IF($D$38=2,E89,IF($D$38=3,E118,0))</f>
        <v>0</v>
      </c>
      <c r="F59" s="284">
        <f t="shared" ref="F59:K59" si="23">IF($D$38=2,F89,IF($D$38=3,F118,0))</f>
        <v>0</v>
      </c>
      <c r="G59" s="284">
        <f t="shared" si="23"/>
        <v>0</v>
      </c>
      <c r="H59" s="284">
        <f t="shared" si="23"/>
        <v>0</v>
      </c>
      <c r="I59" s="284">
        <f t="shared" si="23"/>
        <v>0</v>
      </c>
      <c r="J59" s="284">
        <f t="shared" si="23"/>
        <v>0</v>
      </c>
      <c r="K59" s="284">
        <f t="shared" si="23"/>
        <v>0</v>
      </c>
      <c r="L59" s="284">
        <f t="shared" ref="L59" si="24">IF($D$38=2,L89,IF($D$38=3,L118,0))</f>
        <v>0</v>
      </c>
    </row>
    <row r="60" spans="3:12" x14ac:dyDescent="0.3">
      <c r="C60" s="696" t="s">
        <v>666</v>
      </c>
      <c r="D60" s="697">
        <v>106</v>
      </c>
      <c r="E60" s="700"/>
      <c r="F60" s="700"/>
      <c r="G60" s="700"/>
      <c r="H60" s="700"/>
      <c r="I60" s="700"/>
      <c r="J60" s="700"/>
      <c r="K60" s="700"/>
      <c r="L60" s="700"/>
    </row>
    <row r="61" spans="3:12" x14ac:dyDescent="0.3">
      <c r="C61" s="183" t="s">
        <v>321</v>
      </c>
      <c r="D61" s="253" t="s">
        <v>293</v>
      </c>
      <c r="E61" s="284">
        <f t="shared" ref="E61:E67" si="25">IF($D$38=2,E90,IF($D$38=3,E119,0))</f>
        <v>0</v>
      </c>
      <c r="F61" s="284">
        <f t="shared" ref="F61:L67" si="26">IF($D$38=2,F90,IF($D$38=3,F119,0))</f>
        <v>0</v>
      </c>
      <c r="G61" s="284">
        <f t="shared" si="26"/>
        <v>0</v>
      </c>
      <c r="H61" s="284">
        <f t="shared" si="26"/>
        <v>0</v>
      </c>
      <c r="I61" s="284">
        <f t="shared" si="26"/>
        <v>0</v>
      </c>
      <c r="J61" s="284">
        <f t="shared" si="26"/>
        <v>0</v>
      </c>
      <c r="K61" s="284">
        <f t="shared" si="26"/>
        <v>0</v>
      </c>
      <c r="L61" s="284">
        <f t="shared" si="26"/>
        <v>0</v>
      </c>
    </row>
    <row r="62" spans="3:12" x14ac:dyDescent="0.3">
      <c r="C62" s="191" t="s">
        <v>650</v>
      </c>
      <c r="D62" s="253" t="s">
        <v>75</v>
      </c>
      <c r="E62" s="284">
        <f t="shared" si="25"/>
        <v>0</v>
      </c>
      <c r="F62" s="284">
        <f t="shared" si="26"/>
        <v>0</v>
      </c>
      <c r="G62" s="284">
        <f t="shared" si="26"/>
        <v>0</v>
      </c>
      <c r="H62" s="284">
        <f t="shared" si="26"/>
        <v>0</v>
      </c>
      <c r="I62" s="284">
        <f t="shared" si="26"/>
        <v>0</v>
      </c>
      <c r="J62" s="284">
        <f t="shared" si="26"/>
        <v>0</v>
      </c>
      <c r="K62" s="284">
        <f t="shared" si="26"/>
        <v>0</v>
      </c>
      <c r="L62" s="284">
        <f t="shared" si="26"/>
        <v>0</v>
      </c>
    </row>
    <row r="63" spans="3:12" x14ac:dyDescent="0.3">
      <c r="C63" s="279" t="s">
        <v>323</v>
      </c>
      <c r="D63" s="253" t="s">
        <v>75</v>
      </c>
      <c r="E63" s="284">
        <f t="shared" si="25"/>
        <v>0</v>
      </c>
      <c r="F63" s="284">
        <f t="shared" si="26"/>
        <v>0</v>
      </c>
      <c r="G63" s="284">
        <f t="shared" si="26"/>
        <v>0</v>
      </c>
      <c r="H63" s="284">
        <f t="shared" si="26"/>
        <v>0</v>
      </c>
      <c r="I63" s="284">
        <f t="shared" si="26"/>
        <v>0</v>
      </c>
      <c r="J63" s="284">
        <f t="shared" si="26"/>
        <v>0</v>
      </c>
      <c r="K63" s="284">
        <f t="shared" si="26"/>
        <v>0</v>
      </c>
      <c r="L63" s="284">
        <f t="shared" si="26"/>
        <v>0</v>
      </c>
    </row>
    <row r="64" spans="3:12" x14ac:dyDescent="0.3">
      <c r="C64" s="279" t="s">
        <v>324</v>
      </c>
      <c r="D64" s="253" t="s">
        <v>75</v>
      </c>
      <c r="E64" s="284">
        <f t="shared" si="25"/>
        <v>0</v>
      </c>
      <c r="F64" s="284">
        <f t="shared" si="26"/>
        <v>0</v>
      </c>
      <c r="G64" s="284">
        <f t="shared" si="26"/>
        <v>0</v>
      </c>
      <c r="H64" s="284">
        <f t="shared" si="26"/>
        <v>0</v>
      </c>
      <c r="I64" s="284">
        <f t="shared" si="26"/>
        <v>0</v>
      </c>
      <c r="J64" s="284">
        <f t="shared" si="26"/>
        <v>0</v>
      </c>
      <c r="K64" s="284">
        <f t="shared" si="26"/>
        <v>0</v>
      </c>
      <c r="L64" s="284">
        <f t="shared" si="26"/>
        <v>0</v>
      </c>
    </row>
    <row r="65" spans="2:12" x14ac:dyDescent="0.3">
      <c r="C65" s="280" t="s">
        <v>325</v>
      </c>
      <c r="D65" s="253" t="s">
        <v>75</v>
      </c>
      <c r="E65" s="284">
        <f t="shared" si="25"/>
        <v>0</v>
      </c>
      <c r="F65" s="284">
        <f t="shared" si="26"/>
        <v>0</v>
      </c>
      <c r="G65" s="284">
        <f t="shared" si="26"/>
        <v>0</v>
      </c>
      <c r="H65" s="284">
        <f t="shared" si="26"/>
        <v>0</v>
      </c>
      <c r="I65" s="284">
        <f t="shared" si="26"/>
        <v>0</v>
      </c>
      <c r="J65" s="284">
        <f t="shared" si="26"/>
        <v>0</v>
      </c>
      <c r="K65" s="284">
        <f t="shared" si="26"/>
        <v>0</v>
      </c>
      <c r="L65" s="284">
        <f t="shared" si="26"/>
        <v>0</v>
      </c>
    </row>
    <row r="66" spans="2:12" x14ac:dyDescent="0.3">
      <c r="C66" s="280" t="s">
        <v>541</v>
      </c>
      <c r="D66" s="253" t="s">
        <v>75</v>
      </c>
      <c r="E66" s="284">
        <f t="shared" si="25"/>
        <v>0</v>
      </c>
      <c r="F66" s="284">
        <f t="shared" si="26"/>
        <v>0</v>
      </c>
      <c r="G66" s="284">
        <f t="shared" si="26"/>
        <v>0</v>
      </c>
      <c r="H66" s="284">
        <f t="shared" si="26"/>
        <v>0</v>
      </c>
      <c r="I66" s="284">
        <f t="shared" si="26"/>
        <v>0</v>
      </c>
      <c r="J66" s="284">
        <f t="shared" si="26"/>
        <v>0</v>
      </c>
      <c r="K66" s="284">
        <f t="shared" si="26"/>
        <v>0</v>
      </c>
      <c r="L66" s="284">
        <f t="shared" si="26"/>
        <v>0</v>
      </c>
    </row>
    <row r="67" spans="2:12" x14ac:dyDescent="0.3">
      <c r="C67" s="301" t="s">
        <v>326</v>
      </c>
      <c r="D67" s="253" t="s">
        <v>306</v>
      </c>
      <c r="E67" s="284">
        <f t="shared" si="25"/>
        <v>0</v>
      </c>
      <c r="F67" s="284">
        <f t="shared" si="26"/>
        <v>0</v>
      </c>
      <c r="G67" s="284">
        <f t="shared" si="26"/>
        <v>0</v>
      </c>
      <c r="H67" s="284">
        <f t="shared" si="26"/>
        <v>0</v>
      </c>
      <c r="I67" s="284">
        <f t="shared" si="26"/>
        <v>0</v>
      </c>
      <c r="J67" s="284">
        <f t="shared" si="26"/>
        <v>0</v>
      </c>
      <c r="K67" s="284">
        <f t="shared" si="26"/>
        <v>0</v>
      </c>
      <c r="L67" s="284">
        <f t="shared" si="26"/>
        <v>0</v>
      </c>
    </row>
    <row r="68" spans="2:12" x14ac:dyDescent="0.3">
      <c r="C68" s="301" t="s">
        <v>387</v>
      </c>
      <c r="D68" s="253" t="s">
        <v>388</v>
      </c>
      <c r="E68" s="284"/>
      <c r="F68" s="284"/>
      <c r="G68" s="284"/>
      <c r="H68" s="284"/>
      <c r="I68" s="284"/>
      <c r="J68" s="284"/>
      <c r="K68" s="284"/>
      <c r="L68" s="284"/>
    </row>
    <row r="69" spans="2:12" x14ac:dyDescent="0.3">
      <c r="H69" s="113"/>
    </row>
    <row r="70" spans="2:12" ht="11.25" customHeight="1" x14ac:dyDescent="0.3">
      <c r="B70" s="106"/>
      <c r="C70" s="283" t="s">
        <v>355</v>
      </c>
      <c r="D70" s="119"/>
      <c r="E70" s="195"/>
      <c r="F70" s="106"/>
      <c r="G70" s="112"/>
    </row>
    <row r="71" spans="2:12" x14ac:dyDescent="0.3">
      <c r="C71" s="282" t="s">
        <v>259</v>
      </c>
      <c r="D71" s="253" t="s">
        <v>318</v>
      </c>
      <c r="E71" s="183">
        <v>2015</v>
      </c>
      <c r="F71" s="183">
        <v>2020</v>
      </c>
      <c r="G71" s="183">
        <v>2025</v>
      </c>
      <c r="H71" s="183">
        <v>2030</v>
      </c>
      <c r="I71" s="183">
        <v>2035</v>
      </c>
      <c r="J71" s="183">
        <v>2040</v>
      </c>
      <c r="K71" s="183">
        <v>2045</v>
      </c>
      <c r="L71" s="183">
        <v>2050</v>
      </c>
    </row>
    <row r="72" spans="2:12" x14ac:dyDescent="0.3">
      <c r="C72" s="191" t="s">
        <v>231</v>
      </c>
      <c r="D72" s="183">
        <v>1</v>
      </c>
      <c r="E72" s="284">
        <f>VLOOKUP($D72,Hooned!$C$67:$K$81,Hooned!D$66,FALSE)</f>
        <v>0</v>
      </c>
      <c r="F72" s="284">
        <f>VLOOKUP($D72,Hooned!$C$67:$K$81,Hooned!E$66,FALSE)</f>
        <v>0</v>
      </c>
      <c r="G72" s="284">
        <f>VLOOKUP($D72,Hooned!$C$67:$K$81,Hooned!F$66,FALSE)</f>
        <v>0</v>
      </c>
      <c r="H72" s="284">
        <f>VLOOKUP($D72,Hooned!$C$67:$K$81,Hooned!G$66,FALSE)</f>
        <v>0</v>
      </c>
      <c r="I72" s="284">
        <f>VLOOKUP($D72,Hooned!$C$67:$K$81,Hooned!H$66,FALSE)</f>
        <v>0</v>
      </c>
      <c r="J72" s="284">
        <f>VLOOKUP($D72,Hooned!$C$67:$K$81,Hooned!I$66,FALSE)</f>
        <v>0</v>
      </c>
      <c r="K72" s="284">
        <f>VLOOKUP($D72,Hooned!$C$67:$K$81,Hooned!J$66,FALSE)</f>
        <v>0</v>
      </c>
      <c r="L72" s="284">
        <f>VLOOKUP($D72,Hooned!$C$67:$K$81,Hooned!K$66,FALSE)</f>
        <v>0</v>
      </c>
    </row>
    <row r="73" spans="2:12" x14ac:dyDescent="0.3">
      <c r="C73" s="191" t="s">
        <v>209</v>
      </c>
      <c r="D73" s="183">
        <v>2</v>
      </c>
      <c r="E73" s="284">
        <f>VLOOKUP($D73,Hooned!$C$67:$K$81,Hooned!D$66,FALSE)</f>
        <v>0</v>
      </c>
      <c r="F73" s="284">
        <f>VLOOKUP($D73,Hooned!$C$67:$K$81,Hooned!E$66,FALSE)</f>
        <v>0</v>
      </c>
      <c r="G73" s="284">
        <f>VLOOKUP($D73,Hooned!$C$67:$K$81,Hooned!F$66,FALSE)</f>
        <v>0</v>
      </c>
      <c r="H73" s="284">
        <f>VLOOKUP($D73,Hooned!$C$67:$K$81,Hooned!G$66,FALSE)</f>
        <v>0</v>
      </c>
      <c r="I73" s="284">
        <f>VLOOKUP($D73,Hooned!$C$67:$K$81,Hooned!H$66,FALSE)</f>
        <v>0</v>
      </c>
      <c r="J73" s="284">
        <f>VLOOKUP($D73,Hooned!$C$67:$K$81,Hooned!I$66,FALSE)</f>
        <v>0</v>
      </c>
      <c r="K73" s="284">
        <f>VLOOKUP($D73,Hooned!$C$67:$K$81,Hooned!J$66,FALSE)</f>
        <v>0</v>
      </c>
      <c r="L73" s="284">
        <f>VLOOKUP($D73,Hooned!$C$67:$K$81,Hooned!K$66,FALSE)</f>
        <v>0</v>
      </c>
    </row>
    <row r="74" spans="2:12" x14ac:dyDescent="0.3">
      <c r="C74" s="191" t="s">
        <v>417</v>
      </c>
      <c r="D74" s="183">
        <v>4</v>
      </c>
      <c r="E74" s="284"/>
      <c r="F74" s="284"/>
      <c r="G74" s="284"/>
      <c r="H74" s="284"/>
      <c r="I74" s="284"/>
      <c r="J74" s="284"/>
      <c r="K74" s="284"/>
      <c r="L74" s="284"/>
    </row>
    <row r="75" spans="2:12" x14ac:dyDescent="0.3">
      <c r="C75" s="191" t="s">
        <v>124</v>
      </c>
      <c r="D75" s="183">
        <v>10</v>
      </c>
      <c r="E75" s="284"/>
      <c r="F75" s="284"/>
      <c r="G75" s="284"/>
      <c r="H75" s="284"/>
      <c r="I75" s="284"/>
      <c r="J75" s="284"/>
      <c r="K75" s="284"/>
      <c r="L75" s="284"/>
    </row>
    <row r="76" spans="2:12" x14ac:dyDescent="0.3">
      <c r="C76" s="191" t="s">
        <v>133</v>
      </c>
      <c r="D76" s="183">
        <v>23</v>
      </c>
      <c r="E76" s="284">
        <f>VLOOKUP($D76,Hooned!$C$67:$K$81,Hooned!D$66,FALSE)</f>
        <v>0</v>
      </c>
      <c r="F76" s="284">
        <f>VLOOKUP($D76,Hooned!$C$67:$K$81,Hooned!E$66,FALSE)</f>
        <v>0</v>
      </c>
      <c r="G76" s="284">
        <f>VLOOKUP($D76,Hooned!$C$67:$K$81,Hooned!F$66,FALSE)</f>
        <v>0</v>
      </c>
      <c r="H76" s="284">
        <f>VLOOKUP($D76,Hooned!$C$67:$K$81,Hooned!G$66,FALSE)</f>
        <v>0</v>
      </c>
      <c r="I76" s="284">
        <f>VLOOKUP($D76,Hooned!$C$67:$K$81,Hooned!H$66,FALSE)</f>
        <v>0</v>
      </c>
      <c r="J76" s="284">
        <f>VLOOKUP($D76,Hooned!$C$67:$K$81,Hooned!I$66,FALSE)</f>
        <v>0</v>
      </c>
      <c r="K76" s="284">
        <f>VLOOKUP($D76,Hooned!$C$67:$K$81,Hooned!J$66,FALSE)</f>
        <v>0</v>
      </c>
      <c r="L76" s="284">
        <f>VLOOKUP($D76,Hooned!$C$67:$K$81,Hooned!K$66,FALSE)</f>
        <v>0</v>
      </c>
    </row>
    <row r="77" spans="2:12" x14ac:dyDescent="0.3">
      <c r="C77" s="191" t="s">
        <v>285</v>
      </c>
      <c r="D77" s="183">
        <v>24</v>
      </c>
      <c r="E77" s="284">
        <f>VLOOKUP($D77,Hooned!$C$67:$K$81,Hooned!D$66,FALSE)</f>
        <v>0</v>
      </c>
      <c r="F77" s="284">
        <f>VLOOKUP($D77,Hooned!$C$67:$K$81,Hooned!E$66,FALSE)</f>
        <v>0</v>
      </c>
      <c r="G77" s="284">
        <f>VLOOKUP($D77,Hooned!$C$67:$K$81,Hooned!F$66,FALSE)</f>
        <v>0</v>
      </c>
      <c r="H77" s="284">
        <f>VLOOKUP($D77,Hooned!$C$67:$K$81,Hooned!G$66,FALSE)</f>
        <v>0</v>
      </c>
      <c r="I77" s="284">
        <f>VLOOKUP($D77,Hooned!$C$67:$K$81,Hooned!H$66,FALSE)</f>
        <v>0</v>
      </c>
      <c r="J77" s="284">
        <f>VLOOKUP($D77,Hooned!$C$67:$K$81,Hooned!I$66,FALSE)</f>
        <v>0</v>
      </c>
      <c r="K77" s="284">
        <f>VLOOKUP($D77,Hooned!$C$67:$K$81,Hooned!J$66,FALSE)</f>
        <v>0</v>
      </c>
      <c r="L77" s="284">
        <f>VLOOKUP($D77,Hooned!$C$67:$K$81,Hooned!K$66,FALSE)</f>
        <v>0</v>
      </c>
    </row>
    <row r="78" spans="2:12" x14ac:dyDescent="0.3">
      <c r="C78" s="191" t="s">
        <v>315</v>
      </c>
      <c r="D78" s="183">
        <v>26</v>
      </c>
      <c r="E78" s="284">
        <f>VLOOKUP($D78,Hooned!$C$67:$K$81,Hooned!D$66,FALSE)</f>
        <v>0</v>
      </c>
      <c r="F78" s="284">
        <f>VLOOKUP($D78,Hooned!$C$67:$K$81,Hooned!E$66,FALSE)</f>
        <v>0</v>
      </c>
      <c r="G78" s="284">
        <f>VLOOKUP($D78,Hooned!$C$67:$K$81,Hooned!F$66,FALSE)</f>
        <v>0</v>
      </c>
      <c r="H78" s="284">
        <f>VLOOKUP($D78,Hooned!$C$67:$K$81,Hooned!G$66,FALSE)</f>
        <v>0</v>
      </c>
      <c r="I78" s="284">
        <f>VLOOKUP($D78,Hooned!$C$67:$K$81,Hooned!H$66,FALSE)</f>
        <v>0</v>
      </c>
      <c r="J78" s="284">
        <f>VLOOKUP($D78,Hooned!$C$67:$K$81,Hooned!I$66,FALSE)</f>
        <v>0</v>
      </c>
      <c r="K78" s="284">
        <f>VLOOKUP($D78,Hooned!$C$67:$K$81,Hooned!J$66,FALSE)</f>
        <v>0</v>
      </c>
      <c r="L78" s="284">
        <f>VLOOKUP($D78,Hooned!$C$67:$K$81,Hooned!K$66,FALSE)</f>
        <v>0</v>
      </c>
    </row>
    <row r="79" spans="2:12" x14ac:dyDescent="0.3">
      <c r="C79" s="191" t="s">
        <v>38</v>
      </c>
      <c r="D79" s="183">
        <v>29</v>
      </c>
      <c r="E79" s="284">
        <f>VLOOKUP($D79,Hooned!$C$67:$K$81,Hooned!D$66,FALSE)</f>
        <v>68.170833333333334</v>
      </c>
      <c r="F79" s="284">
        <f>VLOOKUP($D79,Hooned!$C$67:$K$81,Hooned!E$66,FALSE)</f>
        <v>68.008333333333326</v>
      </c>
      <c r="G79" s="284">
        <f>VLOOKUP($D79,Hooned!$C$67:$K$81,Hooned!F$66,FALSE)</f>
        <v>119.51250000000007</v>
      </c>
      <c r="H79" s="284">
        <f>VLOOKUP($D79,Hooned!$C$67:$K$81,Hooned!G$66,FALSE)</f>
        <v>67.683333333333323</v>
      </c>
      <c r="I79" s="284">
        <f>VLOOKUP($D79,Hooned!$C$67:$K$81,Hooned!H$66,FALSE)</f>
        <v>67.520833333333329</v>
      </c>
      <c r="J79" s="284">
        <f>VLOOKUP($D79,Hooned!$C$67:$K$81,Hooned!I$66,FALSE)</f>
        <v>67.358333333333334</v>
      </c>
      <c r="K79" s="284">
        <f>VLOOKUP($D79,Hooned!$C$67:$K$81,Hooned!J$66,FALSE)</f>
        <v>67.195833333333326</v>
      </c>
      <c r="L79" s="284">
        <f>VLOOKUP($D79,Hooned!$C$67:$K$81,Hooned!K$66,FALSE)</f>
        <v>67.033333333333331</v>
      </c>
    </row>
    <row r="80" spans="2:12" x14ac:dyDescent="0.3">
      <c r="C80" s="191" t="s">
        <v>136</v>
      </c>
      <c r="D80" s="183">
        <v>30</v>
      </c>
      <c r="E80" s="284">
        <f>VLOOKUP($D80,Hooned!$C$67:$K$81,Hooned!D$66,FALSE)</f>
        <v>0</v>
      </c>
      <c r="F80" s="284">
        <f>VLOOKUP($D80,Hooned!$C$67:$K$81,Hooned!E$66,FALSE)</f>
        <v>0</v>
      </c>
      <c r="G80" s="284">
        <f>VLOOKUP($D80,Hooned!$C$67:$K$81,Hooned!F$66,FALSE)</f>
        <v>0</v>
      </c>
      <c r="H80" s="284">
        <f>VLOOKUP($D80,Hooned!$C$67:$K$81,Hooned!G$66,FALSE)</f>
        <v>0</v>
      </c>
      <c r="I80" s="284">
        <f>VLOOKUP($D80,Hooned!$C$67:$K$81,Hooned!H$66,FALSE)</f>
        <v>0</v>
      </c>
      <c r="J80" s="284">
        <f>VLOOKUP($D80,Hooned!$C$67:$K$81,Hooned!I$66,FALSE)</f>
        <v>0</v>
      </c>
      <c r="K80" s="284">
        <f>VLOOKUP($D80,Hooned!$C$67:$K$81,Hooned!J$66,FALSE)</f>
        <v>0</v>
      </c>
      <c r="L80" s="284">
        <f>VLOOKUP($D80,Hooned!$C$67:$K$81,Hooned!K$66,FALSE)</f>
        <v>0</v>
      </c>
    </row>
    <row r="81" spans="3:12" x14ac:dyDescent="0.3">
      <c r="C81" s="191" t="s">
        <v>360</v>
      </c>
      <c r="D81" s="183">
        <v>31</v>
      </c>
      <c r="E81" s="284">
        <f>VLOOKUP($D81,Hooned!$C$67:$K$81,Hooned!D$66,FALSE)</f>
        <v>0</v>
      </c>
      <c r="F81" s="284">
        <f>VLOOKUP($D81,Hooned!$C$67:$K$81,Hooned!E$66,FALSE)</f>
        <v>0</v>
      </c>
      <c r="G81" s="284">
        <f>VLOOKUP($D81,Hooned!$C$67:$K$81,Hooned!F$66,FALSE)</f>
        <v>0</v>
      </c>
      <c r="H81" s="284">
        <f>VLOOKUP($D81,Hooned!$C$67:$K$81,Hooned!G$66,FALSE)</f>
        <v>0</v>
      </c>
      <c r="I81" s="284">
        <f>VLOOKUP($D81,Hooned!$C$67:$K$81,Hooned!H$66,FALSE)</f>
        <v>0</v>
      </c>
      <c r="J81" s="284">
        <f>VLOOKUP($D81,Hooned!$C$67:$K$81,Hooned!I$66,FALSE)</f>
        <v>0</v>
      </c>
      <c r="K81" s="284">
        <f>VLOOKUP($D81,Hooned!$C$67:$K$81,Hooned!J$66,FALSE)</f>
        <v>0</v>
      </c>
      <c r="L81" s="284">
        <f>VLOOKUP($D81,Hooned!$C$67:$K$81,Hooned!K$66,FALSE)</f>
        <v>0</v>
      </c>
    </row>
    <row r="82" spans="3:12" x14ac:dyDescent="0.3">
      <c r="C82" s="191" t="s">
        <v>361</v>
      </c>
      <c r="D82" s="183">
        <v>32</v>
      </c>
      <c r="E82" s="284">
        <f>VLOOKUP($D82,Hooned!$C$67:$K$81,Hooned!D$66,FALSE)</f>
        <v>0</v>
      </c>
      <c r="F82" s="284">
        <f>VLOOKUP($D82,Hooned!$C$67:$K$81,Hooned!E$66,FALSE)</f>
        <v>0</v>
      </c>
      <c r="G82" s="284">
        <f>VLOOKUP($D82,Hooned!$C$67:$K$81,Hooned!F$66,FALSE)</f>
        <v>0</v>
      </c>
      <c r="H82" s="284">
        <f>VLOOKUP($D82,Hooned!$C$67:$K$81,Hooned!G$66,FALSE)</f>
        <v>0</v>
      </c>
      <c r="I82" s="284">
        <f>VLOOKUP($D82,Hooned!$C$67:$K$81,Hooned!H$66,FALSE)</f>
        <v>0</v>
      </c>
      <c r="J82" s="284">
        <f>VLOOKUP($D82,Hooned!$C$67:$K$81,Hooned!I$66,FALSE)</f>
        <v>0</v>
      </c>
      <c r="K82" s="284">
        <f>VLOOKUP($D82,Hooned!$C$67:$K$81,Hooned!J$66,FALSE)</f>
        <v>0</v>
      </c>
      <c r="L82" s="284">
        <f>VLOOKUP($D82,Hooned!$C$67:$K$81,Hooned!K$66,FALSE)</f>
        <v>0</v>
      </c>
    </row>
    <row r="83" spans="3:12" x14ac:dyDescent="0.3">
      <c r="C83" s="191" t="s">
        <v>362</v>
      </c>
      <c r="D83" s="183">
        <v>33</v>
      </c>
      <c r="E83" s="284">
        <f>VLOOKUP($D83,Hooned!$C$67:$K$81,Hooned!D$66,FALSE)</f>
        <v>0</v>
      </c>
      <c r="F83" s="284">
        <f>VLOOKUP($D83,Hooned!$C$67:$K$81,Hooned!E$66,FALSE)</f>
        <v>0</v>
      </c>
      <c r="G83" s="284">
        <f>VLOOKUP($D83,Hooned!$C$67:$K$81,Hooned!F$66,FALSE)</f>
        <v>0</v>
      </c>
      <c r="H83" s="284">
        <f>VLOOKUP($D83,Hooned!$C$67:$K$81,Hooned!G$66,FALSE)</f>
        <v>0</v>
      </c>
      <c r="I83" s="284">
        <f>VLOOKUP($D83,Hooned!$C$67:$K$81,Hooned!H$66,FALSE)</f>
        <v>0</v>
      </c>
      <c r="J83" s="284">
        <f>VLOOKUP($D83,Hooned!$C$67:$K$81,Hooned!I$66,FALSE)</f>
        <v>0</v>
      </c>
      <c r="K83" s="284">
        <f>VLOOKUP($D83,Hooned!$C$67:$K$81,Hooned!J$66,FALSE)</f>
        <v>0</v>
      </c>
      <c r="L83" s="284">
        <f>VLOOKUP($D83,Hooned!$C$67:$K$81,Hooned!K$66,FALSE)</f>
        <v>0</v>
      </c>
    </row>
    <row r="84" spans="3:12" x14ac:dyDescent="0.3">
      <c r="C84" s="191" t="s">
        <v>363</v>
      </c>
      <c r="D84" s="183">
        <v>55</v>
      </c>
      <c r="E84" s="284">
        <f>VLOOKUP($D84,Hooned!$C$67:$K$81,Hooned!D$66,FALSE)</f>
        <v>-0.16250000000000001</v>
      </c>
      <c r="F84" s="284">
        <f>VLOOKUP($D84,Hooned!$C$67:$K$81,Hooned!E$66,FALSE)</f>
        <v>-0.32500000000000001</v>
      </c>
      <c r="G84" s="284">
        <f>VLOOKUP($D84,Hooned!$C$67:$K$81,Hooned!F$66,FALSE)</f>
        <v>-0.4875000000000001</v>
      </c>
      <c r="H84" s="284">
        <f>VLOOKUP($D84,Hooned!$C$67:$K$81,Hooned!G$66,FALSE)</f>
        <v>-0.65</v>
      </c>
      <c r="I84" s="284">
        <f>VLOOKUP($D84,Hooned!$C$67:$K$81,Hooned!H$66,FALSE)</f>
        <v>-0.81250000000000011</v>
      </c>
      <c r="J84" s="284">
        <f>VLOOKUP($D84,Hooned!$C$67:$K$81,Hooned!I$66,FALSE)</f>
        <v>-0.9750000000000002</v>
      </c>
      <c r="K84" s="284">
        <f>VLOOKUP($D84,Hooned!$C$67:$K$81,Hooned!J$66,FALSE)</f>
        <v>-1.1375</v>
      </c>
      <c r="L84" s="284">
        <f>VLOOKUP($D84,Hooned!$C$67:$K$81,Hooned!K$66,FALSE)</f>
        <v>-1.3</v>
      </c>
    </row>
    <row r="85" spans="3:12" x14ac:dyDescent="0.3">
      <c r="C85" s="259" t="s">
        <v>204</v>
      </c>
      <c r="D85" s="251">
        <v>101</v>
      </c>
      <c r="E85" s="284">
        <f>VLOOKUP($D85,Hooned!$C$67:$K$81,Hooned!D$66,FALSE)</f>
        <v>0</v>
      </c>
      <c r="F85" s="284">
        <f>VLOOKUP($D85,Hooned!$C$67:$K$81,Hooned!E$66,FALSE)</f>
        <v>0</v>
      </c>
      <c r="G85" s="284">
        <f>VLOOKUP($D85,Hooned!$C$67:$K$81,Hooned!F$66,FALSE)</f>
        <v>0</v>
      </c>
      <c r="H85" s="284">
        <f>VLOOKUP($D85,Hooned!$C$67:$K$81,Hooned!G$66,FALSE)</f>
        <v>0</v>
      </c>
      <c r="I85" s="284">
        <f>VLOOKUP($D85,Hooned!$C$67:$K$81,Hooned!H$66,FALSE)</f>
        <v>0</v>
      </c>
      <c r="J85" s="284">
        <f>VLOOKUP($D85,Hooned!$C$67:$K$81,Hooned!I$66,FALSE)</f>
        <v>0</v>
      </c>
      <c r="K85" s="284">
        <f>VLOOKUP($D85,Hooned!$C$67:$K$81,Hooned!J$66,FALSE)</f>
        <v>0</v>
      </c>
      <c r="L85" s="284">
        <f>VLOOKUP($D85,Hooned!$C$67:$K$81,Hooned!K$66,FALSE)</f>
        <v>0</v>
      </c>
    </row>
    <row r="86" spans="3:12" x14ac:dyDescent="0.3">
      <c r="C86" s="259" t="s">
        <v>364</v>
      </c>
      <c r="D86" s="251">
        <v>102</v>
      </c>
      <c r="E86" s="284">
        <f>VLOOKUP($D86,Hooned!$C$67:$K$81,Hooned!D$66,FALSE)</f>
        <v>30.783333333333331</v>
      </c>
      <c r="F86" s="284">
        <f>VLOOKUP($D86,Hooned!$C$67:$K$81,Hooned!E$66,FALSE)</f>
        <v>30.783333333333331</v>
      </c>
      <c r="G86" s="284">
        <f>VLOOKUP($D86,Hooned!$C$67:$K$81,Hooned!F$66,FALSE)</f>
        <v>30.783333333333331</v>
      </c>
      <c r="H86" s="284">
        <f>VLOOKUP($D86,Hooned!$C$67:$K$81,Hooned!G$66,FALSE)</f>
        <v>30.783333333333331</v>
      </c>
      <c r="I86" s="284">
        <f>VLOOKUP($D86,Hooned!$C$67:$K$81,Hooned!H$66,FALSE)</f>
        <v>30.783333333333331</v>
      </c>
      <c r="J86" s="284">
        <f>VLOOKUP($D86,Hooned!$C$67:$K$81,Hooned!I$66,FALSE)</f>
        <v>30.783333333333331</v>
      </c>
      <c r="K86" s="284">
        <f>VLOOKUP($D86,Hooned!$C$67:$K$81,Hooned!J$66,FALSE)</f>
        <v>30.783333333333331</v>
      </c>
      <c r="L86" s="284">
        <f>VLOOKUP($D86,Hooned!$C$67:$K$81,Hooned!K$66,FALSE)</f>
        <v>30.783333333333331</v>
      </c>
    </row>
    <row r="87" spans="3:12" x14ac:dyDescent="0.3">
      <c r="C87" s="259" t="s">
        <v>457</v>
      </c>
      <c r="D87" s="251">
        <v>103</v>
      </c>
      <c r="E87" s="284">
        <f>VLOOKUP($D87,Hooned!$C$67:$K$81,Hooned!D$66,FALSE)</f>
        <v>-0.625</v>
      </c>
      <c r="F87" s="284">
        <f>VLOOKUP($D87,Hooned!$C$67:$K$81,Hooned!E$66,FALSE)</f>
        <v>-1.44166666666667</v>
      </c>
      <c r="G87" s="284">
        <f>VLOOKUP($D87,Hooned!$C$67:$K$81,Hooned!F$66,FALSE)</f>
        <v>11.124999999999993</v>
      </c>
      <c r="H87" s="284">
        <f>VLOOKUP($D87,Hooned!$C$67:$K$81,Hooned!G$66,FALSE)</f>
        <v>11.733333333333334</v>
      </c>
      <c r="I87" s="284">
        <f>VLOOKUP($D87,Hooned!$C$67:$K$81,Hooned!H$66,FALSE)</f>
        <v>12.24166666666666</v>
      </c>
      <c r="J87" s="284">
        <f>VLOOKUP($D87,Hooned!$C$67:$K$81,Hooned!I$66,FALSE)</f>
        <v>12.733333333333348</v>
      </c>
      <c r="K87" s="284">
        <f>VLOOKUP($D87,Hooned!$C$67:$K$81,Hooned!J$66,FALSE)</f>
        <v>12.958333333333314</v>
      </c>
      <c r="L87" s="284">
        <f>VLOOKUP($D87,Hooned!$C$67:$K$81,Hooned!K$66,FALSE)</f>
        <v>13.083333333333343</v>
      </c>
    </row>
    <row r="88" spans="3:12" x14ac:dyDescent="0.3">
      <c r="C88" s="260" t="s">
        <v>110</v>
      </c>
      <c r="D88" s="252">
        <v>104</v>
      </c>
      <c r="E88" s="284">
        <f>VLOOKUP($D88,Hooned!$C$67:$K$81,Hooned!D$66,FALSE)</f>
        <v>0</v>
      </c>
      <c r="F88" s="284">
        <f>VLOOKUP($D88,Hooned!$C$67:$K$81,Hooned!E$66,FALSE)</f>
        <v>0</v>
      </c>
      <c r="G88" s="284">
        <f>VLOOKUP($D88,Hooned!$C$67:$K$81,Hooned!F$66,FALSE)</f>
        <v>0</v>
      </c>
      <c r="H88" s="284">
        <f>VLOOKUP($D88,Hooned!$C$67:$K$81,Hooned!G$66,FALSE)</f>
        <v>0</v>
      </c>
      <c r="I88" s="284">
        <f>VLOOKUP($D88,Hooned!$C$67:$K$81,Hooned!H$66,FALSE)</f>
        <v>0</v>
      </c>
      <c r="J88" s="284">
        <f>VLOOKUP($D88,Hooned!$C$67:$K$81,Hooned!I$66,FALSE)</f>
        <v>0</v>
      </c>
      <c r="K88" s="284">
        <f>VLOOKUP($D88,Hooned!$C$67:$K$81,Hooned!J$66,FALSE)</f>
        <v>0</v>
      </c>
      <c r="L88" s="284">
        <f>VLOOKUP($D88,Hooned!$C$67:$K$81,Hooned!K$66,FALSE)</f>
        <v>0</v>
      </c>
    </row>
    <row r="89" spans="3:12" x14ac:dyDescent="0.3">
      <c r="C89" s="259" t="s">
        <v>53</v>
      </c>
      <c r="D89" s="251">
        <v>105</v>
      </c>
      <c r="E89" s="284">
        <f>Hooned!D36</f>
        <v>24.946666666666665</v>
      </c>
      <c r="F89" s="284">
        <f>Hooned!E36</f>
        <v>44.110000000000007</v>
      </c>
      <c r="G89" s="284">
        <f>Hooned!F36</f>
        <v>85.20999999999998</v>
      </c>
      <c r="H89" s="284">
        <f>Hooned!G36</f>
        <v>120.12333333333333</v>
      </c>
      <c r="I89" s="284">
        <f>Hooned!H36</f>
        <v>163.08666666666662</v>
      </c>
      <c r="J89" s="284">
        <f>Hooned!I36</f>
        <v>215.13</v>
      </c>
      <c r="K89" s="284">
        <f>Hooned!J36</f>
        <v>277.3533333333333</v>
      </c>
      <c r="L89" s="284">
        <f>Hooned!K36</f>
        <v>351.38666666666671</v>
      </c>
    </row>
    <row r="90" spans="3:12" x14ac:dyDescent="0.3">
      <c r="C90" s="183" t="s">
        <v>321</v>
      </c>
      <c r="D90" s="253" t="s">
        <v>293</v>
      </c>
      <c r="E90" s="284"/>
      <c r="F90" s="284"/>
      <c r="G90" s="284"/>
      <c r="H90" s="284"/>
      <c r="I90" s="284"/>
      <c r="J90" s="284"/>
      <c r="K90" s="284"/>
      <c r="L90" s="284"/>
    </row>
    <row r="91" spans="3:12" x14ac:dyDescent="0.3">
      <c r="C91" s="191" t="s">
        <v>650</v>
      </c>
      <c r="D91" s="253" t="s">
        <v>75</v>
      </c>
      <c r="E91" s="284"/>
      <c r="F91" s="284"/>
      <c r="G91" s="284"/>
      <c r="H91" s="284"/>
      <c r="I91" s="284"/>
      <c r="J91" s="284"/>
      <c r="K91" s="284"/>
      <c r="L91" s="284"/>
    </row>
    <row r="92" spans="3:12" x14ac:dyDescent="0.3">
      <c r="C92" s="279" t="s">
        <v>323</v>
      </c>
      <c r="D92" s="253" t="s">
        <v>75</v>
      </c>
      <c r="E92" s="284"/>
      <c r="F92" s="284"/>
      <c r="G92" s="284"/>
      <c r="H92" s="284"/>
      <c r="I92" s="284"/>
      <c r="J92" s="284"/>
      <c r="K92" s="284"/>
      <c r="L92" s="284"/>
    </row>
    <row r="93" spans="3:12" x14ac:dyDescent="0.3">
      <c r="C93" s="279" t="s">
        <v>324</v>
      </c>
      <c r="D93" s="253" t="s">
        <v>75</v>
      </c>
      <c r="E93" s="284"/>
      <c r="F93" s="284"/>
      <c r="G93" s="284"/>
      <c r="H93" s="284"/>
      <c r="I93" s="284"/>
      <c r="J93" s="284"/>
      <c r="K93" s="284"/>
      <c r="L93" s="284"/>
    </row>
    <row r="94" spans="3:12" x14ac:dyDescent="0.3">
      <c r="C94" s="280" t="s">
        <v>325</v>
      </c>
      <c r="D94" s="253" t="s">
        <v>75</v>
      </c>
      <c r="E94" s="284"/>
      <c r="F94" s="284"/>
      <c r="G94" s="284"/>
      <c r="H94" s="284"/>
      <c r="I94" s="284"/>
      <c r="J94" s="284"/>
      <c r="K94" s="284"/>
      <c r="L94" s="284"/>
    </row>
    <row r="95" spans="3:12" x14ac:dyDescent="0.3">
      <c r="C95" s="280" t="s">
        <v>541</v>
      </c>
      <c r="D95" s="253" t="s">
        <v>75</v>
      </c>
      <c r="E95" s="284"/>
      <c r="F95" s="284"/>
      <c r="G95" s="284"/>
      <c r="H95" s="284"/>
      <c r="I95" s="284"/>
      <c r="J95" s="284"/>
      <c r="K95" s="284"/>
      <c r="L95" s="284"/>
    </row>
    <row r="96" spans="3:12" x14ac:dyDescent="0.3">
      <c r="C96" s="191" t="s">
        <v>326</v>
      </c>
      <c r="D96" s="253" t="s">
        <v>306</v>
      </c>
      <c r="E96" s="284"/>
      <c r="F96" s="284"/>
      <c r="G96" s="284"/>
      <c r="H96" s="284"/>
      <c r="I96" s="284"/>
      <c r="J96" s="284"/>
      <c r="K96" s="284"/>
      <c r="L96" s="284"/>
    </row>
    <row r="97" spans="2:12" x14ac:dyDescent="0.3">
      <c r="C97" s="301" t="s">
        <v>387</v>
      </c>
      <c r="D97" s="253" t="s">
        <v>388</v>
      </c>
      <c r="E97" s="284"/>
      <c r="F97" s="284"/>
      <c r="G97" s="284"/>
      <c r="H97" s="284"/>
      <c r="I97" s="284"/>
      <c r="J97" s="284"/>
      <c r="K97" s="284"/>
      <c r="L97" s="284"/>
    </row>
    <row r="98" spans="2:12" x14ac:dyDescent="0.3">
      <c r="H98" s="113"/>
    </row>
    <row r="99" spans="2:12" ht="11.25" customHeight="1" x14ac:dyDescent="0.3">
      <c r="B99" s="106"/>
      <c r="C99" s="283" t="s">
        <v>356</v>
      </c>
      <c r="D99" s="119"/>
      <c r="E99" s="195"/>
      <c r="F99" s="106"/>
      <c r="G99" s="112"/>
    </row>
    <row r="100" spans="2:12" x14ac:dyDescent="0.3">
      <c r="C100" s="282" t="s">
        <v>259</v>
      </c>
      <c r="D100" s="253" t="s">
        <v>318</v>
      </c>
      <c r="E100" s="183">
        <v>2015</v>
      </c>
      <c r="F100" s="183">
        <v>2020</v>
      </c>
      <c r="G100" s="183">
        <v>2025</v>
      </c>
      <c r="H100" s="183">
        <v>2030</v>
      </c>
      <c r="I100" s="183">
        <v>2035</v>
      </c>
      <c r="J100" s="183">
        <v>2040</v>
      </c>
      <c r="K100" s="183">
        <v>2045</v>
      </c>
      <c r="L100" s="183">
        <v>2050</v>
      </c>
    </row>
    <row r="101" spans="2:12" x14ac:dyDescent="0.3">
      <c r="C101" s="191" t="s">
        <v>231</v>
      </c>
      <c r="D101" s="183">
        <v>1</v>
      </c>
      <c r="E101" s="284">
        <f>VLOOKUP($D101,Hooned!$C$87:$K$100,Hooned!D$86,FALSE)</f>
        <v>0</v>
      </c>
      <c r="F101" s="284">
        <f>VLOOKUP($D101,Hooned!$C$87:$K$100,Hooned!E$86,FALSE)</f>
        <v>0</v>
      </c>
      <c r="G101" s="284">
        <f>VLOOKUP($D101,Hooned!$C$87:$K$100,Hooned!F$86,FALSE)</f>
        <v>0</v>
      </c>
      <c r="H101" s="284">
        <f>VLOOKUP($D101,Hooned!$C$87:$K$100,Hooned!G$86,FALSE)</f>
        <v>0</v>
      </c>
      <c r="I101" s="284">
        <f>VLOOKUP($D101,Hooned!$C$87:$K$100,Hooned!H$86,FALSE)</f>
        <v>0</v>
      </c>
      <c r="J101" s="284">
        <f>VLOOKUP($D101,Hooned!$C$87:$K$100,Hooned!I$86,FALSE)</f>
        <v>0</v>
      </c>
      <c r="K101" s="284">
        <f>VLOOKUP($D101,Hooned!$C$87:$K$100,Hooned!J$86,FALSE)</f>
        <v>0</v>
      </c>
      <c r="L101" s="284">
        <f>VLOOKUP($D101,Hooned!$C$87:$K$100,Hooned!K$86,FALSE)</f>
        <v>0</v>
      </c>
    </row>
    <row r="102" spans="2:12" x14ac:dyDescent="0.3">
      <c r="C102" s="191" t="s">
        <v>209</v>
      </c>
      <c r="D102" s="183">
        <v>2</v>
      </c>
      <c r="E102" s="284"/>
      <c r="F102" s="284"/>
      <c r="G102" s="284"/>
      <c r="H102" s="284"/>
      <c r="I102" s="284"/>
      <c r="J102" s="284"/>
      <c r="K102" s="284"/>
      <c r="L102" s="284"/>
    </row>
    <row r="103" spans="2:12" x14ac:dyDescent="0.3">
      <c r="C103" s="191" t="s">
        <v>417</v>
      </c>
      <c r="D103" s="183">
        <v>4</v>
      </c>
      <c r="E103" s="284"/>
      <c r="F103" s="284"/>
      <c r="G103" s="284"/>
      <c r="H103" s="284"/>
      <c r="I103" s="284"/>
      <c r="J103" s="284"/>
      <c r="K103" s="284"/>
      <c r="L103" s="284"/>
    </row>
    <row r="104" spans="2:12" x14ac:dyDescent="0.3">
      <c r="C104" s="191" t="s">
        <v>124</v>
      </c>
      <c r="D104" s="183">
        <v>10</v>
      </c>
      <c r="E104" s="284"/>
      <c r="F104" s="284"/>
      <c r="G104" s="284"/>
      <c r="H104" s="284"/>
      <c r="I104" s="284"/>
      <c r="J104" s="284"/>
      <c r="K104" s="284"/>
      <c r="L104" s="284"/>
    </row>
    <row r="105" spans="2:12" x14ac:dyDescent="0.3">
      <c r="C105" s="191" t="s">
        <v>133</v>
      </c>
      <c r="D105" s="183">
        <v>23</v>
      </c>
      <c r="E105" s="284">
        <f>VLOOKUP($D105,Hooned!$C$87:$K$100,Hooned!D$86,FALSE)</f>
        <v>0</v>
      </c>
      <c r="F105" s="284">
        <f>VLOOKUP($D105,Hooned!$C$87:$K$100,Hooned!E$86,FALSE)</f>
        <v>0</v>
      </c>
      <c r="G105" s="284">
        <f>VLOOKUP($D105,Hooned!$C$87:$K$100,Hooned!F$86,FALSE)</f>
        <v>0</v>
      </c>
      <c r="H105" s="284">
        <f>VLOOKUP($D105,Hooned!$C$87:$K$100,Hooned!G$86,FALSE)</f>
        <v>0</v>
      </c>
      <c r="I105" s="284">
        <f>VLOOKUP($D105,Hooned!$C$87:$K$100,Hooned!H$86,FALSE)</f>
        <v>0</v>
      </c>
      <c r="J105" s="284">
        <f>VLOOKUP($D105,Hooned!$C$87:$K$100,Hooned!I$86,FALSE)</f>
        <v>0</v>
      </c>
      <c r="K105" s="284">
        <f>VLOOKUP($D105,Hooned!$C$87:$K$100,Hooned!J$86,FALSE)</f>
        <v>0</v>
      </c>
      <c r="L105" s="284">
        <f>VLOOKUP($D105,Hooned!$C$87:$K$100,Hooned!K$86,FALSE)</f>
        <v>0</v>
      </c>
    </row>
    <row r="106" spans="2:12" x14ac:dyDescent="0.3">
      <c r="C106" s="191" t="s">
        <v>285</v>
      </c>
      <c r="D106" s="183">
        <v>24</v>
      </c>
      <c r="E106" s="284">
        <f>VLOOKUP($D106,Hooned!$C$87:$K$100,Hooned!D$86,FALSE)</f>
        <v>0</v>
      </c>
      <c r="F106" s="284">
        <f>VLOOKUP($D106,Hooned!$C$87:$K$100,Hooned!E$86,FALSE)</f>
        <v>0</v>
      </c>
      <c r="G106" s="284">
        <f>VLOOKUP($D106,Hooned!$C$87:$K$100,Hooned!F$86,FALSE)</f>
        <v>0</v>
      </c>
      <c r="H106" s="284">
        <f>VLOOKUP($D106,Hooned!$C$87:$K$100,Hooned!G$86,FALSE)</f>
        <v>0</v>
      </c>
      <c r="I106" s="284">
        <f>VLOOKUP($D106,Hooned!$C$87:$K$100,Hooned!H$86,FALSE)</f>
        <v>0</v>
      </c>
      <c r="J106" s="284">
        <f>VLOOKUP($D106,Hooned!$C$87:$K$100,Hooned!I$86,FALSE)</f>
        <v>0</v>
      </c>
      <c r="K106" s="284">
        <f>VLOOKUP($D106,Hooned!$C$87:$K$100,Hooned!J$86,FALSE)</f>
        <v>0</v>
      </c>
      <c r="L106" s="284">
        <f>VLOOKUP($D106,Hooned!$C$87:$K$100,Hooned!K$86,FALSE)</f>
        <v>0</v>
      </c>
    </row>
    <row r="107" spans="2:12" x14ac:dyDescent="0.3">
      <c r="C107" s="191" t="s">
        <v>315</v>
      </c>
      <c r="D107" s="183">
        <v>26</v>
      </c>
      <c r="E107" s="284">
        <f>VLOOKUP($D107,Hooned!$C$87:$K$100,Hooned!D$86,FALSE)</f>
        <v>0</v>
      </c>
      <c r="F107" s="284">
        <f>VLOOKUP($D107,Hooned!$C$87:$K$100,Hooned!E$86,FALSE)</f>
        <v>0</v>
      </c>
      <c r="G107" s="284">
        <f>VLOOKUP($D107,Hooned!$C$87:$K$100,Hooned!F$86,FALSE)</f>
        <v>0</v>
      </c>
      <c r="H107" s="284">
        <f>VLOOKUP($D107,Hooned!$C$87:$K$100,Hooned!G$86,FALSE)</f>
        <v>0</v>
      </c>
      <c r="I107" s="284">
        <f>VLOOKUP($D107,Hooned!$C$87:$K$100,Hooned!H$86,FALSE)</f>
        <v>0</v>
      </c>
      <c r="J107" s="284">
        <f>VLOOKUP($D107,Hooned!$C$87:$K$100,Hooned!I$86,FALSE)</f>
        <v>0</v>
      </c>
      <c r="K107" s="284">
        <f>VLOOKUP($D107,Hooned!$C$87:$K$100,Hooned!J$86,FALSE)</f>
        <v>0</v>
      </c>
      <c r="L107" s="284">
        <f>VLOOKUP($D107,Hooned!$C$87:$K$100,Hooned!K$86,FALSE)</f>
        <v>0</v>
      </c>
    </row>
    <row r="108" spans="2:12" x14ac:dyDescent="0.3">
      <c r="C108" s="191" t="s">
        <v>38</v>
      </c>
      <c r="D108" s="183">
        <v>29</v>
      </c>
      <c r="E108" s="284">
        <f>VLOOKUP($D108,Hooned!$C$87:$K$100,Hooned!D$86,FALSE)</f>
        <v>148.91874999999999</v>
      </c>
      <c r="F108" s="284">
        <f>VLOOKUP($D108,Hooned!$C$87:$K$100,Hooned!E$86,FALSE)</f>
        <v>200.17083333333338</v>
      </c>
      <c r="G108" s="284">
        <f>VLOOKUP($D108,Hooned!$C$87:$K$100,Hooned!F$86,FALSE)</f>
        <v>199.75625000000005</v>
      </c>
      <c r="H108" s="284">
        <f>VLOOKUP($D108,Hooned!$C$87:$K$100,Hooned!G$86,FALSE)</f>
        <v>147.67499999999998</v>
      </c>
      <c r="I108" s="284">
        <f>VLOOKUP($D108,Hooned!$C$87:$K$100,Hooned!H$86,FALSE)</f>
        <v>147.26041666666666</v>
      </c>
      <c r="J108" s="284">
        <f>VLOOKUP($D108,Hooned!$C$87:$K$100,Hooned!I$86,FALSE)</f>
        <v>146.8458333333333</v>
      </c>
      <c r="K108" s="284">
        <f>VLOOKUP($D108,Hooned!$C$87:$K$100,Hooned!J$86,FALSE)</f>
        <v>146.43124999999998</v>
      </c>
      <c r="L108" s="284">
        <f>VLOOKUP($D108,Hooned!$C$87:$K$100,Hooned!K$86,FALSE)</f>
        <v>146.01666666666665</v>
      </c>
    </row>
    <row r="109" spans="2:12" x14ac:dyDescent="0.3">
      <c r="C109" s="191" t="s">
        <v>136</v>
      </c>
      <c r="D109" s="183">
        <v>30</v>
      </c>
      <c r="E109" s="284">
        <f>VLOOKUP($D109,Hooned!$C$87:$K$100,Hooned!D$86,FALSE)</f>
        <v>0</v>
      </c>
      <c r="F109" s="284">
        <f>VLOOKUP($D109,Hooned!$C$87:$K$100,Hooned!E$86,FALSE)</f>
        <v>0</v>
      </c>
      <c r="G109" s="284">
        <f>VLOOKUP($D109,Hooned!$C$87:$K$100,Hooned!F$86,FALSE)</f>
        <v>0</v>
      </c>
      <c r="H109" s="284">
        <f>VLOOKUP($D109,Hooned!$C$87:$K$100,Hooned!G$86,FALSE)</f>
        <v>0</v>
      </c>
      <c r="I109" s="284">
        <f>VLOOKUP($D109,Hooned!$C$87:$K$100,Hooned!H$86,FALSE)</f>
        <v>0</v>
      </c>
      <c r="J109" s="284">
        <f>VLOOKUP($D109,Hooned!$C$87:$K$100,Hooned!I$86,FALSE)</f>
        <v>0</v>
      </c>
      <c r="K109" s="284">
        <f>VLOOKUP($D109,Hooned!$C$87:$K$100,Hooned!J$86,FALSE)</f>
        <v>0</v>
      </c>
      <c r="L109" s="284">
        <f>VLOOKUP($D109,Hooned!$C$87:$K$100,Hooned!K$86,FALSE)</f>
        <v>0</v>
      </c>
    </row>
    <row r="110" spans="2:12" x14ac:dyDescent="0.3">
      <c r="C110" s="191" t="s">
        <v>360</v>
      </c>
      <c r="D110" s="183">
        <v>31</v>
      </c>
      <c r="E110" s="284">
        <f>VLOOKUP($D110,Hooned!$C$87:$K$100,Hooned!D$86,FALSE)</f>
        <v>0</v>
      </c>
      <c r="F110" s="284">
        <f>VLOOKUP($D110,Hooned!$C$87:$K$100,Hooned!E$86,FALSE)</f>
        <v>0</v>
      </c>
      <c r="G110" s="284">
        <f>VLOOKUP($D110,Hooned!$C$87:$K$100,Hooned!F$86,FALSE)</f>
        <v>0</v>
      </c>
      <c r="H110" s="284">
        <f>VLOOKUP($D110,Hooned!$C$87:$K$100,Hooned!G$86,FALSE)</f>
        <v>0</v>
      </c>
      <c r="I110" s="284">
        <f>VLOOKUP($D110,Hooned!$C$87:$K$100,Hooned!H$86,FALSE)</f>
        <v>0</v>
      </c>
      <c r="J110" s="284">
        <f>VLOOKUP($D110,Hooned!$C$87:$K$100,Hooned!I$86,FALSE)</f>
        <v>0</v>
      </c>
      <c r="K110" s="284">
        <f>VLOOKUP($D110,Hooned!$C$87:$K$100,Hooned!J$86,FALSE)</f>
        <v>0</v>
      </c>
      <c r="L110" s="284">
        <f>VLOOKUP($D110,Hooned!$C$87:$K$100,Hooned!K$86,FALSE)</f>
        <v>0</v>
      </c>
    </row>
    <row r="111" spans="2:12" x14ac:dyDescent="0.3">
      <c r="C111" s="191" t="s">
        <v>361</v>
      </c>
      <c r="D111" s="183">
        <v>32</v>
      </c>
      <c r="E111" s="284">
        <f>VLOOKUP($D111,Hooned!$C$87:$K$100,Hooned!D$86,FALSE)</f>
        <v>0</v>
      </c>
      <c r="F111" s="284">
        <f>VLOOKUP($D111,Hooned!$C$87:$K$100,Hooned!E$86,FALSE)</f>
        <v>0</v>
      </c>
      <c r="G111" s="284">
        <f>VLOOKUP($D111,Hooned!$C$87:$K$100,Hooned!F$86,FALSE)</f>
        <v>0</v>
      </c>
      <c r="H111" s="284">
        <f>VLOOKUP($D111,Hooned!$C$87:$K$100,Hooned!G$86,FALSE)</f>
        <v>0</v>
      </c>
      <c r="I111" s="284">
        <f>VLOOKUP($D111,Hooned!$C$87:$K$100,Hooned!H$86,FALSE)</f>
        <v>0</v>
      </c>
      <c r="J111" s="284">
        <f>VLOOKUP($D111,Hooned!$C$87:$K$100,Hooned!I$86,FALSE)</f>
        <v>0</v>
      </c>
      <c r="K111" s="284">
        <f>VLOOKUP($D111,Hooned!$C$87:$K$100,Hooned!J$86,FALSE)</f>
        <v>0</v>
      </c>
      <c r="L111" s="284">
        <f>VLOOKUP($D111,Hooned!$C$87:$K$100,Hooned!K$86,FALSE)</f>
        <v>0</v>
      </c>
    </row>
    <row r="112" spans="2:12" x14ac:dyDescent="0.3">
      <c r="C112" s="191" t="s">
        <v>362</v>
      </c>
      <c r="D112" s="183">
        <v>33</v>
      </c>
      <c r="E112" s="284">
        <f>VLOOKUP($D112,Hooned!$C$87:$K$100,Hooned!D$86,FALSE)</f>
        <v>0</v>
      </c>
      <c r="F112" s="284">
        <f>VLOOKUP($D112,Hooned!$C$87:$K$100,Hooned!E$86,FALSE)</f>
        <v>0</v>
      </c>
      <c r="G112" s="284">
        <f>VLOOKUP($D112,Hooned!$C$87:$K$100,Hooned!F$86,FALSE)</f>
        <v>0</v>
      </c>
      <c r="H112" s="284">
        <f>VLOOKUP($D112,Hooned!$C$87:$K$100,Hooned!G$86,FALSE)</f>
        <v>0</v>
      </c>
      <c r="I112" s="284">
        <f>VLOOKUP($D112,Hooned!$C$87:$K$100,Hooned!H$86,FALSE)</f>
        <v>0</v>
      </c>
      <c r="J112" s="284">
        <f>VLOOKUP($D112,Hooned!$C$87:$K$100,Hooned!I$86,FALSE)</f>
        <v>0</v>
      </c>
      <c r="K112" s="284">
        <f>VLOOKUP($D112,Hooned!$C$87:$K$100,Hooned!J$86,FALSE)</f>
        <v>0</v>
      </c>
      <c r="L112" s="284">
        <f>VLOOKUP($D112,Hooned!$C$87:$K$100,Hooned!K$86,FALSE)</f>
        <v>0</v>
      </c>
    </row>
    <row r="113" spans="2:12" x14ac:dyDescent="0.3">
      <c r="C113" s="191" t="s">
        <v>363</v>
      </c>
      <c r="D113" s="183">
        <v>55</v>
      </c>
      <c r="E113" s="284">
        <f>VLOOKUP($D113,Hooned!$C$87:$K$100,Hooned!D$86,FALSE)</f>
        <v>-0.41458333333333341</v>
      </c>
      <c r="F113" s="284">
        <f>VLOOKUP($D113,Hooned!$C$87:$K$100,Hooned!E$86,FALSE)</f>
        <v>-0.82916666666666683</v>
      </c>
      <c r="G113" s="284">
        <f>VLOOKUP($D113,Hooned!$C$87:$K$100,Hooned!F$86,FALSE)</f>
        <v>-1.2437500000000004</v>
      </c>
      <c r="H113" s="284">
        <f>VLOOKUP($D113,Hooned!$C$87:$K$100,Hooned!G$86,FALSE)</f>
        <v>-1.6583333333333337</v>
      </c>
      <c r="I113" s="284">
        <f>VLOOKUP($D113,Hooned!$C$87:$K$100,Hooned!H$86,FALSE)</f>
        <v>-2.072916666666667</v>
      </c>
      <c r="J113" s="284">
        <f>VLOOKUP($D113,Hooned!$C$87:$K$100,Hooned!I$86,FALSE)</f>
        <v>-2.4875000000000007</v>
      </c>
      <c r="K113" s="284">
        <f>VLOOKUP($D113,Hooned!$C$87:$K$100,Hooned!J$86,FALSE)</f>
        <v>-2.9020833333333336</v>
      </c>
      <c r="L113" s="284">
        <f>VLOOKUP($D113,Hooned!$C$87:$K$100,Hooned!K$86,FALSE)</f>
        <v>-3.3166666666666673</v>
      </c>
    </row>
    <row r="114" spans="2:12" x14ac:dyDescent="0.3">
      <c r="C114" s="259" t="s">
        <v>204</v>
      </c>
      <c r="D114" s="251">
        <v>101</v>
      </c>
      <c r="E114" s="284">
        <f>VLOOKUP($D114,Hooned!$C$87:$K$100,Hooned!D$86,FALSE)</f>
        <v>0</v>
      </c>
      <c r="F114" s="284">
        <f>VLOOKUP($D114,Hooned!$C$87:$K$100,Hooned!E$86,FALSE)</f>
        <v>0</v>
      </c>
      <c r="G114" s="284">
        <f>VLOOKUP($D114,Hooned!$C$87:$K$100,Hooned!F$86,FALSE)</f>
        <v>0</v>
      </c>
      <c r="H114" s="284">
        <f>VLOOKUP($D114,Hooned!$C$87:$K$100,Hooned!G$86,FALSE)</f>
        <v>0</v>
      </c>
      <c r="I114" s="284">
        <f>VLOOKUP($D114,Hooned!$C$87:$K$100,Hooned!H$86,FALSE)</f>
        <v>0</v>
      </c>
      <c r="J114" s="284">
        <f>VLOOKUP($D114,Hooned!$C$87:$K$100,Hooned!I$86,FALSE)</f>
        <v>0</v>
      </c>
      <c r="K114" s="284">
        <f>VLOOKUP($D114,Hooned!$C$87:$K$100,Hooned!J$86,FALSE)</f>
        <v>0</v>
      </c>
      <c r="L114" s="284">
        <f>VLOOKUP($D114,Hooned!$C$87:$K$100,Hooned!K$86,FALSE)</f>
        <v>0</v>
      </c>
    </row>
    <row r="115" spans="2:12" x14ac:dyDescent="0.3">
      <c r="C115" s="259" t="s">
        <v>364</v>
      </c>
      <c r="D115" s="251">
        <v>102</v>
      </c>
      <c r="E115" s="284">
        <f>VLOOKUP($D115,Hooned!$C$87:$K$100,Hooned!D$86,FALSE)</f>
        <v>102.16666666666667</v>
      </c>
      <c r="F115" s="284">
        <f>VLOOKUP($D115,Hooned!$C$87:$K$100,Hooned!E$86,FALSE)</f>
        <v>102.16666666666667</v>
      </c>
      <c r="G115" s="284">
        <f>VLOOKUP($D115,Hooned!$C$87:$K$100,Hooned!F$86,FALSE)</f>
        <v>102.16666666666667</v>
      </c>
      <c r="H115" s="284">
        <f>VLOOKUP($D115,Hooned!$C$87:$K$100,Hooned!G$86,FALSE)</f>
        <v>102.16666666666667</v>
      </c>
      <c r="I115" s="284">
        <f>VLOOKUP($D115,Hooned!$C$87:$K$100,Hooned!H$86,FALSE)</f>
        <v>102.16666666666667</v>
      </c>
      <c r="J115" s="284">
        <f>VLOOKUP($D115,Hooned!$C$87:$K$100,Hooned!I$86,FALSE)</f>
        <v>102.16666666666667</v>
      </c>
      <c r="K115" s="284">
        <f>VLOOKUP($D115,Hooned!$C$87:$K$100,Hooned!J$86,FALSE)</f>
        <v>102.16666666666667</v>
      </c>
      <c r="L115" s="284">
        <f>VLOOKUP($D115,Hooned!$C$87:$K$100,Hooned!K$86,FALSE)</f>
        <v>102.16666666666667</v>
      </c>
    </row>
    <row r="116" spans="2:12" x14ac:dyDescent="0.3">
      <c r="C116" s="259" t="s">
        <v>457</v>
      </c>
      <c r="D116" s="251">
        <v>103</v>
      </c>
      <c r="E116" s="284">
        <f>VLOOKUP($D116,Hooned!$C$87:$K$100,Hooned!D$86,FALSE)</f>
        <v>-0.41666666666666785</v>
      </c>
      <c r="F116" s="284">
        <f>VLOOKUP($D116,Hooned!$C$87:$K$100,Hooned!E$86,FALSE)</f>
        <v>10.783333333333335</v>
      </c>
      <c r="G116" s="284">
        <f>VLOOKUP($D116,Hooned!$C$87:$K$100,Hooned!F$86,FALSE)</f>
        <v>25.375</v>
      </c>
      <c r="H116" s="284">
        <f>VLOOKUP($D116,Hooned!$C$87:$K$100,Hooned!G$86,FALSE)</f>
        <v>28.324999999999996</v>
      </c>
      <c r="I116" s="284">
        <f>VLOOKUP($D116,Hooned!$C$87:$K$100,Hooned!H$86,FALSE)</f>
        <v>31.574999999999989</v>
      </c>
      <c r="J116" s="284">
        <f>VLOOKUP($D116,Hooned!$C$87:$K$100,Hooned!I$86,FALSE)</f>
        <v>35.233333333333348</v>
      </c>
      <c r="K116" s="284">
        <f>VLOOKUP($D116,Hooned!$C$87:$K$100,Hooned!J$86,FALSE)</f>
        <v>39.208333333333314</v>
      </c>
      <c r="L116" s="284">
        <f>VLOOKUP($D116,Hooned!$C$87:$K$100,Hooned!K$86,FALSE)</f>
        <v>43.583333333333343</v>
      </c>
    </row>
    <row r="117" spans="2:12" x14ac:dyDescent="0.3">
      <c r="C117" s="260" t="s">
        <v>110</v>
      </c>
      <c r="D117" s="252">
        <v>104</v>
      </c>
      <c r="E117" s="284">
        <f>VLOOKUP($D117,Hooned!$C$87:$K$100,Hooned!D$86,FALSE)</f>
        <v>0</v>
      </c>
      <c r="F117" s="284">
        <f>VLOOKUP($D117,Hooned!$C$87:$K$100,Hooned!E$86,FALSE)</f>
        <v>0</v>
      </c>
      <c r="G117" s="284">
        <f>VLOOKUP($D117,Hooned!$C$87:$K$100,Hooned!F$86,FALSE)</f>
        <v>0</v>
      </c>
      <c r="H117" s="284">
        <f>VLOOKUP($D117,Hooned!$C$87:$K$100,Hooned!G$86,FALSE)</f>
        <v>0</v>
      </c>
      <c r="I117" s="284">
        <f>VLOOKUP($D117,Hooned!$C$87:$K$100,Hooned!H$86,FALSE)</f>
        <v>0</v>
      </c>
      <c r="J117" s="284">
        <f>VLOOKUP($D117,Hooned!$C$87:$K$100,Hooned!I$86,FALSE)</f>
        <v>0</v>
      </c>
      <c r="K117" s="284">
        <f>VLOOKUP($D117,Hooned!$C$87:$K$100,Hooned!J$86,FALSE)</f>
        <v>0</v>
      </c>
      <c r="L117" s="284">
        <f>VLOOKUP($D117,Hooned!$C$87:$K$100,Hooned!K$86,FALSE)</f>
        <v>0</v>
      </c>
    </row>
    <row r="118" spans="2:12" x14ac:dyDescent="0.3">
      <c r="C118" s="259" t="s">
        <v>53</v>
      </c>
      <c r="D118" s="251">
        <v>105</v>
      </c>
      <c r="E118" s="284">
        <f>Hooned!D56</f>
        <v>50.401666666666657</v>
      </c>
      <c r="F118" s="284">
        <f>Hooned!E56</f>
        <v>100.35666666666665</v>
      </c>
      <c r="G118" s="284">
        <f>Hooned!F56</f>
        <v>168.33166666666668</v>
      </c>
      <c r="H118" s="284">
        <f>Hooned!G56</f>
        <v>237.68</v>
      </c>
      <c r="I118" s="284">
        <f>Hooned!H56</f>
        <v>323.33833333333331</v>
      </c>
      <c r="J118" s="284">
        <f>Hooned!I56</f>
        <v>427.98666666666668</v>
      </c>
      <c r="K118" s="284">
        <f>Hooned!J56</f>
        <v>553.71499999999992</v>
      </c>
      <c r="L118" s="284">
        <f>Hooned!K56</f>
        <v>703.35333333333335</v>
      </c>
    </row>
    <row r="119" spans="2:12" x14ac:dyDescent="0.3">
      <c r="C119" s="183" t="s">
        <v>321</v>
      </c>
      <c r="D119" s="253" t="s">
        <v>293</v>
      </c>
      <c r="E119" s="284"/>
      <c r="F119" s="284"/>
      <c r="G119" s="284"/>
      <c r="H119" s="284"/>
      <c r="I119" s="284"/>
      <c r="J119" s="284"/>
      <c r="K119" s="284"/>
      <c r="L119" s="284"/>
    </row>
    <row r="120" spans="2:12" x14ac:dyDescent="0.3">
      <c r="C120" s="191" t="s">
        <v>650</v>
      </c>
      <c r="D120" s="253" t="s">
        <v>75</v>
      </c>
      <c r="E120" s="284"/>
      <c r="F120" s="284"/>
      <c r="G120" s="284"/>
      <c r="H120" s="284"/>
      <c r="I120" s="284"/>
      <c r="J120" s="284"/>
      <c r="K120" s="284"/>
      <c r="L120" s="284"/>
    </row>
    <row r="121" spans="2:12" x14ac:dyDescent="0.3">
      <c r="C121" s="279" t="s">
        <v>323</v>
      </c>
      <c r="D121" s="253" t="s">
        <v>75</v>
      </c>
      <c r="E121" s="284"/>
      <c r="F121" s="284"/>
      <c r="G121" s="284"/>
      <c r="H121" s="284"/>
      <c r="I121" s="284"/>
      <c r="J121" s="284"/>
      <c r="K121" s="284"/>
      <c r="L121" s="284"/>
    </row>
    <row r="122" spans="2:12" x14ac:dyDescent="0.3">
      <c r="C122" s="279" t="s">
        <v>324</v>
      </c>
      <c r="D122" s="253" t="s">
        <v>75</v>
      </c>
      <c r="E122" s="284"/>
      <c r="F122" s="284"/>
      <c r="G122" s="284"/>
      <c r="H122" s="284"/>
      <c r="I122" s="284"/>
      <c r="J122" s="284"/>
      <c r="K122" s="284"/>
      <c r="L122" s="284"/>
    </row>
    <row r="123" spans="2:12" x14ac:dyDescent="0.3">
      <c r="C123" s="280" t="s">
        <v>325</v>
      </c>
      <c r="D123" s="253" t="s">
        <v>75</v>
      </c>
      <c r="E123" s="284"/>
      <c r="F123" s="284"/>
      <c r="G123" s="284"/>
      <c r="H123" s="284"/>
      <c r="I123" s="284"/>
      <c r="J123" s="284"/>
      <c r="K123" s="284"/>
      <c r="L123" s="284"/>
    </row>
    <row r="124" spans="2:12" x14ac:dyDescent="0.3">
      <c r="C124" s="280" t="s">
        <v>541</v>
      </c>
      <c r="D124" s="253" t="s">
        <v>75</v>
      </c>
      <c r="E124" s="284"/>
      <c r="F124" s="284"/>
      <c r="G124" s="284"/>
      <c r="H124" s="284"/>
      <c r="I124" s="284"/>
      <c r="J124" s="284"/>
      <c r="K124" s="284"/>
      <c r="L124" s="284"/>
    </row>
    <row r="125" spans="2:12" x14ac:dyDescent="0.3">
      <c r="C125" s="191" t="s">
        <v>326</v>
      </c>
      <c r="D125" s="253" t="s">
        <v>306</v>
      </c>
      <c r="E125" s="284"/>
      <c r="F125" s="284"/>
      <c r="G125" s="284"/>
      <c r="H125" s="284"/>
      <c r="I125" s="284"/>
      <c r="J125" s="284"/>
      <c r="K125" s="284"/>
      <c r="L125" s="284"/>
    </row>
    <row r="126" spans="2:12" x14ac:dyDescent="0.3">
      <c r="C126" s="301" t="s">
        <v>387</v>
      </c>
      <c r="D126" s="253" t="s">
        <v>388</v>
      </c>
      <c r="E126" s="284"/>
      <c r="F126" s="284"/>
      <c r="G126" s="284"/>
      <c r="H126" s="284"/>
      <c r="I126" s="284"/>
      <c r="J126" s="284"/>
      <c r="K126" s="284"/>
      <c r="L126" s="284"/>
    </row>
    <row r="127" spans="2:12" x14ac:dyDescent="0.3">
      <c r="F127" s="196"/>
      <c r="G127" s="196"/>
      <c r="H127" s="196"/>
      <c r="I127" s="196"/>
      <c r="J127" s="196"/>
      <c r="K127" s="196"/>
      <c r="L127" s="196"/>
    </row>
    <row r="128" spans="2:12" ht="15.6" x14ac:dyDescent="0.3">
      <c r="B128" s="302">
        <v>2</v>
      </c>
      <c r="C128" s="303" t="s">
        <v>247</v>
      </c>
      <c r="D128" s="201"/>
      <c r="E128" s="201"/>
      <c r="F128" s="202"/>
    </row>
    <row r="129" spans="2:12" ht="27.6" x14ac:dyDescent="0.3">
      <c r="C129" s="200"/>
      <c r="D129" s="338" t="s">
        <v>316</v>
      </c>
      <c r="E129" s="338" t="s">
        <v>380</v>
      </c>
      <c r="F129" s="338" t="s">
        <v>317</v>
      </c>
      <c r="G129" s="109"/>
    </row>
    <row r="130" spans="2:12" x14ac:dyDescent="0.3">
      <c r="C130" s="206" t="s">
        <v>251</v>
      </c>
      <c r="D130" s="338">
        <v>1</v>
      </c>
      <c r="E130" s="338">
        <v>2</v>
      </c>
      <c r="F130" s="338">
        <v>3</v>
      </c>
      <c r="G130" s="110"/>
    </row>
    <row r="131" spans="2:12" x14ac:dyDescent="0.3">
      <c r="C131" s="204" t="s">
        <v>621</v>
      </c>
      <c r="D131" s="339">
        <f>TULEMUSED!M6</f>
        <v>1</v>
      </c>
      <c r="E131" s="205"/>
      <c r="F131" s="106"/>
      <c r="G131" s="111"/>
    </row>
    <row r="132" spans="2:12" x14ac:dyDescent="0.3">
      <c r="C132" s="111"/>
      <c r="D132" s="194"/>
      <c r="E132" s="195"/>
      <c r="G132" s="112"/>
    </row>
    <row r="133" spans="2:12" ht="11.25" customHeight="1" x14ac:dyDescent="0.3">
      <c r="B133" s="106"/>
      <c r="C133" s="281" t="s">
        <v>384</v>
      </c>
      <c r="D133" s="119"/>
      <c r="E133" s="195"/>
      <c r="F133" s="106"/>
      <c r="G133" s="112"/>
    </row>
    <row r="134" spans="2:12" x14ac:dyDescent="0.3">
      <c r="C134" s="282" t="s">
        <v>259</v>
      </c>
      <c r="D134" s="253" t="s">
        <v>318</v>
      </c>
      <c r="E134" s="183">
        <v>2015</v>
      </c>
      <c r="F134" s="183">
        <v>2020</v>
      </c>
      <c r="G134" s="183">
        <v>2025</v>
      </c>
      <c r="H134" s="183">
        <v>2030</v>
      </c>
      <c r="I134" s="183">
        <v>2035</v>
      </c>
      <c r="J134" s="183">
        <v>2040</v>
      </c>
      <c r="K134" s="183">
        <v>2045</v>
      </c>
      <c r="L134" s="183">
        <v>2050</v>
      </c>
    </row>
    <row r="135" spans="2:12" x14ac:dyDescent="0.3">
      <c r="C135" s="191" t="s">
        <v>231</v>
      </c>
      <c r="D135" s="183">
        <v>1</v>
      </c>
      <c r="E135" s="284">
        <f>IF($D$131=2,E165,IF($D$131=3,E194,0))</f>
        <v>0</v>
      </c>
      <c r="F135" s="284">
        <f t="shared" ref="F135:L135" si="27">IF($D$131=2,F165,IF($D$131=3,F194,0))</f>
        <v>0</v>
      </c>
      <c r="G135" s="284">
        <f t="shared" si="27"/>
        <v>0</v>
      </c>
      <c r="H135" s="284">
        <f t="shared" si="27"/>
        <v>0</v>
      </c>
      <c r="I135" s="284">
        <f t="shared" si="27"/>
        <v>0</v>
      </c>
      <c r="J135" s="284">
        <f t="shared" si="27"/>
        <v>0</v>
      </c>
      <c r="K135" s="284">
        <f t="shared" si="27"/>
        <v>0</v>
      </c>
      <c r="L135" s="284">
        <f t="shared" si="27"/>
        <v>0</v>
      </c>
    </row>
    <row r="136" spans="2:12" x14ac:dyDescent="0.3">
      <c r="C136" s="191" t="s">
        <v>209</v>
      </c>
      <c r="D136" s="183">
        <v>2</v>
      </c>
      <c r="E136" s="284">
        <f t="shared" ref="E136:L136" si="28">IF($D$131=2,E166,IF($D$131=3,E195,0))</f>
        <v>0</v>
      </c>
      <c r="F136" s="284">
        <f t="shared" si="28"/>
        <v>0</v>
      </c>
      <c r="G136" s="284">
        <f t="shared" si="28"/>
        <v>0</v>
      </c>
      <c r="H136" s="284">
        <f t="shared" si="28"/>
        <v>0</v>
      </c>
      <c r="I136" s="284">
        <f t="shared" si="28"/>
        <v>0</v>
      </c>
      <c r="J136" s="284">
        <f t="shared" si="28"/>
        <v>0</v>
      </c>
      <c r="K136" s="284">
        <f t="shared" si="28"/>
        <v>0</v>
      </c>
      <c r="L136" s="284">
        <f t="shared" si="28"/>
        <v>0</v>
      </c>
    </row>
    <row r="137" spans="2:12" x14ac:dyDescent="0.3">
      <c r="C137" s="191" t="s">
        <v>417</v>
      </c>
      <c r="D137" s="183">
        <v>4</v>
      </c>
      <c r="E137" s="284">
        <f t="shared" ref="E137:L137" si="29">IF($D$131=2,E167,IF($D$131=3,E196,0))</f>
        <v>0</v>
      </c>
      <c r="F137" s="284">
        <f t="shared" si="29"/>
        <v>0</v>
      </c>
      <c r="G137" s="284">
        <f t="shared" si="29"/>
        <v>0</v>
      </c>
      <c r="H137" s="284">
        <f t="shared" si="29"/>
        <v>0</v>
      </c>
      <c r="I137" s="284">
        <f t="shared" si="29"/>
        <v>0</v>
      </c>
      <c r="J137" s="284">
        <f t="shared" si="29"/>
        <v>0</v>
      </c>
      <c r="K137" s="284">
        <f t="shared" si="29"/>
        <v>0</v>
      </c>
      <c r="L137" s="284">
        <f t="shared" si="29"/>
        <v>0</v>
      </c>
    </row>
    <row r="138" spans="2:12" x14ac:dyDescent="0.3">
      <c r="C138" s="191" t="s">
        <v>124</v>
      </c>
      <c r="D138" s="183">
        <v>10</v>
      </c>
      <c r="E138" s="284"/>
      <c r="F138" s="284"/>
      <c r="G138" s="284"/>
      <c r="H138" s="284"/>
      <c r="I138" s="284"/>
      <c r="J138" s="284"/>
      <c r="K138" s="284"/>
      <c r="L138" s="284"/>
    </row>
    <row r="139" spans="2:12" x14ac:dyDescent="0.3">
      <c r="C139" s="191" t="s">
        <v>133</v>
      </c>
      <c r="D139" s="183">
        <v>23</v>
      </c>
      <c r="E139" s="284">
        <f t="shared" ref="E139:L139" si="30">IF($D$131=2,E169,IF($D$131=3,E198,0))</f>
        <v>0</v>
      </c>
      <c r="F139" s="284">
        <f t="shared" si="30"/>
        <v>0</v>
      </c>
      <c r="G139" s="284">
        <f t="shared" si="30"/>
        <v>0</v>
      </c>
      <c r="H139" s="284">
        <f t="shared" si="30"/>
        <v>0</v>
      </c>
      <c r="I139" s="284">
        <f t="shared" si="30"/>
        <v>0</v>
      </c>
      <c r="J139" s="284">
        <f t="shared" si="30"/>
        <v>0</v>
      </c>
      <c r="K139" s="284">
        <f t="shared" si="30"/>
        <v>0</v>
      </c>
      <c r="L139" s="284">
        <f t="shared" si="30"/>
        <v>0</v>
      </c>
    </row>
    <row r="140" spans="2:12" x14ac:dyDescent="0.3">
      <c r="C140" s="191" t="s">
        <v>285</v>
      </c>
      <c r="D140" s="183">
        <v>24</v>
      </c>
      <c r="E140" s="284">
        <f t="shared" ref="E140:L140" si="31">IF($D$131=2,E170,IF($D$131=3,E199,0))</f>
        <v>0</v>
      </c>
      <c r="F140" s="284">
        <f t="shared" si="31"/>
        <v>0</v>
      </c>
      <c r="G140" s="284">
        <f t="shared" si="31"/>
        <v>0</v>
      </c>
      <c r="H140" s="284">
        <f t="shared" si="31"/>
        <v>0</v>
      </c>
      <c r="I140" s="284">
        <f t="shared" si="31"/>
        <v>0</v>
      </c>
      <c r="J140" s="284">
        <f t="shared" si="31"/>
        <v>0</v>
      </c>
      <c r="K140" s="284">
        <f t="shared" si="31"/>
        <v>0</v>
      </c>
      <c r="L140" s="284">
        <f t="shared" si="31"/>
        <v>0</v>
      </c>
    </row>
    <row r="141" spans="2:12" x14ac:dyDescent="0.3">
      <c r="C141" s="191" t="s">
        <v>315</v>
      </c>
      <c r="D141" s="183">
        <v>26</v>
      </c>
      <c r="E141" s="284">
        <f t="shared" ref="E141:L141" si="32">IF($D$131=2,E171,IF($D$131=3,E200,0))</f>
        <v>0</v>
      </c>
      <c r="F141" s="284">
        <f t="shared" si="32"/>
        <v>0</v>
      </c>
      <c r="G141" s="284">
        <f t="shared" si="32"/>
        <v>0</v>
      </c>
      <c r="H141" s="284">
        <f t="shared" si="32"/>
        <v>0</v>
      </c>
      <c r="I141" s="284">
        <f t="shared" si="32"/>
        <v>0</v>
      </c>
      <c r="J141" s="284">
        <f t="shared" si="32"/>
        <v>0</v>
      </c>
      <c r="K141" s="284">
        <f t="shared" si="32"/>
        <v>0</v>
      </c>
      <c r="L141" s="284">
        <f t="shared" si="32"/>
        <v>0</v>
      </c>
    </row>
    <row r="142" spans="2:12" x14ac:dyDescent="0.3">
      <c r="C142" s="191" t="s">
        <v>38</v>
      </c>
      <c r="D142" s="183">
        <v>29</v>
      </c>
      <c r="E142" s="284">
        <f t="shared" ref="E142:L142" si="33">IF($D$131=2,E172,IF($D$131=3,E201,0))</f>
        <v>0</v>
      </c>
      <c r="F142" s="284">
        <f t="shared" si="33"/>
        <v>0</v>
      </c>
      <c r="G142" s="284">
        <f t="shared" si="33"/>
        <v>0</v>
      </c>
      <c r="H142" s="284">
        <f t="shared" si="33"/>
        <v>0</v>
      </c>
      <c r="I142" s="284">
        <f t="shared" si="33"/>
        <v>0</v>
      </c>
      <c r="J142" s="284">
        <f t="shared" si="33"/>
        <v>0</v>
      </c>
      <c r="K142" s="284">
        <f t="shared" si="33"/>
        <v>0</v>
      </c>
      <c r="L142" s="284">
        <f t="shared" si="33"/>
        <v>0</v>
      </c>
    </row>
    <row r="143" spans="2:12" x14ac:dyDescent="0.3">
      <c r="C143" s="191" t="s">
        <v>136</v>
      </c>
      <c r="D143" s="183">
        <v>30</v>
      </c>
      <c r="E143" s="284">
        <f t="shared" ref="E143:L143" si="34">IF($D$131=2,E173,IF($D$131=3,E202,0))</f>
        <v>0</v>
      </c>
      <c r="F143" s="284">
        <f t="shared" si="34"/>
        <v>0</v>
      </c>
      <c r="G143" s="284">
        <f t="shared" si="34"/>
        <v>0</v>
      </c>
      <c r="H143" s="284">
        <f t="shared" si="34"/>
        <v>0</v>
      </c>
      <c r="I143" s="284">
        <f t="shared" si="34"/>
        <v>0</v>
      </c>
      <c r="J143" s="284">
        <f t="shared" si="34"/>
        <v>0</v>
      </c>
      <c r="K143" s="284">
        <f t="shared" si="34"/>
        <v>0</v>
      </c>
      <c r="L143" s="284">
        <f t="shared" si="34"/>
        <v>0</v>
      </c>
    </row>
    <row r="144" spans="2:12" x14ac:dyDescent="0.3">
      <c r="C144" s="191" t="s">
        <v>360</v>
      </c>
      <c r="D144" s="183">
        <v>31</v>
      </c>
      <c r="E144" s="284">
        <f t="shared" ref="E144:L144" si="35">IF($D$131=2,E174,IF($D$131=3,E203,0))</f>
        <v>0</v>
      </c>
      <c r="F144" s="284">
        <f t="shared" si="35"/>
        <v>0</v>
      </c>
      <c r="G144" s="284">
        <f t="shared" si="35"/>
        <v>0</v>
      </c>
      <c r="H144" s="284">
        <f t="shared" si="35"/>
        <v>0</v>
      </c>
      <c r="I144" s="284">
        <f t="shared" si="35"/>
        <v>0</v>
      </c>
      <c r="J144" s="284">
        <f t="shared" si="35"/>
        <v>0</v>
      </c>
      <c r="K144" s="284">
        <f t="shared" si="35"/>
        <v>0</v>
      </c>
      <c r="L144" s="284">
        <f t="shared" si="35"/>
        <v>0</v>
      </c>
    </row>
    <row r="145" spans="3:12" x14ac:dyDescent="0.3">
      <c r="C145" s="191" t="s">
        <v>361</v>
      </c>
      <c r="D145" s="183">
        <v>32</v>
      </c>
      <c r="E145" s="284">
        <f t="shared" ref="E145:L145" si="36">IF($D$131=2,E175,IF($D$131=3,E204,0))</f>
        <v>0</v>
      </c>
      <c r="F145" s="284">
        <f t="shared" si="36"/>
        <v>0</v>
      </c>
      <c r="G145" s="284">
        <f t="shared" si="36"/>
        <v>0</v>
      </c>
      <c r="H145" s="284">
        <f t="shared" si="36"/>
        <v>0</v>
      </c>
      <c r="I145" s="284">
        <f t="shared" si="36"/>
        <v>0</v>
      </c>
      <c r="J145" s="284">
        <f t="shared" si="36"/>
        <v>0</v>
      </c>
      <c r="K145" s="284">
        <f t="shared" si="36"/>
        <v>0</v>
      </c>
      <c r="L145" s="284">
        <f t="shared" si="36"/>
        <v>0</v>
      </c>
    </row>
    <row r="146" spans="3:12" x14ac:dyDescent="0.3">
      <c r="C146" s="191" t="s">
        <v>362</v>
      </c>
      <c r="D146" s="183">
        <v>33</v>
      </c>
      <c r="E146" s="284">
        <f t="shared" ref="E146:L146" si="37">IF($D$131=2,E176,IF($D$131=3,E205,0))</f>
        <v>0</v>
      </c>
      <c r="F146" s="284">
        <f t="shared" si="37"/>
        <v>0</v>
      </c>
      <c r="G146" s="284">
        <f t="shared" si="37"/>
        <v>0</v>
      </c>
      <c r="H146" s="284">
        <f t="shared" si="37"/>
        <v>0</v>
      </c>
      <c r="I146" s="284">
        <f t="shared" si="37"/>
        <v>0</v>
      </c>
      <c r="J146" s="284">
        <f t="shared" si="37"/>
        <v>0</v>
      </c>
      <c r="K146" s="284">
        <f t="shared" si="37"/>
        <v>0</v>
      </c>
      <c r="L146" s="284">
        <f t="shared" si="37"/>
        <v>0</v>
      </c>
    </row>
    <row r="147" spans="3:12" x14ac:dyDescent="0.3">
      <c r="C147" s="191" t="s">
        <v>363</v>
      </c>
      <c r="D147" s="183">
        <v>55</v>
      </c>
      <c r="E147" s="284">
        <f t="shared" ref="E147:L147" si="38">IF($D$131=2,E177,IF($D$131=3,E206,0))</f>
        <v>0</v>
      </c>
      <c r="F147" s="284">
        <f t="shared" si="38"/>
        <v>0</v>
      </c>
      <c r="G147" s="284">
        <f t="shared" si="38"/>
        <v>0</v>
      </c>
      <c r="H147" s="284">
        <f t="shared" si="38"/>
        <v>0</v>
      </c>
      <c r="I147" s="284">
        <f t="shared" si="38"/>
        <v>0</v>
      </c>
      <c r="J147" s="284">
        <f t="shared" si="38"/>
        <v>0</v>
      </c>
      <c r="K147" s="284">
        <f t="shared" si="38"/>
        <v>0</v>
      </c>
      <c r="L147" s="284">
        <f t="shared" si="38"/>
        <v>0</v>
      </c>
    </row>
    <row r="148" spans="3:12" x14ac:dyDescent="0.3">
      <c r="C148" s="259" t="s">
        <v>204</v>
      </c>
      <c r="D148" s="251">
        <v>101</v>
      </c>
      <c r="E148" s="284">
        <f t="shared" ref="E148:L148" si="39">IF($D$131=2,E178,IF($D$131=3,E207,0))</f>
        <v>0</v>
      </c>
      <c r="F148" s="284">
        <f t="shared" si="39"/>
        <v>0</v>
      </c>
      <c r="G148" s="284">
        <f t="shared" si="39"/>
        <v>0</v>
      </c>
      <c r="H148" s="284">
        <f t="shared" si="39"/>
        <v>0</v>
      </c>
      <c r="I148" s="284">
        <f t="shared" si="39"/>
        <v>0</v>
      </c>
      <c r="J148" s="284">
        <f t="shared" si="39"/>
        <v>0</v>
      </c>
      <c r="K148" s="284">
        <f t="shared" si="39"/>
        <v>0</v>
      </c>
      <c r="L148" s="284">
        <f t="shared" si="39"/>
        <v>0</v>
      </c>
    </row>
    <row r="149" spans="3:12" x14ac:dyDescent="0.3">
      <c r="C149" s="259" t="s">
        <v>364</v>
      </c>
      <c r="D149" s="251">
        <v>102</v>
      </c>
      <c r="E149" s="284">
        <f t="shared" ref="E149:L149" si="40">IF($D$131=2,E179,IF($D$131=3,E208,0))</f>
        <v>0</v>
      </c>
      <c r="F149" s="284">
        <f t="shared" si="40"/>
        <v>0</v>
      </c>
      <c r="G149" s="284">
        <f t="shared" si="40"/>
        <v>0</v>
      </c>
      <c r="H149" s="284">
        <f t="shared" si="40"/>
        <v>0</v>
      </c>
      <c r="I149" s="284">
        <f t="shared" si="40"/>
        <v>0</v>
      </c>
      <c r="J149" s="284">
        <f t="shared" si="40"/>
        <v>0</v>
      </c>
      <c r="K149" s="284">
        <f t="shared" si="40"/>
        <v>0</v>
      </c>
      <c r="L149" s="284">
        <f t="shared" si="40"/>
        <v>0</v>
      </c>
    </row>
    <row r="150" spans="3:12" x14ac:dyDescent="0.3">
      <c r="C150" s="259" t="s">
        <v>457</v>
      </c>
      <c r="D150" s="251">
        <v>103</v>
      </c>
      <c r="E150" s="284">
        <f t="shared" ref="E150:L150" si="41">IF($D$131=2,E180,IF($D$131=3,E209,0))</f>
        <v>0</v>
      </c>
      <c r="F150" s="284">
        <f t="shared" si="41"/>
        <v>0</v>
      </c>
      <c r="G150" s="284">
        <f t="shared" si="41"/>
        <v>0</v>
      </c>
      <c r="H150" s="284">
        <f t="shared" si="41"/>
        <v>0</v>
      </c>
      <c r="I150" s="284">
        <f t="shared" si="41"/>
        <v>0</v>
      </c>
      <c r="J150" s="284">
        <f t="shared" si="41"/>
        <v>0</v>
      </c>
      <c r="K150" s="284">
        <f t="shared" si="41"/>
        <v>0</v>
      </c>
      <c r="L150" s="284">
        <f t="shared" si="41"/>
        <v>0</v>
      </c>
    </row>
    <row r="151" spans="3:12" x14ac:dyDescent="0.3">
      <c r="C151" s="260" t="s">
        <v>110</v>
      </c>
      <c r="D151" s="252">
        <v>104</v>
      </c>
      <c r="E151" s="284">
        <f t="shared" ref="E151:L151" si="42">IF($D$131=2,E181,IF($D$131=3,E210,0))</f>
        <v>0</v>
      </c>
      <c r="F151" s="284">
        <f t="shared" si="42"/>
        <v>0</v>
      </c>
      <c r="G151" s="284">
        <f t="shared" si="42"/>
        <v>0</v>
      </c>
      <c r="H151" s="284">
        <f t="shared" si="42"/>
        <v>0</v>
      </c>
      <c r="I151" s="284">
        <f t="shared" si="42"/>
        <v>0</v>
      </c>
      <c r="J151" s="284">
        <f t="shared" si="42"/>
        <v>0</v>
      </c>
      <c r="K151" s="284">
        <f t="shared" si="42"/>
        <v>0</v>
      </c>
      <c r="L151" s="284">
        <f t="shared" si="42"/>
        <v>0</v>
      </c>
    </row>
    <row r="152" spans="3:12" x14ac:dyDescent="0.3">
      <c r="C152" s="259" t="s">
        <v>53</v>
      </c>
      <c r="D152" s="251"/>
      <c r="E152" s="284">
        <f t="shared" ref="E152:L152" si="43">IF($D$131=2,E182,IF($D$131=3,E211,0))</f>
        <v>0</v>
      </c>
      <c r="F152" s="284">
        <f t="shared" si="43"/>
        <v>0</v>
      </c>
      <c r="G152" s="284">
        <f t="shared" si="43"/>
        <v>0</v>
      </c>
      <c r="H152" s="284">
        <f t="shared" si="43"/>
        <v>0</v>
      </c>
      <c r="I152" s="284">
        <f t="shared" si="43"/>
        <v>0</v>
      </c>
      <c r="J152" s="284">
        <f t="shared" si="43"/>
        <v>0</v>
      </c>
      <c r="K152" s="284">
        <f t="shared" si="43"/>
        <v>0</v>
      </c>
      <c r="L152" s="284">
        <f t="shared" si="43"/>
        <v>0</v>
      </c>
    </row>
    <row r="153" spans="3:12" x14ac:dyDescent="0.3">
      <c r="C153" s="696" t="s">
        <v>666</v>
      </c>
      <c r="D153" s="697">
        <v>106</v>
      </c>
      <c r="E153" s="700"/>
      <c r="F153" s="700"/>
      <c r="G153" s="700"/>
      <c r="H153" s="700"/>
      <c r="I153" s="700"/>
      <c r="J153" s="700"/>
      <c r="K153" s="700"/>
      <c r="L153" s="700"/>
    </row>
    <row r="154" spans="3:12" x14ac:dyDescent="0.3">
      <c r="C154" s="183" t="s">
        <v>321</v>
      </c>
      <c r="D154" s="253" t="s">
        <v>293</v>
      </c>
      <c r="E154" s="284"/>
      <c r="F154" s="284"/>
      <c r="G154" s="284"/>
      <c r="H154" s="284"/>
      <c r="I154" s="284"/>
      <c r="J154" s="284"/>
      <c r="K154" s="284"/>
      <c r="L154" s="284"/>
    </row>
    <row r="155" spans="3:12" x14ac:dyDescent="0.3">
      <c r="C155" s="191" t="s">
        <v>650</v>
      </c>
      <c r="D155" s="253" t="s">
        <v>75</v>
      </c>
      <c r="E155" s="284">
        <f t="shared" ref="E155:L155" si="44">IF($D$131=2,E184,IF($D$131=3,E213,0))</f>
        <v>0</v>
      </c>
      <c r="F155" s="284">
        <f t="shared" si="44"/>
        <v>0</v>
      </c>
      <c r="G155" s="284">
        <f t="shared" si="44"/>
        <v>0</v>
      </c>
      <c r="H155" s="284">
        <f t="shared" si="44"/>
        <v>0</v>
      </c>
      <c r="I155" s="284">
        <f t="shared" si="44"/>
        <v>0</v>
      </c>
      <c r="J155" s="284">
        <f t="shared" si="44"/>
        <v>0</v>
      </c>
      <c r="K155" s="284">
        <f t="shared" si="44"/>
        <v>0</v>
      </c>
      <c r="L155" s="284">
        <f t="shared" si="44"/>
        <v>0</v>
      </c>
    </row>
    <row r="156" spans="3:12" x14ac:dyDescent="0.3">
      <c r="C156" s="279" t="s">
        <v>323</v>
      </c>
      <c r="D156" s="253" t="s">
        <v>75</v>
      </c>
      <c r="E156" s="284">
        <f t="shared" ref="E156:L156" si="45">IF($D$131=2,E185,IF($D$131=3,E214,0))</f>
        <v>0</v>
      </c>
      <c r="F156" s="284">
        <f t="shared" si="45"/>
        <v>0</v>
      </c>
      <c r="G156" s="284">
        <f t="shared" si="45"/>
        <v>0</v>
      </c>
      <c r="H156" s="284">
        <f t="shared" si="45"/>
        <v>0</v>
      </c>
      <c r="I156" s="284">
        <f t="shared" si="45"/>
        <v>0</v>
      </c>
      <c r="J156" s="284">
        <f t="shared" si="45"/>
        <v>0</v>
      </c>
      <c r="K156" s="284">
        <f t="shared" si="45"/>
        <v>0</v>
      </c>
      <c r="L156" s="284">
        <f t="shared" si="45"/>
        <v>0</v>
      </c>
    </row>
    <row r="157" spans="3:12" x14ac:dyDescent="0.3">
      <c r="C157" s="279" t="s">
        <v>324</v>
      </c>
      <c r="D157" s="253" t="s">
        <v>75</v>
      </c>
      <c r="E157" s="284">
        <f t="shared" ref="E157:L157" si="46">IF($D$131=2,E186,IF($D$131=3,E215,0))</f>
        <v>0</v>
      </c>
      <c r="F157" s="284">
        <f t="shared" si="46"/>
        <v>0</v>
      </c>
      <c r="G157" s="284">
        <f t="shared" si="46"/>
        <v>0</v>
      </c>
      <c r="H157" s="284">
        <f t="shared" si="46"/>
        <v>0</v>
      </c>
      <c r="I157" s="284">
        <f t="shared" si="46"/>
        <v>0</v>
      </c>
      <c r="J157" s="284">
        <f t="shared" si="46"/>
        <v>0</v>
      </c>
      <c r="K157" s="284">
        <f t="shared" si="46"/>
        <v>0</v>
      </c>
      <c r="L157" s="284">
        <f t="shared" si="46"/>
        <v>0</v>
      </c>
    </row>
    <row r="158" spans="3:12" x14ac:dyDescent="0.3">
      <c r="C158" s="280" t="s">
        <v>325</v>
      </c>
      <c r="D158" s="253" t="s">
        <v>75</v>
      </c>
      <c r="E158" s="284">
        <f t="shared" ref="E158:L158" si="47">IF($D$131=2,E187,IF($D$131=3,E216,0))</f>
        <v>0</v>
      </c>
      <c r="F158" s="284">
        <f t="shared" si="47"/>
        <v>0</v>
      </c>
      <c r="G158" s="284">
        <f t="shared" si="47"/>
        <v>0</v>
      </c>
      <c r="H158" s="284">
        <f t="shared" si="47"/>
        <v>0</v>
      </c>
      <c r="I158" s="284">
        <f t="shared" si="47"/>
        <v>0</v>
      </c>
      <c r="J158" s="284">
        <f t="shared" si="47"/>
        <v>0</v>
      </c>
      <c r="K158" s="284">
        <f t="shared" si="47"/>
        <v>0</v>
      </c>
      <c r="L158" s="284">
        <f t="shared" si="47"/>
        <v>0</v>
      </c>
    </row>
    <row r="159" spans="3:12" x14ac:dyDescent="0.3">
      <c r="C159" s="280" t="s">
        <v>541</v>
      </c>
      <c r="D159" s="253" t="s">
        <v>75</v>
      </c>
      <c r="E159" s="284">
        <f t="shared" ref="E159:L159" si="48">IF($D$131=2,E188,IF($D$131=3,E217,0))</f>
        <v>0</v>
      </c>
      <c r="F159" s="284">
        <f t="shared" si="48"/>
        <v>0</v>
      </c>
      <c r="G159" s="284">
        <f t="shared" si="48"/>
        <v>0</v>
      </c>
      <c r="H159" s="284">
        <f t="shared" si="48"/>
        <v>0</v>
      </c>
      <c r="I159" s="284">
        <f t="shared" si="48"/>
        <v>0</v>
      </c>
      <c r="J159" s="284">
        <f t="shared" si="48"/>
        <v>0</v>
      </c>
      <c r="K159" s="284">
        <f t="shared" si="48"/>
        <v>0</v>
      </c>
      <c r="L159" s="284">
        <f t="shared" si="48"/>
        <v>0</v>
      </c>
    </row>
    <row r="160" spans="3:12" x14ac:dyDescent="0.3">
      <c r="C160" s="301" t="s">
        <v>326</v>
      </c>
      <c r="D160" s="253" t="s">
        <v>306</v>
      </c>
      <c r="E160" s="284">
        <f t="shared" ref="E160:L160" si="49">IF($D$131=2,E189,IF($D$131=3,E218,0))</f>
        <v>0</v>
      </c>
      <c r="F160" s="284">
        <f t="shared" si="49"/>
        <v>0</v>
      </c>
      <c r="G160" s="284">
        <f t="shared" si="49"/>
        <v>0</v>
      </c>
      <c r="H160" s="284">
        <f t="shared" si="49"/>
        <v>0</v>
      </c>
      <c r="I160" s="284">
        <f t="shared" si="49"/>
        <v>0</v>
      </c>
      <c r="J160" s="284">
        <f t="shared" si="49"/>
        <v>0</v>
      </c>
      <c r="K160" s="284">
        <f t="shared" si="49"/>
        <v>0</v>
      </c>
      <c r="L160" s="284">
        <f t="shared" si="49"/>
        <v>0</v>
      </c>
    </row>
    <row r="161" spans="2:12" x14ac:dyDescent="0.3">
      <c r="C161" s="301" t="s">
        <v>387</v>
      </c>
      <c r="D161" s="253" t="s">
        <v>388</v>
      </c>
      <c r="E161" s="284">
        <f t="shared" ref="E161:L161" si="50">IF($D$131=2,E190,IF($D$131=3,E219,0))</f>
        <v>0</v>
      </c>
      <c r="F161" s="284">
        <f t="shared" si="50"/>
        <v>0</v>
      </c>
      <c r="G161" s="284">
        <f t="shared" si="50"/>
        <v>0</v>
      </c>
      <c r="H161" s="284">
        <f t="shared" si="50"/>
        <v>0</v>
      </c>
      <c r="I161" s="284">
        <f t="shared" si="50"/>
        <v>0</v>
      </c>
      <c r="J161" s="284">
        <f t="shared" si="50"/>
        <v>0</v>
      </c>
      <c r="K161" s="284">
        <f t="shared" si="50"/>
        <v>0</v>
      </c>
      <c r="L161" s="284">
        <f t="shared" si="50"/>
        <v>0</v>
      </c>
    </row>
    <row r="162" spans="2:12" x14ac:dyDescent="0.3">
      <c r="H162" s="113"/>
    </row>
    <row r="163" spans="2:12" ht="11.25" customHeight="1" x14ac:dyDescent="0.3">
      <c r="B163" s="106"/>
      <c r="C163" s="283" t="s">
        <v>620</v>
      </c>
      <c r="D163" s="119"/>
      <c r="E163" s="195"/>
      <c r="F163" s="106"/>
      <c r="G163" s="112"/>
    </row>
    <row r="164" spans="2:12" x14ac:dyDescent="0.3">
      <c r="C164" s="282" t="s">
        <v>259</v>
      </c>
      <c r="D164" s="253" t="s">
        <v>318</v>
      </c>
      <c r="E164" s="183">
        <v>2015</v>
      </c>
      <c r="F164" s="183">
        <v>2020</v>
      </c>
      <c r="G164" s="183">
        <v>2025</v>
      </c>
      <c r="H164" s="183">
        <v>2030</v>
      </c>
      <c r="I164" s="183">
        <v>2035</v>
      </c>
      <c r="J164" s="183">
        <v>2040</v>
      </c>
      <c r="K164" s="183">
        <v>2045</v>
      </c>
      <c r="L164" s="183">
        <v>2050</v>
      </c>
    </row>
    <row r="165" spans="2:12" x14ac:dyDescent="0.3">
      <c r="C165" s="191" t="s">
        <v>231</v>
      </c>
      <c r="D165" s="183">
        <v>1</v>
      </c>
      <c r="E165" s="284">
        <f>VLOOKUP($D165,Transport!$C$186:$K$201,Transport!D$185)</f>
        <v>0</v>
      </c>
      <c r="F165" s="284">
        <f>VLOOKUP($D165,Transport!$C$186:$K$201,Transport!E$185)</f>
        <v>0</v>
      </c>
      <c r="G165" s="284">
        <f>VLOOKUP($D165,Transport!$C$186:$K$201,Transport!F$185)</f>
        <v>0</v>
      </c>
      <c r="H165" s="284">
        <f>VLOOKUP($D165,Transport!$C$186:$K$201,Transport!G$185)</f>
        <v>0</v>
      </c>
      <c r="I165" s="284">
        <f>VLOOKUP($D165,Transport!$C$186:$K$201,Transport!H$185)</f>
        <v>0</v>
      </c>
      <c r="J165" s="284">
        <f>VLOOKUP($D165,Transport!$C$186:$K$201,Transport!I$185)</f>
        <v>0</v>
      </c>
      <c r="K165" s="284">
        <f>VLOOKUP($D165,Transport!$C$186:$K$201,Transport!J$185)</f>
        <v>0</v>
      </c>
      <c r="L165" s="284">
        <f>VLOOKUP($D165,Transport!$C$186:$K$201,Transport!K$185)</f>
        <v>0</v>
      </c>
    </row>
    <row r="166" spans="2:12" x14ac:dyDescent="0.3">
      <c r="C166" s="191" t="s">
        <v>209</v>
      </c>
      <c r="D166" s="183">
        <v>2</v>
      </c>
      <c r="E166" s="284">
        <f>VLOOKUP($D166,Transport!$C$186:$K$201,Transport!D$185)</f>
        <v>0</v>
      </c>
      <c r="F166" s="284">
        <f>VLOOKUP($D166,Transport!$C$186:$K$201,Transport!E$185)</f>
        <v>0</v>
      </c>
      <c r="G166" s="284">
        <f>VLOOKUP($D166,Transport!$C$186:$K$201,Transport!F$185)</f>
        <v>0</v>
      </c>
      <c r="H166" s="284">
        <f>VLOOKUP($D166,Transport!$C$186:$K$201,Transport!G$185)</f>
        <v>0</v>
      </c>
      <c r="I166" s="284">
        <f>VLOOKUP($D166,Transport!$C$186:$K$201,Transport!H$185)</f>
        <v>0</v>
      </c>
      <c r="J166" s="284">
        <f>VLOOKUP($D166,Transport!$C$186:$K$201,Transport!I$185)</f>
        <v>0</v>
      </c>
      <c r="K166" s="284">
        <f>VLOOKUP($D166,Transport!$C$186:$K$201,Transport!J$185)</f>
        <v>0</v>
      </c>
      <c r="L166" s="284">
        <f>VLOOKUP($D166,Transport!$C$186:$K$201,Transport!K$185)</f>
        <v>0</v>
      </c>
    </row>
    <row r="167" spans="2:12" x14ac:dyDescent="0.3">
      <c r="C167" s="191" t="s">
        <v>417</v>
      </c>
      <c r="D167" s="183">
        <v>4</v>
      </c>
      <c r="E167" s="284">
        <f>VLOOKUP($D167,Transport!$C$186:$K$201,Transport!D$185)</f>
        <v>0</v>
      </c>
      <c r="F167" s="284">
        <f>VLOOKUP($D167,Transport!$C$186:$K$201,Transport!E$185)</f>
        <v>0</v>
      </c>
      <c r="G167" s="284">
        <f>VLOOKUP($D167,Transport!$C$186:$K$201,Transport!F$185)</f>
        <v>0</v>
      </c>
      <c r="H167" s="284">
        <f>VLOOKUP($D167,Transport!$C$186:$K$201,Transport!G$185)</f>
        <v>0</v>
      </c>
      <c r="I167" s="284">
        <f>VLOOKUP($D167,Transport!$C$186:$K$201,Transport!H$185)</f>
        <v>0</v>
      </c>
      <c r="J167" s="284">
        <f>VLOOKUP($D167,Transport!$C$186:$K$201,Transport!I$185)</f>
        <v>0</v>
      </c>
      <c r="K167" s="284">
        <f>VLOOKUP($D167,Transport!$C$186:$K$201,Transport!J$185)</f>
        <v>0</v>
      </c>
      <c r="L167" s="284">
        <f>VLOOKUP($D167,Transport!$C$186:$K$201,Transport!K$185)</f>
        <v>0</v>
      </c>
    </row>
    <row r="168" spans="2:12" x14ac:dyDescent="0.3">
      <c r="C168" s="191" t="s">
        <v>124</v>
      </c>
      <c r="D168" s="183">
        <v>10</v>
      </c>
      <c r="E168" s="284">
        <f>VLOOKUP($D168,Transport!$C$186:$K$201,Transport!D$185)</f>
        <v>0</v>
      </c>
      <c r="F168" s="284">
        <f>VLOOKUP($D168,Transport!$C$186:$K$201,Transport!E$185)</f>
        <v>0</v>
      </c>
      <c r="G168" s="284">
        <f>VLOOKUP($D168,Transport!$C$186:$K$201,Transport!F$185)</f>
        <v>0</v>
      </c>
      <c r="H168" s="284">
        <f>VLOOKUP($D168,Transport!$C$186:$K$201,Transport!G$185)</f>
        <v>0</v>
      </c>
      <c r="I168" s="284">
        <f>VLOOKUP($D168,Transport!$C$186:$K$201,Transport!H$185)</f>
        <v>0</v>
      </c>
      <c r="J168" s="284">
        <f>VLOOKUP($D168,Transport!$C$186:$K$201,Transport!I$185)</f>
        <v>0</v>
      </c>
      <c r="K168" s="284">
        <f>VLOOKUP($D168,Transport!$C$186:$K$201,Transport!J$185)</f>
        <v>0</v>
      </c>
      <c r="L168" s="284">
        <f>VLOOKUP($D168,Transport!$C$186:$K$201,Transport!K$185)</f>
        <v>0</v>
      </c>
    </row>
    <row r="169" spans="2:12" x14ac:dyDescent="0.3">
      <c r="C169" s="191" t="s">
        <v>133</v>
      </c>
      <c r="D169" s="183">
        <v>23</v>
      </c>
      <c r="E169" s="284">
        <f>VLOOKUP($D169,Transport!$C$186:$K$201,Transport!D$185)</f>
        <v>0</v>
      </c>
      <c r="F169" s="284">
        <f>VLOOKUP($D169,Transport!$C$186:$K$201,Transport!E$185)</f>
        <v>0</v>
      </c>
      <c r="G169" s="284">
        <f>VLOOKUP($D169,Transport!$C$186:$K$201,Transport!F$185)</f>
        <v>0</v>
      </c>
      <c r="H169" s="284">
        <f>VLOOKUP($D169,Transport!$C$186:$K$201,Transport!G$185)</f>
        <v>0</v>
      </c>
      <c r="I169" s="284">
        <f>VLOOKUP($D169,Transport!$C$186:$K$201,Transport!H$185)</f>
        <v>0</v>
      </c>
      <c r="J169" s="284">
        <f>VLOOKUP($D169,Transport!$C$186:$K$201,Transport!I$185)</f>
        <v>0</v>
      </c>
      <c r="K169" s="284">
        <f>VLOOKUP($D169,Transport!$C$186:$K$201,Transport!J$185)</f>
        <v>0</v>
      </c>
      <c r="L169" s="284">
        <f>VLOOKUP($D169,Transport!$C$186:$K$201,Transport!K$185)</f>
        <v>0</v>
      </c>
    </row>
    <row r="170" spans="2:12" x14ac:dyDescent="0.3">
      <c r="C170" s="191" t="s">
        <v>285</v>
      </c>
      <c r="D170" s="183">
        <v>24</v>
      </c>
      <c r="E170" s="284">
        <f>VLOOKUP($D170,Transport!$C$186:$K$201,Transport!D$185)</f>
        <v>0</v>
      </c>
      <c r="F170" s="284">
        <f>VLOOKUP($D170,Transport!$C$186:$K$201,Transport!E$185)</f>
        <v>-0.60266220907056312</v>
      </c>
      <c r="G170" s="284">
        <f>VLOOKUP($D170,Transport!$C$186:$K$201,Transport!F$185)</f>
        <v>1.2879801536822129</v>
      </c>
      <c r="H170" s="284">
        <f>VLOOKUP($D170,Transport!$C$186:$K$201,Transport!G$185)</f>
        <v>3.1786225164349879</v>
      </c>
      <c r="I170" s="284">
        <f>VLOOKUP($D170,Transport!$C$186:$K$201,Transport!H$185)</f>
        <v>-5.2918296625326278</v>
      </c>
      <c r="J170" s="284">
        <f>VLOOKUP($D170,Transport!$C$186:$K$201,Transport!I$185)</f>
        <v>-13.762281841500243</v>
      </c>
      <c r="K170" s="284">
        <f>VLOOKUP($D170,Transport!$C$186:$K$201,Transport!J$185)</f>
        <v>-17.99750793098405</v>
      </c>
      <c r="L170" s="284">
        <f>VLOOKUP($D170,Transport!$C$186:$K$201,Transport!K$185)</f>
        <v>-30.703186199435478</v>
      </c>
    </row>
    <row r="171" spans="2:12" x14ac:dyDescent="0.3">
      <c r="C171" s="191" t="s">
        <v>315</v>
      </c>
      <c r="D171" s="183">
        <v>26</v>
      </c>
      <c r="E171" s="284">
        <f>VLOOKUP($D171,Transport!$C$186:$K$201,Transport!D$185)</f>
        <v>0</v>
      </c>
      <c r="F171" s="284">
        <f>VLOOKUP($D171,Transport!$C$186:$K$201,Transport!E$185)</f>
        <v>0</v>
      </c>
      <c r="G171" s="284">
        <f>VLOOKUP($D171,Transport!$C$186:$K$201,Transport!F$185)</f>
        <v>0</v>
      </c>
      <c r="H171" s="284">
        <f>VLOOKUP($D171,Transport!$C$186:$K$201,Transport!G$185)</f>
        <v>0</v>
      </c>
      <c r="I171" s="284">
        <f>VLOOKUP($D171,Transport!$C$186:$K$201,Transport!H$185)</f>
        <v>0</v>
      </c>
      <c r="J171" s="284">
        <f>VLOOKUP($D171,Transport!$C$186:$K$201,Transport!I$185)</f>
        <v>0</v>
      </c>
      <c r="K171" s="284">
        <f>VLOOKUP($D171,Transport!$C$186:$K$201,Transport!J$185)</f>
        <v>0</v>
      </c>
      <c r="L171" s="284">
        <f>VLOOKUP($D171,Transport!$C$186:$K$201,Transport!K$185)</f>
        <v>0</v>
      </c>
    </row>
    <row r="172" spans="2:12" x14ac:dyDescent="0.3">
      <c r="C172" s="191" t="s">
        <v>38</v>
      </c>
      <c r="D172" s="183">
        <v>29</v>
      </c>
      <c r="E172" s="284">
        <f>VLOOKUP($D172,Transport!$C$186:$K$201,Transport!D$185)</f>
        <v>0</v>
      </c>
      <c r="F172" s="284">
        <f>VLOOKUP($D172,Transport!$C$186:$K$201,Transport!E$185)</f>
        <v>-4.0195566117076851</v>
      </c>
      <c r="G172" s="284">
        <f>VLOOKUP($D172,Transport!$C$186:$K$201,Transport!F$185)</f>
        <v>-16.990619099630145</v>
      </c>
      <c r="H172" s="284">
        <f>VLOOKUP($D172,Transport!$C$186:$K$201,Transport!G$185)</f>
        <v>-23.846498760386034</v>
      </c>
      <c r="I172" s="284">
        <f>VLOOKUP($D172,Transport!$C$186:$K$201,Transport!H$185)</f>
        <v>-25.270062007742055</v>
      </c>
      <c r="J172" s="284">
        <f>VLOOKUP($D172,Transport!$C$186:$K$201,Transport!I$185)</f>
        <v>-26.719952058692556</v>
      </c>
      <c r="K172" s="284">
        <f>VLOOKUP($D172,Transport!$C$186:$K$201,Transport!J$185)</f>
        <v>-28.194275176247558</v>
      </c>
      <c r="L172" s="284">
        <f>VLOOKUP($D172,Transport!$C$186:$K$201,Transport!K$185)</f>
        <v>-29.691314997269458</v>
      </c>
    </row>
    <row r="173" spans="2:12" x14ac:dyDescent="0.3">
      <c r="C173" s="191" t="s">
        <v>136</v>
      </c>
      <c r="D173" s="183">
        <v>30</v>
      </c>
      <c r="E173" s="284">
        <f>VLOOKUP($D173,Transport!$C$186:$K$201,Transport!D$185)</f>
        <v>-8.9056800000003031E-2</v>
      </c>
      <c r="F173" s="284">
        <f>VLOOKUP($D173,Transport!$C$186:$K$201,Transport!E$185)</f>
        <v>-1.3748022817435954</v>
      </c>
      <c r="G173" s="284">
        <f>VLOOKUP($D173,Transport!$C$186:$K$201,Transport!F$185)</f>
        <v>-1.6424863657436028</v>
      </c>
      <c r="H173" s="284">
        <f>VLOOKUP($D173,Transport!$C$186:$K$201,Transport!G$185)</f>
        <v>-2.0541351097436014</v>
      </c>
      <c r="I173" s="284">
        <f>VLOOKUP($D173,Transport!$C$186:$K$201,Transport!H$185)</f>
        <v>-2.1893909497435953</v>
      </c>
      <c r="J173" s="284">
        <f>VLOOKUP($D173,Transport!$C$186:$K$201,Transport!I$185)</f>
        <v>-2.4712841897436255</v>
      </c>
      <c r="K173" s="284">
        <f>VLOOKUP($D173,Transport!$C$186:$K$201,Transport!J$185)</f>
        <v>-2.7563123197435853</v>
      </c>
      <c r="L173" s="284">
        <f>VLOOKUP($D173,Transport!$C$186:$K$201,Transport!K$185)</f>
        <v>-3.0308224997436066</v>
      </c>
    </row>
    <row r="174" spans="2:12" x14ac:dyDescent="0.3">
      <c r="C174" s="191" t="s">
        <v>360</v>
      </c>
      <c r="D174" s="183">
        <v>31</v>
      </c>
      <c r="E174" s="284">
        <f>VLOOKUP($D174,Transport!$C$186:$K$201,Transport!D$185)</f>
        <v>0</v>
      </c>
      <c r="F174" s="284">
        <f>VLOOKUP($D174,Transport!$C$186:$K$201,Transport!E$185)</f>
        <v>-2.2387561020445119</v>
      </c>
      <c r="G174" s="284">
        <f>VLOOKUP($D174,Transport!$C$186:$K$201,Transport!F$185)</f>
        <v>-2.6449688639646354</v>
      </c>
      <c r="H174" s="284">
        <f>VLOOKUP($D174,Transport!$C$186:$K$201,Transport!G$185)</f>
        <v>-3.0511816258847517</v>
      </c>
      <c r="I174" s="284">
        <f>VLOOKUP($D174,Transport!$C$186:$K$201,Transport!H$185)</f>
        <v>-2.8820293905798806</v>
      </c>
      <c r="J174" s="284">
        <f>VLOOKUP($D174,Transport!$C$186:$K$201,Transport!I$185)</f>
        <v>-2.7128771552750024</v>
      </c>
      <c r="K174" s="284">
        <f>VLOOKUP($D174,Transport!$C$186:$K$201,Transport!J$185)</f>
        <v>-2.6283010376225704</v>
      </c>
      <c r="L174" s="284">
        <f>VLOOKUP($D174,Transport!$C$186:$K$201,Transport!K$185)</f>
        <v>-2.3745726846652566</v>
      </c>
    </row>
    <row r="175" spans="2:12" x14ac:dyDescent="0.3">
      <c r="C175" s="191" t="s">
        <v>361</v>
      </c>
      <c r="D175" s="183">
        <v>32</v>
      </c>
      <c r="E175" s="284">
        <f>VLOOKUP($D175,Transport!$C$186:$K$201,Transport!D$185)</f>
        <v>0</v>
      </c>
      <c r="F175" s="284">
        <f>VLOOKUP($D175,Transport!$C$186:$K$201,Transport!E$185)</f>
        <v>-5.8207658653157308</v>
      </c>
      <c r="G175" s="284">
        <f>VLOOKUP($D175,Transport!$C$186:$K$201,Transport!F$185)</f>
        <v>-6.8769190463080525</v>
      </c>
      <c r="H175" s="284">
        <f>VLOOKUP($D175,Transport!$C$186:$K$201,Transport!G$185)</f>
        <v>-7.9330722273003547</v>
      </c>
      <c r="I175" s="284">
        <f>VLOOKUP($D175,Transport!$C$186:$K$201,Transport!H$185)</f>
        <v>-7.4932764155076894</v>
      </c>
      <c r="J175" s="284">
        <f>VLOOKUP($D175,Transport!$C$186:$K$201,Transport!I$185)</f>
        <v>-7.0534806037150064</v>
      </c>
      <c r="K175" s="284">
        <f>VLOOKUP($D175,Transport!$C$186:$K$201,Transport!J$185)</f>
        <v>-6.8335826978186835</v>
      </c>
      <c r="L175" s="284">
        <f>VLOOKUP($D175,Transport!$C$186:$K$201,Transport!K$185)</f>
        <v>-6.173888980129667</v>
      </c>
    </row>
    <row r="176" spans="2:12" x14ac:dyDescent="0.3">
      <c r="C176" s="191" t="s">
        <v>362</v>
      </c>
      <c r="D176" s="183">
        <v>33</v>
      </c>
      <c r="E176" s="284">
        <f>VLOOKUP($D176,Transport!$C$186:$K$201,Transport!D$185)</f>
        <v>0</v>
      </c>
      <c r="F176" s="284">
        <f>VLOOKUP($D176,Transport!$C$186:$K$201,Transport!E$185)</f>
        <v>-0.89550244081780483</v>
      </c>
      <c r="G176" s="284">
        <f>VLOOKUP($D176,Transport!$C$186:$K$201,Transport!F$185)</f>
        <v>-1.0579875455858543</v>
      </c>
      <c r="H176" s="284">
        <f>VLOOKUP($D176,Transport!$C$186:$K$201,Transport!G$185)</f>
        <v>-1.2204726503539007</v>
      </c>
      <c r="I176" s="284">
        <f>VLOOKUP($D176,Transport!$C$186:$K$201,Transport!H$185)</f>
        <v>-1.1528117562319522</v>
      </c>
      <c r="J176" s="284">
        <f>VLOOKUP($D176,Transport!$C$186:$K$201,Transport!I$185)</f>
        <v>-1.085150862110001</v>
      </c>
      <c r="K176" s="284">
        <f>VLOOKUP($D176,Transport!$C$186:$K$201,Transport!J$185)</f>
        <v>-1.0513204150490283</v>
      </c>
      <c r="L176" s="284">
        <f>VLOOKUP($D176,Transport!$C$186:$K$201,Transport!K$185)</f>
        <v>-0.94982907386610271</v>
      </c>
    </row>
    <row r="177" spans="2:12" x14ac:dyDescent="0.3">
      <c r="C177" s="191" t="s">
        <v>363</v>
      </c>
      <c r="D177" s="183">
        <v>55</v>
      </c>
      <c r="E177" s="284">
        <f>VLOOKUP($D177,Transport!$C$186:$K$201,Transport!D$185)</f>
        <v>0</v>
      </c>
      <c r="F177" s="284">
        <f>VLOOKUP($D177,Transport!$C$186:$K$201,Transport!E$185)</f>
        <v>0</v>
      </c>
      <c r="G177" s="284">
        <f>VLOOKUP($D177,Transport!$C$186:$K$201,Transport!F$185)</f>
        <v>0</v>
      </c>
      <c r="H177" s="284">
        <f>VLOOKUP($D177,Transport!$C$186:$K$201,Transport!G$185)</f>
        <v>0</v>
      </c>
      <c r="I177" s="284">
        <f>VLOOKUP($D177,Transport!$C$186:$K$201,Transport!H$185)</f>
        <v>0</v>
      </c>
      <c r="J177" s="284">
        <f>VLOOKUP($D177,Transport!$C$186:$K$201,Transport!I$185)</f>
        <v>0</v>
      </c>
      <c r="K177" s="284">
        <f>VLOOKUP($D177,Transport!$C$186:$K$201,Transport!J$185)</f>
        <v>0</v>
      </c>
      <c r="L177" s="284">
        <f>VLOOKUP($D177,Transport!$C$186:$K$201,Transport!K$185)</f>
        <v>0</v>
      </c>
    </row>
    <row r="178" spans="2:12" x14ac:dyDescent="0.3">
      <c r="C178" s="259" t="s">
        <v>204</v>
      </c>
      <c r="D178" s="251">
        <v>101</v>
      </c>
      <c r="E178" s="284">
        <f>VLOOKUP($D178,Transport!$C$186:$K$201,Transport!D$185)</f>
        <v>0</v>
      </c>
      <c r="F178" s="284">
        <f>VLOOKUP($D178,Transport!$C$186:$K$201,Transport!E$185)</f>
        <v>0</v>
      </c>
      <c r="G178" s="284">
        <f>VLOOKUP($D178,Transport!$C$186:$K$201,Transport!F$185)</f>
        <v>0</v>
      </c>
      <c r="H178" s="284">
        <f>VLOOKUP($D178,Transport!$C$186:$K$201,Transport!G$185)</f>
        <v>0</v>
      </c>
      <c r="I178" s="284">
        <f>VLOOKUP($D178,Transport!$C$186:$K$201,Transport!H$185)</f>
        <v>0</v>
      </c>
      <c r="J178" s="284">
        <f>VLOOKUP($D178,Transport!$C$186:$K$201,Transport!I$185)</f>
        <v>0</v>
      </c>
      <c r="K178" s="284">
        <f>VLOOKUP($D178,Transport!$C$186:$K$201,Transport!J$185)</f>
        <v>0</v>
      </c>
      <c r="L178" s="284">
        <f>VLOOKUP($D178,Transport!$C$186:$K$201,Transport!K$185)</f>
        <v>0</v>
      </c>
    </row>
    <row r="179" spans="2:12" x14ac:dyDescent="0.3">
      <c r="C179" s="259" t="s">
        <v>364</v>
      </c>
      <c r="D179" s="251">
        <v>102</v>
      </c>
      <c r="E179" s="284">
        <f>VLOOKUP($D179,Transport!$C$186:$K$201,Transport!D$185)</f>
        <v>0</v>
      </c>
      <c r="F179" s="284">
        <f>VLOOKUP($D179,Transport!$C$186:$K$201,Transport!E$185)</f>
        <v>-3.9710236771377652</v>
      </c>
      <c r="G179" s="284">
        <f>VLOOKUP($D179,Transport!$C$186:$K$201,Transport!F$185)</f>
        <v>10.763454372664327</v>
      </c>
      <c r="H179" s="284">
        <f>VLOOKUP($D179,Transport!$C$186:$K$201,Transport!G$185)</f>
        <v>10.73234509669966</v>
      </c>
      <c r="I179" s="284">
        <f>VLOOKUP($D179,Transport!$C$186:$K$201,Transport!H$185)</f>
        <v>10.584781422180185</v>
      </c>
      <c r="J179" s="284">
        <f>VLOOKUP($D179,Transport!$C$186:$K$201,Transport!I$185)</f>
        <v>10.522563294601838</v>
      </c>
      <c r="K179" s="284">
        <f>VLOOKUP($D179,Transport!$C$186:$K$201,Transport!J$185)</f>
        <v>10.5387618160579</v>
      </c>
      <c r="L179" s="284">
        <f>VLOOKUP($D179,Transport!$C$186:$K$201,Transport!K$185)</f>
        <v>10.629603882580156</v>
      </c>
    </row>
    <row r="180" spans="2:12" x14ac:dyDescent="0.3">
      <c r="C180" s="259" t="s">
        <v>457</v>
      </c>
      <c r="D180" s="251">
        <v>103</v>
      </c>
      <c r="E180" s="284">
        <f>VLOOKUP($D180,Transport!$C$186:$K$201,Transport!D$185)</f>
        <v>0.13358520000000454</v>
      </c>
      <c r="F180" s="284">
        <f>VLOOKUP($D180,Transport!$C$186:$K$201,Transport!E$185)</f>
        <v>132.39613359225177</v>
      </c>
      <c r="G180" s="284">
        <f>VLOOKUP($D180,Transport!$C$186:$K$201,Transport!F$185)</f>
        <v>203.90885208747503</v>
      </c>
      <c r="H180" s="284">
        <f>VLOOKUP($D180,Transport!$C$186:$K$201,Transport!G$185)</f>
        <v>276.31727798936492</v>
      </c>
      <c r="I180" s="284">
        <f>VLOOKUP($D180,Transport!$C$186:$K$201,Transport!H$185)</f>
        <v>277.00560815138334</v>
      </c>
      <c r="J180" s="284">
        <f>VLOOKUP($D180,Transport!$C$186:$K$201,Transport!I$185)</f>
        <v>278.59458191340161</v>
      </c>
      <c r="K180" s="284">
        <f>VLOOKUP($D180,Transport!$C$186:$K$201,Transport!J$185)</f>
        <v>279.62183168441084</v>
      </c>
      <c r="L180" s="284">
        <f>VLOOKUP($D180,Transport!$C$186:$K$201,Transport!K$185)</f>
        <v>281.85467280743848</v>
      </c>
    </row>
    <row r="181" spans="2:12" x14ac:dyDescent="0.3">
      <c r="C181" s="260" t="s">
        <v>110</v>
      </c>
      <c r="D181" s="252">
        <v>104</v>
      </c>
      <c r="E181" s="284">
        <f>VLOOKUP($D181,Transport!$C$186:$K$201,Transport!D$185)</f>
        <v>0</v>
      </c>
      <c r="F181" s="284">
        <f>VLOOKUP($D181,Transport!$C$186:$K$201,Transport!E$185)</f>
        <v>28.807432248711905</v>
      </c>
      <c r="G181" s="284">
        <f>VLOOKUP($D181,Transport!$C$186:$K$201,Transport!F$185)</f>
        <v>45.050349950967217</v>
      </c>
      <c r="H181" s="284">
        <f>VLOOKUP($D181,Transport!$C$186:$K$201,Transport!G$185)</f>
        <v>51.697414882281066</v>
      </c>
      <c r="I181" s="284">
        <f>VLOOKUP($D181,Transport!$C$186:$K$201,Transport!H$185)</f>
        <v>72.795907339365414</v>
      </c>
      <c r="J181" s="284">
        <f>VLOOKUP($D181,Transport!$C$186:$K$201,Transport!I$185)</f>
        <v>94.910164100044085</v>
      </c>
      <c r="K181" s="284">
        <f>VLOOKUP($D181,Transport!$C$186:$K$201,Transport!J$185)</f>
        <v>114.87694213219874</v>
      </c>
      <c r="L181" s="284">
        <f>VLOOKUP($D181,Transport!$C$186:$K$201,Transport!K$185)</f>
        <v>142.48096979401481</v>
      </c>
    </row>
    <row r="182" spans="2:12" x14ac:dyDescent="0.3">
      <c r="C182" s="259" t="s">
        <v>53</v>
      </c>
      <c r="D182" s="251">
        <v>105</v>
      </c>
      <c r="E182" s="284">
        <f>VLOOKUP($D182,Transport!$C$186:$K$201,Transport!D$185)</f>
        <v>-18.41936740692762</v>
      </c>
      <c r="F182" s="284">
        <f>VLOOKUP($D182,Transport!$C$186:$K$201,Transport!E$185)</f>
        <v>98.835636010638581</v>
      </c>
      <c r="G182" s="284">
        <f>VLOOKUP($D182,Transport!$C$186:$K$201,Transport!F$185)</f>
        <v>112.55936458376402</v>
      </c>
      <c r="H182" s="284">
        <f>VLOOKUP($D182,Transport!$C$186:$K$201,Transport!G$185)</f>
        <v>127.32276522355559</v>
      </c>
      <c r="I182" s="284">
        <f>VLOOKUP($D182,Transport!$C$186:$K$201,Transport!H$185)</f>
        <v>110.02370098850176</v>
      </c>
      <c r="J182" s="284">
        <f>VLOOKUP($D182,Transport!$C$186:$K$201,Transport!I$185)</f>
        <v>92.782480253448114</v>
      </c>
      <c r="K182" s="284">
        <f>VLOOKUP($D182,Transport!$C$186:$K$201,Transport!J$185)</f>
        <v>76.384100223421228</v>
      </c>
      <c r="L182" s="284">
        <f>VLOOKUP($D182,Transport!$C$186:$K$201,Transport!K$185)</f>
        <v>55.107224647403172</v>
      </c>
    </row>
    <row r="183" spans="2:12" x14ac:dyDescent="0.3">
      <c r="C183" s="183" t="s">
        <v>321</v>
      </c>
      <c r="D183" s="253" t="s">
        <v>293</v>
      </c>
      <c r="E183" s="284"/>
      <c r="F183" s="284"/>
      <c r="G183" s="284"/>
      <c r="H183" s="284"/>
      <c r="I183" s="284"/>
      <c r="J183" s="284"/>
      <c r="K183" s="284"/>
      <c r="L183" s="284"/>
    </row>
    <row r="184" spans="2:12" x14ac:dyDescent="0.3">
      <c r="C184" s="191" t="s">
        <v>650</v>
      </c>
      <c r="D184" s="253" t="s">
        <v>75</v>
      </c>
      <c r="E184" s="284">
        <f>Transport!D203</f>
        <v>-2570.7648582056499</v>
      </c>
      <c r="F184" s="284">
        <f>Transport!E203</f>
        <v>-5158.3743484126317</v>
      </c>
      <c r="G184" s="284">
        <f>Transport!F203</f>
        <v>-6463.3106548946889</v>
      </c>
      <c r="H184" s="284">
        <f>Transport!G203</f>
        <v>-7768.2469613767389</v>
      </c>
      <c r="I184" s="284">
        <f>Transport!H203</f>
        <v>-7013.2366802792967</v>
      </c>
      <c r="J184" s="284">
        <f>Transport!I203</f>
        <v>-6258.2263991818618</v>
      </c>
      <c r="K184" s="284">
        <f>Transport!J203</f>
        <v>-5880.7212586331516</v>
      </c>
      <c r="L184" s="284">
        <f>Transport!K203</f>
        <v>-4748.2058369870138</v>
      </c>
    </row>
    <row r="185" spans="2:12" x14ac:dyDescent="0.3">
      <c r="C185" s="279" t="s">
        <v>323</v>
      </c>
      <c r="D185" s="253" t="s">
        <v>75</v>
      </c>
      <c r="E185" s="284">
        <f>Transport!D204</f>
        <v>-2458.9819359131066</v>
      </c>
      <c r="F185" s="284">
        <f>Transport!E204</f>
        <v>-4917.9638718262149</v>
      </c>
      <c r="G185" s="284">
        <f>Transport!F204</f>
        <v>-7366.6519327419792</v>
      </c>
      <c r="H185" s="284">
        <f>Transport!G204</f>
        <v>-9815.3399936577462</v>
      </c>
      <c r="I185" s="284">
        <f>Transport!H204</f>
        <v>-9380.1295454993815</v>
      </c>
      <c r="J185" s="284">
        <f>Transport!I204</f>
        <v>-8944.9190973410186</v>
      </c>
      <c r="K185" s="284">
        <f>Transport!J204</f>
        <v>-8727.3138732618354</v>
      </c>
      <c r="L185" s="284">
        <f>Transport!K204</f>
        <v>-8074.4982010242893</v>
      </c>
    </row>
    <row r="186" spans="2:12" x14ac:dyDescent="0.3">
      <c r="C186" s="279" t="s">
        <v>324</v>
      </c>
      <c r="D186" s="253" t="s">
        <v>75</v>
      </c>
      <c r="E186" s="284">
        <f>Transport!D205</f>
        <v>-111.78292229254168</v>
      </c>
      <c r="F186" s="284">
        <f>Transport!E205</f>
        <v>-223.56584458508337</v>
      </c>
      <c r="G186" s="284">
        <f>Transport!F205</f>
        <v>864.91449144174749</v>
      </c>
      <c r="H186" s="284">
        <f>Transport!G205</f>
        <v>1953.394827468579</v>
      </c>
      <c r="I186" s="284">
        <f>Transport!H205</f>
        <v>2227.0240779016153</v>
      </c>
      <c r="J186" s="284">
        <f>Transport!I205</f>
        <v>2500.6533283346516</v>
      </c>
      <c r="K186" s="284">
        <f>Transport!J205</f>
        <v>2637.46795355117</v>
      </c>
      <c r="L186" s="284">
        <f>Transport!K205</f>
        <v>3047.9118292007242</v>
      </c>
    </row>
    <row r="187" spans="2:12" x14ac:dyDescent="0.3">
      <c r="C187" s="280" t="s">
        <v>325</v>
      </c>
      <c r="D187" s="253" t="s">
        <v>75</v>
      </c>
      <c r="E187" s="284">
        <f>Transport!D206</f>
        <v>-111.78292229254168</v>
      </c>
      <c r="F187" s="284">
        <f>Transport!E206</f>
        <v>-223.56584458508337</v>
      </c>
      <c r="G187" s="284">
        <f>Transport!F206</f>
        <v>864.91449144174749</v>
      </c>
      <c r="H187" s="284">
        <f>Transport!G206</f>
        <v>1953.394827468579</v>
      </c>
      <c r="I187" s="284">
        <f>Transport!H206</f>
        <v>2227.0240779016153</v>
      </c>
      <c r="J187" s="284">
        <f>Transport!I206</f>
        <v>2500.6533283346516</v>
      </c>
      <c r="K187" s="284">
        <f>Transport!J206</f>
        <v>2637.46795355117</v>
      </c>
      <c r="L187" s="284">
        <f>Transport!K206</f>
        <v>3047.9118292007242</v>
      </c>
    </row>
    <row r="188" spans="2:12" x14ac:dyDescent="0.3">
      <c r="C188" s="280" t="s">
        <v>541</v>
      </c>
      <c r="D188" s="253" t="s">
        <v>75</v>
      </c>
      <c r="E188" s="284">
        <f>Transport!D207</f>
        <v>0</v>
      </c>
      <c r="F188" s="284">
        <f>Transport!E207</f>
        <v>0</v>
      </c>
      <c r="G188" s="284">
        <f>Transport!F207</f>
        <v>0</v>
      </c>
      <c r="H188" s="284">
        <f>Transport!G207</f>
        <v>0</v>
      </c>
      <c r="I188" s="284">
        <f>Transport!H207</f>
        <v>0</v>
      </c>
      <c r="J188" s="284">
        <f>Transport!I207</f>
        <v>0</v>
      </c>
      <c r="K188" s="284">
        <f>Transport!J207</f>
        <v>0</v>
      </c>
      <c r="L188" s="284">
        <f>Transport!K207</f>
        <v>0</v>
      </c>
    </row>
    <row r="189" spans="2:12" x14ac:dyDescent="0.3">
      <c r="C189" s="191" t="s">
        <v>326</v>
      </c>
      <c r="D189" s="253" t="s">
        <v>306</v>
      </c>
      <c r="E189" s="284">
        <f>Transport!D208</f>
        <v>0</v>
      </c>
      <c r="F189" s="284">
        <f>Transport!E208</f>
        <v>0</v>
      </c>
      <c r="G189" s="284">
        <f>Transport!F208</f>
        <v>0</v>
      </c>
      <c r="H189" s="284">
        <f>Transport!G208</f>
        <v>0</v>
      </c>
      <c r="I189" s="284">
        <f>Transport!H208</f>
        <v>0</v>
      </c>
      <c r="J189" s="284">
        <f>Transport!I208</f>
        <v>0</v>
      </c>
      <c r="K189" s="284">
        <f>Transport!J208</f>
        <v>0</v>
      </c>
      <c r="L189" s="284">
        <f>Transport!K208</f>
        <v>0</v>
      </c>
    </row>
    <row r="190" spans="2:12" x14ac:dyDescent="0.3">
      <c r="C190" s="301" t="s">
        <v>387</v>
      </c>
      <c r="D190" s="253" t="s">
        <v>388</v>
      </c>
      <c r="E190" s="284">
        <f>Transport!D209</f>
        <v>-179.28040643996698</v>
      </c>
      <c r="F190" s="284">
        <f>Transport!E209</f>
        <v>-358.56081287993493</v>
      </c>
      <c r="G190" s="284">
        <f>Transport!F209</f>
        <v>-489.29671773480345</v>
      </c>
      <c r="H190" s="284">
        <f>Transport!G209</f>
        <v>-727.94371066966983</v>
      </c>
      <c r="I190" s="284">
        <f>Transport!H209</f>
        <v>-695.5214066172764</v>
      </c>
      <c r="J190" s="284">
        <f>Transport!I209</f>
        <v>-663.09910256488342</v>
      </c>
      <c r="K190" s="284">
        <f>Transport!J209</f>
        <v>-705.25135461378977</v>
      </c>
      <c r="L190" s="284">
        <f>Transport!K209</f>
        <v>-598.25449446009702</v>
      </c>
    </row>
    <row r="191" spans="2:12" x14ac:dyDescent="0.3">
      <c r="H191" s="113"/>
    </row>
    <row r="192" spans="2:12" ht="11.25" customHeight="1" x14ac:dyDescent="0.3">
      <c r="B192" s="106"/>
      <c r="C192" s="283" t="s">
        <v>622</v>
      </c>
      <c r="D192" s="119"/>
      <c r="E192" s="195"/>
      <c r="F192" s="106"/>
      <c r="G192" s="112"/>
    </row>
    <row r="193" spans="3:12" x14ac:dyDescent="0.3">
      <c r="C193" s="282" t="s">
        <v>259</v>
      </c>
      <c r="D193" s="253" t="s">
        <v>318</v>
      </c>
      <c r="E193" s="183">
        <v>2015</v>
      </c>
      <c r="F193" s="183">
        <v>2020</v>
      </c>
      <c r="G193" s="183">
        <v>2025</v>
      </c>
      <c r="H193" s="183">
        <v>2030</v>
      </c>
      <c r="I193" s="183">
        <v>2035</v>
      </c>
      <c r="J193" s="183">
        <v>2040</v>
      </c>
      <c r="K193" s="183">
        <v>2045</v>
      </c>
      <c r="L193" s="183">
        <v>2050</v>
      </c>
    </row>
    <row r="194" spans="3:12" x14ac:dyDescent="0.3">
      <c r="C194" s="191" t="s">
        <v>231</v>
      </c>
      <c r="D194" s="183">
        <v>1</v>
      </c>
      <c r="E194" s="284">
        <f>VLOOKUP($D194,Transport!$C$213:$K$228,Transport!D$212)</f>
        <v>0</v>
      </c>
      <c r="F194" s="284">
        <f>VLOOKUP($D194,Transport!$C$213:$K$228,Transport!E$212)</f>
        <v>0</v>
      </c>
      <c r="G194" s="284">
        <f>VLOOKUP($D194,Transport!$C$213:$K$228,Transport!F$212)</f>
        <v>0</v>
      </c>
      <c r="H194" s="284">
        <f>VLOOKUP($D194,Transport!$C$213:$K$228,Transport!G$212)</f>
        <v>0</v>
      </c>
      <c r="I194" s="284">
        <f>VLOOKUP($D194,Transport!$C$213:$K$228,Transport!H$212)</f>
        <v>0</v>
      </c>
      <c r="J194" s="284">
        <f>VLOOKUP($D194,Transport!$C$213:$K$228,Transport!I$212)</f>
        <v>0</v>
      </c>
      <c r="K194" s="284">
        <f>VLOOKUP($D194,Transport!$C$213:$K$228,Transport!J$212)</f>
        <v>0</v>
      </c>
      <c r="L194" s="284">
        <f>VLOOKUP($D194,Transport!$C$213:$K$228,Transport!K$212)</f>
        <v>0</v>
      </c>
    </row>
    <row r="195" spans="3:12" x14ac:dyDescent="0.3">
      <c r="C195" s="191" t="s">
        <v>209</v>
      </c>
      <c r="D195" s="183">
        <v>2</v>
      </c>
      <c r="E195" s="284">
        <f>VLOOKUP($D195,Transport!$C$213:$K$228,Transport!D$212)</f>
        <v>0</v>
      </c>
      <c r="F195" s="284">
        <f>VLOOKUP($D195,Transport!$C$213:$K$228,Transport!E$212)</f>
        <v>0</v>
      </c>
      <c r="G195" s="284">
        <f>VLOOKUP($D195,Transport!$C$213:$K$228,Transport!F$212)</f>
        <v>0</v>
      </c>
      <c r="H195" s="284">
        <f>VLOOKUP($D195,Transport!$C$213:$K$228,Transport!G$212)</f>
        <v>0</v>
      </c>
      <c r="I195" s="284">
        <f>VLOOKUP($D195,Transport!$C$213:$K$228,Transport!H$212)</f>
        <v>0</v>
      </c>
      <c r="J195" s="284">
        <f>VLOOKUP($D195,Transport!$C$213:$K$228,Transport!I$212)</f>
        <v>0</v>
      </c>
      <c r="K195" s="284">
        <f>VLOOKUP($D195,Transport!$C$213:$K$228,Transport!J$212)</f>
        <v>0</v>
      </c>
      <c r="L195" s="284">
        <f>VLOOKUP($D195,Transport!$C$213:$K$228,Transport!K$212)</f>
        <v>0</v>
      </c>
    </row>
    <row r="196" spans="3:12" x14ac:dyDescent="0.3">
      <c r="C196" s="191" t="s">
        <v>417</v>
      </c>
      <c r="D196" s="183">
        <v>4</v>
      </c>
      <c r="E196" s="284">
        <f>VLOOKUP($D196,Transport!$C$213:$K$228,Transport!D$212)</f>
        <v>0</v>
      </c>
      <c r="F196" s="284">
        <f>VLOOKUP($D196,Transport!$C$213:$K$228,Transport!E$212)</f>
        <v>0</v>
      </c>
      <c r="G196" s="284">
        <f>VLOOKUP($D196,Transport!$C$213:$K$228,Transport!F$212)</f>
        <v>0</v>
      </c>
      <c r="H196" s="284">
        <f>VLOOKUP($D196,Transport!$C$213:$K$228,Transport!G$212)</f>
        <v>0</v>
      </c>
      <c r="I196" s="284">
        <f>VLOOKUP($D196,Transport!$C$213:$K$228,Transport!H$212)</f>
        <v>0</v>
      </c>
      <c r="J196" s="284">
        <f>VLOOKUP($D196,Transport!$C$213:$K$228,Transport!I$212)</f>
        <v>0</v>
      </c>
      <c r="K196" s="284">
        <f>VLOOKUP($D196,Transport!$C$213:$K$228,Transport!J$212)</f>
        <v>0</v>
      </c>
      <c r="L196" s="284">
        <f>VLOOKUP($D196,Transport!$C$213:$K$228,Transport!K$212)</f>
        <v>0</v>
      </c>
    </row>
    <row r="197" spans="3:12" x14ac:dyDescent="0.3">
      <c r="C197" s="191" t="s">
        <v>124</v>
      </c>
      <c r="D197" s="183">
        <v>10</v>
      </c>
      <c r="E197" s="284"/>
      <c r="F197" s="284"/>
      <c r="G197" s="284"/>
      <c r="H197" s="284"/>
      <c r="I197" s="284"/>
      <c r="J197" s="284"/>
      <c r="K197" s="284"/>
      <c r="L197" s="284"/>
    </row>
    <row r="198" spans="3:12" x14ac:dyDescent="0.3">
      <c r="C198" s="191" t="s">
        <v>133</v>
      </c>
      <c r="D198" s="183">
        <v>23</v>
      </c>
      <c r="E198" s="284">
        <f>VLOOKUP($D198,Transport!$C$213:$K$228,Transport!D$212)</f>
        <v>0</v>
      </c>
      <c r="F198" s="284">
        <f>VLOOKUP($D198,Transport!$C$213:$K$228,Transport!E$212)</f>
        <v>0</v>
      </c>
      <c r="G198" s="284">
        <f>VLOOKUP($D198,Transport!$C$213:$K$228,Transport!F$212)</f>
        <v>0</v>
      </c>
      <c r="H198" s="284">
        <f>VLOOKUP($D198,Transport!$C$213:$K$228,Transport!G$212)</f>
        <v>0</v>
      </c>
      <c r="I198" s="284">
        <f>VLOOKUP($D198,Transport!$C$213:$K$228,Transport!H$212)</f>
        <v>0</v>
      </c>
      <c r="J198" s="284">
        <f>VLOOKUP($D198,Transport!$C$213:$K$228,Transport!I$212)</f>
        <v>0</v>
      </c>
      <c r="K198" s="284">
        <f>VLOOKUP($D198,Transport!$C$213:$K$228,Transport!J$212)</f>
        <v>0</v>
      </c>
      <c r="L198" s="284">
        <f>VLOOKUP($D198,Transport!$C$213:$K$228,Transport!K$212)</f>
        <v>0</v>
      </c>
    </row>
    <row r="199" spans="3:12" x14ac:dyDescent="0.3">
      <c r="C199" s="191" t="s">
        <v>285</v>
      </c>
      <c r="D199" s="183">
        <v>24</v>
      </c>
      <c r="E199" s="284">
        <f>VLOOKUP($D199,Transport!$C$213:$K$228,Transport!D$212)</f>
        <v>0</v>
      </c>
      <c r="F199" s="284">
        <f>VLOOKUP($D199,Transport!$C$213:$K$228,Transport!E$212)</f>
        <v>0.97696132426695925</v>
      </c>
      <c r="G199" s="284">
        <f>VLOOKUP($D199,Transport!$C$213:$K$228,Transport!F$212)</f>
        <v>12.468583413732834</v>
      </c>
      <c r="H199" s="284">
        <f>VLOOKUP($D199,Transport!$C$213:$K$228,Transport!G$212)</f>
        <v>23.960205503198711</v>
      </c>
      <c r="I199" s="284">
        <f>VLOOKUP($D199,Transport!$C$213:$K$228,Transport!H$212)</f>
        <v>27.992368006869523</v>
      </c>
      <c r="J199" s="284">
        <f>VLOOKUP($D199,Transport!$C$213:$K$228,Transport!I$212)</f>
        <v>32.024530510540345</v>
      </c>
      <c r="K199" s="284">
        <f>VLOOKUP($D199,Transport!$C$213:$K$228,Transport!J$212)</f>
        <v>34.040611762375747</v>
      </c>
      <c r="L199" s="284">
        <f>VLOOKUP($D199,Transport!$C$213:$K$228,Transport!K$212)</f>
        <v>40.088855517881967</v>
      </c>
    </row>
    <row r="200" spans="3:12" x14ac:dyDescent="0.3">
      <c r="C200" s="191" t="s">
        <v>315</v>
      </c>
      <c r="D200" s="183">
        <v>26</v>
      </c>
      <c r="E200" s="284">
        <f>VLOOKUP($D200,Transport!$C$213:$K$228,Transport!D$212)</f>
        <v>0</v>
      </c>
      <c r="F200" s="284">
        <f>VLOOKUP($D200,Transport!$C$213:$K$228,Transport!E$212)</f>
        <v>0</v>
      </c>
      <c r="G200" s="284">
        <f>VLOOKUP($D200,Transport!$C$213:$K$228,Transport!F$212)</f>
        <v>0</v>
      </c>
      <c r="H200" s="284">
        <f>VLOOKUP($D200,Transport!$C$213:$K$228,Transport!G$212)</f>
        <v>0</v>
      </c>
      <c r="I200" s="284">
        <f>VLOOKUP($D200,Transport!$C$213:$K$228,Transport!H$212)</f>
        <v>0</v>
      </c>
      <c r="J200" s="284">
        <f>VLOOKUP($D200,Transport!$C$213:$K$228,Transport!I$212)</f>
        <v>0</v>
      </c>
      <c r="K200" s="284">
        <f>VLOOKUP($D200,Transport!$C$213:$K$228,Transport!J$212)</f>
        <v>0</v>
      </c>
      <c r="L200" s="284">
        <f>VLOOKUP($D200,Transport!$C$213:$K$228,Transport!K$212)</f>
        <v>0</v>
      </c>
    </row>
    <row r="201" spans="3:12" x14ac:dyDescent="0.3">
      <c r="C201" s="191" t="s">
        <v>38</v>
      </c>
      <c r="D201" s="183">
        <v>29</v>
      </c>
      <c r="E201" s="284">
        <f>VLOOKUP($D201,Transport!$C$213:$K$228,Transport!D$212)</f>
        <v>0</v>
      </c>
      <c r="F201" s="284">
        <f>VLOOKUP($D201,Transport!$C$213:$K$228,Transport!E$212)</f>
        <v>6.3610580789016495</v>
      </c>
      <c r="G201" s="284">
        <f>VLOOKUP($D201,Transport!$C$213:$K$228,Transport!F$212)</f>
        <v>-31.080328619553384</v>
      </c>
      <c r="H201" s="284">
        <f>VLOOKUP($D201,Transport!$C$213:$K$228,Transport!G$212)</f>
        <v>-59.267168675541434</v>
      </c>
      <c r="I201" s="284">
        <f>VLOOKUP($D201,Transport!$C$213:$K$228,Transport!H$212)</f>
        <v>-65.407612436901573</v>
      </c>
      <c r="J201" s="284">
        <f>VLOOKUP($D201,Transport!$C$213:$K$228,Transport!I$212)</f>
        <v>-71.525493719920306</v>
      </c>
      <c r="K201" s="284">
        <f>VLOOKUP($D201,Transport!$C$213:$K$228,Transport!J$212)</f>
        <v>-77.621838825700706</v>
      </c>
      <c r="L201" s="284">
        <f>VLOOKUP($D201,Transport!$C$213:$K$228,Transport!K$212)</f>
        <v>-83.697612740446743</v>
      </c>
    </row>
    <row r="202" spans="3:12" x14ac:dyDescent="0.3">
      <c r="C202" s="191" t="s">
        <v>136</v>
      </c>
      <c r="D202" s="183">
        <v>30</v>
      </c>
      <c r="E202" s="284">
        <f>VLOOKUP($D202,Transport!$C$213:$K$228,Transport!D$212)</f>
        <v>-0.22758959999998751</v>
      </c>
      <c r="F202" s="284">
        <f>VLOOKUP($D202,Transport!$C$213:$K$228,Transport!E$212)</f>
        <v>-8.1528397001025681</v>
      </c>
      <c r="G202" s="284">
        <f>VLOOKUP($D202,Transport!$C$213:$K$228,Transport!F$212)</f>
        <v>-21.45157015312823</v>
      </c>
      <c r="H202" s="284">
        <f>VLOOKUP($D202,Transport!$C$213:$K$228,Transport!G$212)</f>
        <v>-37.519660101538463</v>
      </c>
      <c r="I202" s="284">
        <f>VLOOKUP($D202,Transport!$C$213:$K$228,Transport!H$212)</f>
        <v>-45.38131593897441</v>
      </c>
      <c r="J202" s="284">
        <f>VLOOKUP($D202,Transport!$C$213:$K$228,Transport!I$212)</f>
        <v>-46.161045099487218</v>
      </c>
      <c r="K202" s="284">
        <f>VLOOKUP($D202,Transport!$C$213:$K$228,Transport!J$212)</f>
        <v>-44.899529766153854</v>
      </c>
      <c r="L202" s="284">
        <f>VLOOKUP($D202,Transport!$C$213:$K$228,Transport!K$212)</f>
        <v>-44.870396512820562</v>
      </c>
    </row>
    <row r="203" spans="3:12" x14ac:dyDescent="0.3">
      <c r="C203" s="191" t="s">
        <v>360</v>
      </c>
      <c r="D203" s="183">
        <v>31</v>
      </c>
      <c r="E203" s="284">
        <f>VLOOKUP($D203,Transport!$C$213:$K$228,Transport!D$212)</f>
        <v>0</v>
      </c>
      <c r="F203" s="284">
        <f>VLOOKUP($D203,Transport!$C$213:$K$228,Transport!E$212)</f>
        <v>-4.1228074643404664</v>
      </c>
      <c r="G203" s="284">
        <f>VLOOKUP($D203,Transport!$C$213:$K$228,Transport!F$212)</f>
        <v>-6.3195131684064751</v>
      </c>
      <c r="H203" s="284">
        <f>VLOOKUP($D203,Transport!$C$213:$K$228,Transport!G$212)</f>
        <v>-8.5162188724724786</v>
      </c>
      <c r="I203" s="284">
        <f>VLOOKUP($D203,Transport!$C$213:$K$228,Transport!H$212)</f>
        <v>-10.10126197511827</v>
      </c>
      <c r="J203" s="284">
        <f>VLOOKUP($D203,Transport!$C$213:$K$228,Transport!I$212)</f>
        <v>-11.686305077764057</v>
      </c>
      <c r="K203" s="284">
        <f>VLOOKUP($D203,Transport!$C$213:$K$228,Transport!J$212)</f>
        <v>-12.478826629086953</v>
      </c>
      <c r="L203" s="284">
        <f>VLOOKUP($D203,Transport!$C$213:$K$228,Transport!K$212)</f>
        <v>-14.856391283055636</v>
      </c>
    </row>
    <row r="204" spans="3:12" x14ac:dyDescent="0.3">
      <c r="C204" s="191" t="s">
        <v>361</v>
      </c>
      <c r="D204" s="183">
        <v>32</v>
      </c>
      <c r="E204" s="284">
        <f>VLOOKUP($D204,Transport!$C$213:$K$228,Transport!D$212)</f>
        <v>0</v>
      </c>
      <c r="F204" s="284">
        <f>VLOOKUP($D204,Transport!$C$213:$K$228,Transport!E$212)</f>
        <v>-10.719299407285213</v>
      </c>
      <c r="G204" s="284">
        <f>VLOOKUP($D204,Transport!$C$213:$K$228,Transport!F$212)</f>
        <v>-16.430734237856836</v>
      </c>
      <c r="H204" s="284">
        <f>VLOOKUP($D204,Transport!$C$213:$K$228,Transport!G$212)</f>
        <v>-22.142169068428444</v>
      </c>
      <c r="I204" s="284">
        <f>VLOOKUP($D204,Transport!$C$213:$K$228,Transport!H$212)</f>
        <v>-26.263281135307501</v>
      </c>
      <c r="J204" s="284">
        <f>VLOOKUP($D204,Transport!$C$213:$K$228,Transport!I$212)</f>
        <v>-30.384393202186551</v>
      </c>
      <c r="K204" s="284">
        <f>VLOOKUP($D204,Transport!$C$213:$K$228,Transport!J$212)</f>
        <v>-32.444949235626076</v>
      </c>
      <c r="L204" s="284">
        <f>VLOOKUP($D204,Transport!$C$213:$K$228,Transport!K$212)</f>
        <v>-38.626617335944658</v>
      </c>
    </row>
    <row r="205" spans="3:12" x14ac:dyDescent="0.3">
      <c r="C205" s="191" t="s">
        <v>362</v>
      </c>
      <c r="D205" s="183">
        <v>33</v>
      </c>
      <c r="E205" s="284">
        <f>VLOOKUP($D205,Transport!$C$213:$K$228,Transport!D$212)</f>
        <v>0</v>
      </c>
      <c r="F205" s="284">
        <f>VLOOKUP($D205,Transport!$C$213:$K$228,Transport!E$212)</f>
        <v>-1.6491229857361867</v>
      </c>
      <c r="G205" s="284">
        <f>VLOOKUP($D205,Transport!$C$213:$K$228,Transport!F$212)</f>
        <v>-2.5278052673625901</v>
      </c>
      <c r="H205" s="284">
        <f>VLOOKUP($D205,Transport!$C$213:$K$228,Transport!G$212)</f>
        <v>-3.4064875489889914</v>
      </c>
      <c r="I205" s="284">
        <f>VLOOKUP($D205,Transport!$C$213:$K$228,Transport!H$212)</f>
        <v>-4.0405047900473079</v>
      </c>
      <c r="J205" s="284">
        <f>VLOOKUP($D205,Transport!$C$213:$K$228,Transport!I$212)</f>
        <v>-4.6745220311056235</v>
      </c>
      <c r="K205" s="284">
        <f>VLOOKUP($D205,Transport!$C$213:$K$228,Transport!J$212)</f>
        <v>-4.9915306516347817</v>
      </c>
      <c r="L205" s="284">
        <f>VLOOKUP($D205,Transport!$C$213:$K$228,Transport!K$212)</f>
        <v>-5.9425565132222546</v>
      </c>
    </row>
    <row r="206" spans="3:12" x14ac:dyDescent="0.3">
      <c r="C206" s="191" t="s">
        <v>363</v>
      </c>
      <c r="D206" s="183">
        <v>55</v>
      </c>
      <c r="E206" s="284">
        <f>VLOOKUP($D206,Transport!$C$213:$K$228,Transport!D$212)</f>
        <v>0</v>
      </c>
      <c r="F206" s="284">
        <f>VLOOKUP($D206,Transport!$C$213:$K$228,Transport!E$212)</f>
        <v>0</v>
      </c>
      <c r="G206" s="284">
        <f>VLOOKUP($D206,Transport!$C$213:$K$228,Transport!F$212)</f>
        <v>0</v>
      </c>
      <c r="H206" s="284">
        <f>VLOOKUP($D206,Transport!$C$213:$K$228,Transport!G$212)</f>
        <v>0</v>
      </c>
      <c r="I206" s="284">
        <f>VLOOKUP($D206,Transport!$C$213:$K$228,Transport!H$212)</f>
        <v>0</v>
      </c>
      <c r="J206" s="284">
        <f>VLOOKUP($D206,Transport!$C$213:$K$228,Transport!I$212)</f>
        <v>0</v>
      </c>
      <c r="K206" s="284">
        <f>VLOOKUP($D206,Transport!$C$213:$K$228,Transport!J$212)</f>
        <v>0</v>
      </c>
      <c r="L206" s="284">
        <f>VLOOKUP($D206,Transport!$C$213:$K$228,Transport!K$212)</f>
        <v>0</v>
      </c>
    </row>
    <row r="207" spans="3:12" x14ac:dyDescent="0.3">
      <c r="C207" s="259" t="s">
        <v>204</v>
      </c>
      <c r="D207" s="251">
        <v>101</v>
      </c>
      <c r="E207" s="284">
        <f>VLOOKUP($D207,Transport!$C$213:$K$228,Transport!D$212)</f>
        <v>0</v>
      </c>
      <c r="F207" s="284">
        <f>VLOOKUP($D207,Transport!$C$213:$K$228,Transport!E$212)</f>
        <v>0</v>
      </c>
      <c r="G207" s="284">
        <f>VLOOKUP($D207,Transport!$C$213:$K$228,Transport!F$212)</f>
        <v>0</v>
      </c>
      <c r="H207" s="284">
        <f>VLOOKUP($D207,Transport!$C$213:$K$228,Transport!G$212)</f>
        <v>0</v>
      </c>
      <c r="I207" s="284">
        <f>VLOOKUP($D207,Transport!$C$213:$K$228,Transport!H$212)</f>
        <v>0</v>
      </c>
      <c r="J207" s="284">
        <f>VLOOKUP($D207,Transport!$C$213:$K$228,Transport!I$212)</f>
        <v>0</v>
      </c>
      <c r="K207" s="284">
        <f>VLOOKUP($D207,Transport!$C$213:$K$228,Transport!J$212)</f>
        <v>0</v>
      </c>
      <c r="L207" s="284">
        <f>VLOOKUP($D207,Transport!$C$213:$K$228,Transport!K$212)</f>
        <v>0</v>
      </c>
    </row>
    <row r="208" spans="3:12" x14ac:dyDescent="0.3">
      <c r="C208" s="259" t="s">
        <v>364</v>
      </c>
      <c r="D208" s="251">
        <v>102</v>
      </c>
      <c r="E208" s="284">
        <f>VLOOKUP($D208,Transport!$C$213:$K$228,Transport!D$212)</f>
        <v>0</v>
      </c>
      <c r="F208" s="284">
        <f>VLOOKUP($D208,Transport!$C$213:$K$228,Transport!E$212)</f>
        <v>3.8854253685863114</v>
      </c>
      <c r="G208" s="284">
        <f>VLOOKUP($D208,Transport!$C$213:$K$228,Transport!F$212)</f>
        <v>17.93488448009245</v>
      </c>
      <c r="H208" s="284">
        <f>VLOOKUP($D208,Transport!$C$213:$K$228,Transport!G$212)</f>
        <v>17.465468000221009</v>
      </c>
      <c r="I208" s="284">
        <f>VLOOKUP($D208,Transport!$C$213:$K$228,Transport!H$212)</f>
        <v>17.085554722427943</v>
      </c>
      <c r="J208" s="284">
        <f>VLOOKUP($D208,Transport!$C$213:$K$228,Transport!I$212)</f>
        <v>16.876332538517147</v>
      </c>
      <c r="K208" s="284">
        <f>VLOOKUP($D208,Transport!$C$213:$K$228,Transport!J$212)</f>
        <v>16.823943652675226</v>
      </c>
      <c r="L208" s="284">
        <f>VLOOKUP($D208,Transport!$C$213:$K$228,Transport!K$212)</f>
        <v>16.920841856965623</v>
      </c>
    </row>
    <row r="209" spans="2:12" x14ac:dyDescent="0.3">
      <c r="C209" s="259" t="s">
        <v>457</v>
      </c>
      <c r="D209" s="251">
        <v>103</v>
      </c>
      <c r="E209" s="284">
        <f>VLOOKUP($D209,Transport!$C$213:$K$228,Transport!D$212)</f>
        <v>0.34138439999998127</v>
      </c>
      <c r="F209" s="284">
        <f>VLOOKUP($D209,Transport!$C$213:$K$228,Transport!E$212)</f>
        <v>228.79030046623501</v>
      </c>
      <c r="G209" s="284">
        <f>VLOOKUP($D209,Transport!$C$213:$K$228,Transport!F$212)</f>
        <v>424.86039694400262</v>
      </c>
      <c r="H209" s="284">
        <f>VLOOKUP($D209,Transport!$C$213:$K$228,Transport!G$212)</f>
        <v>638.22880189561636</v>
      </c>
      <c r="I209" s="284">
        <f>VLOOKUP($D209,Transport!$C$213:$K$228,Transport!H$212)</f>
        <v>722.94222714159707</v>
      </c>
      <c r="J209" s="284">
        <f>VLOOKUP($D209,Transport!$C$213:$K$228,Transport!I$212)</f>
        <v>774.13233288501374</v>
      </c>
      <c r="K209" s="284">
        <f>VLOOKUP($D209,Transport!$C$213:$K$228,Transport!J$212)</f>
        <v>793.10092285749124</v>
      </c>
      <c r="L209" s="284">
        <f>VLOOKUP($D209,Transport!$C$213:$K$228,Transport!K$212)</f>
        <v>873.58106189492389</v>
      </c>
    </row>
    <row r="210" spans="2:12" x14ac:dyDescent="0.3">
      <c r="C210" s="260" t="s">
        <v>110</v>
      </c>
      <c r="D210" s="252">
        <v>104</v>
      </c>
      <c r="E210" s="284">
        <f>VLOOKUP($D210,Transport!$C$213:$K$228,Transport!D$212)</f>
        <v>0</v>
      </c>
      <c r="F210" s="284">
        <f>VLOOKUP($D210,Transport!$C$213:$K$228,Transport!E$212)</f>
        <v>76.968412553190802</v>
      </c>
      <c r="G210" s="284">
        <f>VLOOKUP($D210,Transport!$C$213:$K$228,Transport!F$212)</f>
        <v>78.696964667871612</v>
      </c>
      <c r="H210" s="284">
        <f>VLOOKUP($D210,Transport!$C$213:$K$228,Transport!G$212)</f>
        <v>91.311821587165923</v>
      </c>
      <c r="I210" s="284">
        <f>VLOOKUP($D210,Transport!$C$213:$K$228,Transport!H$212)</f>
        <v>107.70946942512518</v>
      </c>
      <c r="J210" s="284">
        <f>VLOOKUP($D210,Transport!$C$213:$K$228,Transport!I$212)</f>
        <v>125.98586726308446</v>
      </c>
      <c r="K210" s="284">
        <f>VLOOKUP($D210,Transport!$C$213:$K$228,Transport!J$212)</f>
        <v>153.06339068184877</v>
      </c>
      <c r="L210" s="284">
        <f>VLOOKUP($D210,Transport!$C$213:$K$228,Transport!K$212)</f>
        <v>168.74910590775301</v>
      </c>
    </row>
    <row r="211" spans="2:12" x14ac:dyDescent="0.3">
      <c r="C211" s="259" t="s">
        <v>53</v>
      </c>
      <c r="D211" s="251">
        <v>105</v>
      </c>
      <c r="E211" s="284">
        <f>VLOOKUP($D211,Transport!$C$213:$K$228,Transport!D$212)</f>
        <v>-18.073035406927659</v>
      </c>
      <c r="F211" s="284">
        <f>VLOOKUP($D211,Transport!$C$213:$K$228,Transport!E$212)</f>
        <v>149.3330263339966</v>
      </c>
      <c r="G211" s="284">
        <f>VLOOKUP($D211,Transport!$C$213:$K$228,Transport!F$212)</f>
        <v>304.9733303009362</v>
      </c>
      <c r="H211" s="284">
        <f>VLOOKUP($D211,Transport!$C$213:$K$228,Transport!G$212)</f>
        <v>489.78130223710639</v>
      </c>
      <c r="I211" s="284">
        <f>VLOOKUP($D211,Transport!$C$213:$K$228,Transport!H$212)</f>
        <v>589.14442241011852</v>
      </c>
      <c r="J211" s="284">
        <f>VLOOKUP($D211,Transport!$C$213:$K$228,Transport!I$212)</f>
        <v>646.02354640364331</v>
      </c>
      <c r="K211" s="284">
        <f>VLOOKUP($D211,Transport!$C$213:$K$228,Transport!J$212)</f>
        <v>650.70123433758533</v>
      </c>
      <c r="L211" s="284">
        <f>VLOOKUP($D211,Transport!$C$213:$K$228,Transport!K$212)</f>
        <v>747.78976203732771</v>
      </c>
    </row>
    <row r="212" spans="2:12" x14ac:dyDescent="0.3">
      <c r="C212" s="183" t="s">
        <v>321</v>
      </c>
      <c r="D212" s="253" t="s">
        <v>293</v>
      </c>
      <c r="E212" s="284"/>
      <c r="F212" s="284"/>
      <c r="G212" s="284"/>
      <c r="H212" s="284"/>
      <c r="I212" s="284"/>
      <c r="J212" s="284"/>
      <c r="K212" s="284"/>
      <c r="L212" s="284"/>
    </row>
    <row r="213" spans="2:12" x14ac:dyDescent="0.3">
      <c r="C213" s="191" t="s">
        <v>650</v>
      </c>
      <c r="D213" s="253" t="s">
        <v>75</v>
      </c>
      <c r="E213" s="284">
        <f>Transport!D230</f>
        <v>-2570.7648582056463</v>
      </c>
      <c r="F213" s="284">
        <f>Transport!E230</f>
        <v>-9375.3731450271844</v>
      </c>
      <c r="G213" s="284">
        <f>Transport!F230</f>
        <v>-13993.682116952703</v>
      </c>
      <c r="H213" s="284">
        <f>Transport!G230</f>
        <v>-18611.991088878211</v>
      </c>
      <c r="I213" s="284">
        <f>Transport!H230</f>
        <v>-19910.996563860848</v>
      </c>
      <c r="J213" s="284">
        <f>Transport!I230</f>
        <v>-21210.002038843468</v>
      </c>
      <c r="K213" s="284">
        <f>Transport!J230</f>
        <v>-21859.504776334776</v>
      </c>
      <c r="L213" s="284">
        <f>Transport!K230</f>
        <v>-23808.012988808732</v>
      </c>
    </row>
    <row r="214" spans="2:12" x14ac:dyDescent="0.3">
      <c r="C214" s="279" t="s">
        <v>323</v>
      </c>
      <c r="D214" s="253" t="s">
        <v>75</v>
      </c>
      <c r="E214" s="284">
        <f>Transport!D231</f>
        <v>-2458.9819359131066</v>
      </c>
      <c r="F214" s="284">
        <f>Transport!E231</f>
        <v>-9095.0846066604026</v>
      </c>
      <c r="G214" s="284">
        <f>Transport!F231</f>
        <v>-15543.489310103734</v>
      </c>
      <c r="H214" s="284">
        <f>Transport!G231</f>
        <v>-21991.894013547069</v>
      </c>
      <c r="I214" s="284">
        <f>Transport!H231</f>
        <v>-23008.987998864261</v>
      </c>
      <c r="J214" s="284">
        <f>Transport!I231</f>
        <v>-24026.081984181452</v>
      </c>
      <c r="K214" s="284">
        <f>Transport!J231</f>
        <v>-24534.628976840046</v>
      </c>
      <c r="L214" s="284">
        <f>Transport!K231</f>
        <v>-26060.269954815834</v>
      </c>
    </row>
    <row r="215" spans="2:12" x14ac:dyDescent="0.3">
      <c r="C215" s="279" t="s">
        <v>324</v>
      </c>
      <c r="D215" s="253" t="s">
        <v>75</v>
      </c>
      <c r="E215" s="284">
        <f>Transport!D232</f>
        <v>-111.78292229254168</v>
      </c>
      <c r="F215" s="284">
        <f>Transport!E232</f>
        <v>-280.28853836678741</v>
      </c>
      <c r="G215" s="284">
        <f>Transport!F232</f>
        <v>1549.8071931510353</v>
      </c>
      <c r="H215" s="284">
        <f>Transport!G232</f>
        <v>3379.9029246688578</v>
      </c>
      <c r="I215" s="284">
        <f>Transport!H232</f>
        <v>3097.9914350034196</v>
      </c>
      <c r="J215" s="284">
        <f>Transport!I232</f>
        <v>2816.0799453379805</v>
      </c>
      <c r="K215" s="284">
        <f>Transport!J232</f>
        <v>2675.1242005052609</v>
      </c>
      <c r="L215" s="284">
        <f>Transport!K232</f>
        <v>2252.2569660071022</v>
      </c>
    </row>
    <row r="216" spans="2:12" x14ac:dyDescent="0.3">
      <c r="C216" s="280" t="s">
        <v>325</v>
      </c>
      <c r="D216" s="253" t="s">
        <v>75</v>
      </c>
      <c r="E216" s="284">
        <f>Transport!D233</f>
        <v>-111.78292229254168</v>
      </c>
      <c r="F216" s="284">
        <f>Transport!E233</f>
        <v>-280.28853836678741</v>
      </c>
      <c r="G216" s="284">
        <f>Transport!F233</f>
        <v>1549.8071931510353</v>
      </c>
      <c r="H216" s="284">
        <f>Transport!G233</f>
        <v>3379.9029246688578</v>
      </c>
      <c r="I216" s="284">
        <f>Transport!H233</f>
        <v>3097.9914350034196</v>
      </c>
      <c r="J216" s="284">
        <f>Transport!I233</f>
        <v>2816.0799453379805</v>
      </c>
      <c r="K216" s="284">
        <f>Transport!J233</f>
        <v>2675.1242005052609</v>
      </c>
      <c r="L216" s="284">
        <f>Transport!K233</f>
        <v>2252.2569660071022</v>
      </c>
    </row>
    <row r="217" spans="2:12" x14ac:dyDescent="0.3">
      <c r="C217" s="280" t="s">
        <v>541</v>
      </c>
      <c r="D217" s="253" t="s">
        <v>75</v>
      </c>
      <c r="E217" s="284">
        <f>Transport!D234</f>
        <v>0</v>
      </c>
      <c r="F217" s="284">
        <f>Transport!E234</f>
        <v>0</v>
      </c>
      <c r="G217" s="284">
        <f>Transport!F234</f>
        <v>0</v>
      </c>
      <c r="H217" s="284">
        <f>Transport!G234</f>
        <v>0</v>
      </c>
      <c r="I217" s="284">
        <f>Transport!H234</f>
        <v>0</v>
      </c>
      <c r="J217" s="284">
        <f>Transport!I234</f>
        <v>0</v>
      </c>
      <c r="K217" s="284">
        <f>Transport!J234</f>
        <v>0</v>
      </c>
      <c r="L217" s="284">
        <f>Transport!K234</f>
        <v>0</v>
      </c>
    </row>
    <row r="218" spans="2:12" x14ac:dyDescent="0.3">
      <c r="C218" s="191" t="s">
        <v>326</v>
      </c>
      <c r="D218" s="253" t="s">
        <v>306</v>
      </c>
      <c r="E218" s="284">
        <f>Transport!D235</f>
        <v>0</v>
      </c>
      <c r="F218" s="284">
        <f>Transport!E235</f>
        <v>0</v>
      </c>
      <c r="G218" s="284">
        <f>Transport!F235</f>
        <v>0</v>
      </c>
      <c r="H218" s="284">
        <f>Transport!G235</f>
        <v>0</v>
      </c>
      <c r="I218" s="284">
        <f>Transport!H235</f>
        <v>0</v>
      </c>
      <c r="J218" s="284">
        <f>Transport!I235</f>
        <v>0</v>
      </c>
      <c r="K218" s="284">
        <f>Transport!J235</f>
        <v>0</v>
      </c>
      <c r="L218" s="284">
        <f>Transport!K235</f>
        <v>0</v>
      </c>
    </row>
    <row r="219" spans="2:12" x14ac:dyDescent="0.3">
      <c r="C219" s="301" t="s">
        <v>387</v>
      </c>
      <c r="D219" s="253" t="s">
        <v>388</v>
      </c>
      <c r="E219" s="284">
        <f>Transport!D236</f>
        <v>-198.27625302048168</v>
      </c>
      <c r="F219" s="284">
        <f>Transport!E236</f>
        <v>-666.98847824637733</v>
      </c>
      <c r="G219" s="284">
        <f>Transport!F236</f>
        <v>-1106.3401744805794</v>
      </c>
      <c r="H219" s="284">
        <f>Transport!G236</f>
        <v>-1653.6029587947785</v>
      </c>
      <c r="I219" s="284">
        <f>Transport!H236</f>
        <v>-1730.1401768325195</v>
      </c>
      <c r="J219" s="284">
        <f>Transport!I236</f>
        <v>-1806.677394870261</v>
      </c>
      <c r="K219" s="284">
        <f>Transport!J236</f>
        <v>-1957.7891690093018</v>
      </c>
      <c r="L219" s="284">
        <f>Transport!K236</f>
        <v>-1959.7518309457432</v>
      </c>
    </row>
    <row r="221" spans="2:12" ht="15.6" x14ac:dyDescent="0.3">
      <c r="B221" s="353">
        <v>3</v>
      </c>
      <c r="C221" s="303" t="s">
        <v>248</v>
      </c>
      <c r="D221" s="201"/>
      <c r="E221" s="201"/>
      <c r="F221" s="202"/>
    </row>
    <row r="222" spans="2:12" ht="27.6" x14ac:dyDescent="0.3">
      <c r="C222" s="200"/>
      <c r="D222" s="273" t="s">
        <v>252</v>
      </c>
      <c r="E222" s="273" t="s">
        <v>253</v>
      </c>
      <c r="F222" s="273" t="s">
        <v>416</v>
      </c>
      <c r="G222" s="273" t="s">
        <v>788</v>
      </c>
      <c r="H222" s="273" t="s">
        <v>790</v>
      </c>
    </row>
    <row r="223" spans="2:12" x14ac:dyDescent="0.3">
      <c r="C223" s="206" t="s">
        <v>251</v>
      </c>
      <c r="D223" s="200">
        <v>1</v>
      </c>
      <c r="E223" s="200">
        <v>2</v>
      </c>
      <c r="F223" s="200">
        <v>3</v>
      </c>
      <c r="G223" s="200">
        <v>4</v>
      </c>
      <c r="H223" s="200">
        <v>5</v>
      </c>
    </row>
    <row r="224" spans="2:12" x14ac:dyDescent="0.3">
      <c r="C224" s="204" t="s">
        <v>389</v>
      </c>
      <c r="D224" s="278">
        <f>TULEMUSED!M7</f>
        <v>1</v>
      </c>
      <c r="E224" s="205"/>
      <c r="F224" s="106"/>
    </row>
    <row r="225" spans="2:12" x14ac:dyDescent="0.3">
      <c r="C225" s="111"/>
      <c r="D225" s="194"/>
      <c r="E225" s="195"/>
      <c r="G225" s="112"/>
    </row>
    <row r="226" spans="2:12" ht="11.25" customHeight="1" x14ac:dyDescent="0.3">
      <c r="B226" s="106"/>
      <c r="C226" s="281" t="s">
        <v>384</v>
      </c>
      <c r="D226" s="119"/>
      <c r="E226" s="195"/>
      <c r="F226" s="106"/>
      <c r="G226" s="112"/>
    </row>
    <row r="227" spans="2:12" x14ac:dyDescent="0.3">
      <c r="C227" s="282" t="s">
        <v>259</v>
      </c>
      <c r="D227" s="253" t="s">
        <v>318</v>
      </c>
      <c r="E227" s="183">
        <v>2015</v>
      </c>
      <c r="F227" s="183">
        <v>2020</v>
      </c>
      <c r="G227" s="183">
        <v>2025</v>
      </c>
      <c r="H227" s="183">
        <v>2030</v>
      </c>
      <c r="I227" s="183">
        <v>2035</v>
      </c>
      <c r="J227" s="183">
        <v>2040</v>
      </c>
      <c r="K227" s="183">
        <v>2045</v>
      </c>
      <c r="L227" s="183">
        <v>2050</v>
      </c>
    </row>
    <row r="228" spans="2:12" x14ac:dyDescent="0.3">
      <c r="C228" s="191" t="s">
        <v>231</v>
      </c>
      <c r="D228" s="183">
        <v>1</v>
      </c>
      <c r="E228" s="284">
        <f>IF($D$224=5,E348,IF($D$224=4,E318,IF($D$224=2,E258,IF($D$224=3,E288,0))))</f>
        <v>0</v>
      </c>
      <c r="F228" s="284">
        <f t="shared" ref="F228:L228" si="51">IF($D$224=5,F348,IF($D$224=4,F318,IF($D$224=2,F258,IF($D$224=3,F288,0))))</f>
        <v>0</v>
      </c>
      <c r="G228" s="284">
        <f t="shared" si="51"/>
        <v>0</v>
      </c>
      <c r="H228" s="284">
        <f t="shared" si="51"/>
        <v>0</v>
      </c>
      <c r="I228" s="284">
        <f t="shared" si="51"/>
        <v>0</v>
      </c>
      <c r="J228" s="284">
        <f t="shared" si="51"/>
        <v>0</v>
      </c>
      <c r="K228" s="284">
        <f t="shared" si="51"/>
        <v>0</v>
      </c>
      <c r="L228" s="284">
        <f t="shared" si="51"/>
        <v>0</v>
      </c>
    </row>
    <row r="229" spans="2:12" x14ac:dyDescent="0.3">
      <c r="C229" s="191" t="s">
        <v>209</v>
      </c>
      <c r="D229" s="183">
        <v>2</v>
      </c>
      <c r="E229" s="284">
        <f t="shared" ref="E229:L229" si="52">IF($D$224=5,E349,IF($D$224=4,E319,IF($D$224=2,E259,IF($D$224=3,E289,0))))</f>
        <v>0</v>
      </c>
      <c r="F229" s="284">
        <f t="shared" si="52"/>
        <v>0</v>
      </c>
      <c r="G229" s="284">
        <f t="shared" si="52"/>
        <v>0</v>
      </c>
      <c r="H229" s="284">
        <f t="shared" si="52"/>
        <v>0</v>
      </c>
      <c r="I229" s="284">
        <f t="shared" si="52"/>
        <v>0</v>
      </c>
      <c r="J229" s="284">
        <f t="shared" si="52"/>
        <v>0</v>
      </c>
      <c r="K229" s="284">
        <f t="shared" si="52"/>
        <v>0</v>
      </c>
      <c r="L229" s="284">
        <f t="shared" si="52"/>
        <v>0</v>
      </c>
    </row>
    <row r="230" spans="2:12" x14ac:dyDescent="0.3">
      <c r="C230" s="191" t="s">
        <v>417</v>
      </c>
      <c r="D230" s="183">
        <v>4</v>
      </c>
      <c r="E230" s="284">
        <f t="shared" ref="E230:L230" si="53">IF($D$224=5,E350,IF($D$224=4,E320,IF($D$224=2,E260,IF($D$224=3,E290,0))))</f>
        <v>0</v>
      </c>
      <c r="F230" s="284">
        <f t="shared" si="53"/>
        <v>0</v>
      </c>
      <c r="G230" s="284">
        <f t="shared" si="53"/>
        <v>0</v>
      </c>
      <c r="H230" s="284">
        <f t="shared" si="53"/>
        <v>0</v>
      </c>
      <c r="I230" s="284">
        <f t="shared" si="53"/>
        <v>0</v>
      </c>
      <c r="J230" s="284">
        <f t="shared" si="53"/>
        <v>0</v>
      </c>
      <c r="K230" s="284">
        <f t="shared" si="53"/>
        <v>0</v>
      </c>
      <c r="L230" s="284">
        <f t="shared" si="53"/>
        <v>0</v>
      </c>
    </row>
    <row r="231" spans="2:12" x14ac:dyDescent="0.3">
      <c r="C231" s="191" t="s">
        <v>124</v>
      </c>
      <c r="D231" s="183">
        <v>10</v>
      </c>
      <c r="E231" s="284">
        <f t="shared" ref="E231:L231" si="54">IF($D$224=5,E351,IF($D$224=4,E321,IF($D$224=2,E261,IF($D$224=3,E291,0))))</f>
        <v>0</v>
      </c>
      <c r="F231" s="284">
        <f t="shared" si="54"/>
        <v>0</v>
      </c>
      <c r="G231" s="284">
        <f t="shared" si="54"/>
        <v>0</v>
      </c>
      <c r="H231" s="284">
        <f t="shared" si="54"/>
        <v>0</v>
      </c>
      <c r="I231" s="284">
        <f t="shared" si="54"/>
        <v>0</v>
      </c>
      <c r="J231" s="284">
        <f t="shared" si="54"/>
        <v>0</v>
      </c>
      <c r="K231" s="284">
        <f t="shared" si="54"/>
        <v>0</v>
      </c>
      <c r="L231" s="284">
        <f t="shared" si="54"/>
        <v>0</v>
      </c>
    </row>
    <row r="232" spans="2:12" x14ac:dyDescent="0.3">
      <c r="C232" s="191" t="s">
        <v>133</v>
      </c>
      <c r="D232" s="183">
        <v>23</v>
      </c>
      <c r="E232" s="284">
        <f t="shared" ref="E232:L232" si="55">IF($D$224=5,E352,IF($D$224=4,E322,IF($D$224=2,E262,IF($D$224=3,E292,0))))</f>
        <v>0</v>
      </c>
      <c r="F232" s="284">
        <f t="shared" si="55"/>
        <v>0</v>
      </c>
      <c r="G232" s="284">
        <f t="shared" si="55"/>
        <v>0</v>
      </c>
      <c r="H232" s="284">
        <f t="shared" si="55"/>
        <v>0</v>
      </c>
      <c r="I232" s="284">
        <f t="shared" si="55"/>
        <v>0</v>
      </c>
      <c r="J232" s="284">
        <f t="shared" si="55"/>
        <v>0</v>
      </c>
      <c r="K232" s="284">
        <f t="shared" si="55"/>
        <v>0</v>
      </c>
      <c r="L232" s="284">
        <f t="shared" si="55"/>
        <v>0</v>
      </c>
    </row>
    <row r="233" spans="2:12" x14ac:dyDescent="0.3">
      <c r="C233" s="191" t="s">
        <v>285</v>
      </c>
      <c r="D233" s="183">
        <v>24</v>
      </c>
      <c r="E233" s="284">
        <f t="shared" ref="E233:L233" si="56">IF($D$224=5,E353,IF($D$224=4,E323,IF($D$224=2,E263,IF($D$224=3,E293,0))))</f>
        <v>0</v>
      </c>
      <c r="F233" s="284">
        <f t="shared" si="56"/>
        <v>0</v>
      </c>
      <c r="G233" s="284">
        <f t="shared" si="56"/>
        <v>0</v>
      </c>
      <c r="H233" s="284">
        <f t="shared" si="56"/>
        <v>0</v>
      </c>
      <c r="I233" s="284">
        <f t="shared" si="56"/>
        <v>0</v>
      </c>
      <c r="J233" s="284">
        <f t="shared" si="56"/>
        <v>0</v>
      </c>
      <c r="K233" s="284">
        <f t="shared" si="56"/>
        <v>0</v>
      </c>
      <c r="L233" s="284">
        <f t="shared" si="56"/>
        <v>0</v>
      </c>
    </row>
    <row r="234" spans="2:12" x14ac:dyDescent="0.3">
      <c r="C234" s="191" t="s">
        <v>315</v>
      </c>
      <c r="D234" s="183">
        <v>26</v>
      </c>
      <c r="E234" s="284">
        <f t="shared" ref="E234:L234" si="57">IF($D$224=5,E354,IF($D$224=4,E324,IF($D$224=2,E264,IF($D$224=3,E294,0))))</f>
        <v>0</v>
      </c>
      <c r="F234" s="284">
        <f t="shared" si="57"/>
        <v>0</v>
      </c>
      <c r="G234" s="284">
        <f t="shared" si="57"/>
        <v>0</v>
      </c>
      <c r="H234" s="284">
        <f t="shared" si="57"/>
        <v>0</v>
      </c>
      <c r="I234" s="284">
        <f t="shared" si="57"/>
        <v>0</v>
      </c>
      <c r="J234" s="284">
        <f t="shared" si="57"/>
        <v>0</v>
      </c>
      <c r="K234" s="284">
        <f t="shared" si="57"/>
        <v>0</v>
      </c>
      <c r="L234" s="284">
        <f t="shared" si="57"/>
        <v>0</v>
      </c>
    </row>
    <row r="235" spans="2:12" x14ac:dyDescent="0.3">
      <c r="C235" s="191" t="s">
        <v>38</v>
      </c>
      <c r="D235" s="183">
        <v>29</v>
      </c>
      <c r="E235" s="284">
        <f t="shared" ref="E235:L235" si="58">IF($D$224=5,E355,IF($D$224=4,E325,IF($D$224=2,E265,IF($D$224=3,E295,0))))</f>
        <v>0</v>
      </c>
      <c r="F235" s="284">
        <f t="shared" si="58"/>
        <v>0</v>
      </c>
      <c r="G235" s="284">
        <f t="shared" si="58"/>
        <v>0</v>
      </c>
      <c r="H235" s="284">
        <f t="shared" si="58"/>
        <v>0</v>
      </c>
      <c r="I235" s="284">
        <f t="shared" si="58"/>
        <v>0</v>
      </c>
      <c r="J235" s="284">
        <f t="shared" si="58"/>
        <v>0</v>
      </c>
      <c r="K235" s="284">
        <f t="shared" si="58"/>
        <v>0</v>
      </c>
      <c r="L235" s="284">
        <f t="shared" si="58"/>
        <v>0</v>
      </c>
    </row>
    <row r="236" spans="2:12" x14ac:dyDescent="0.3">
      <c r="C236" s="191" t="s">
        <v>136</v>
      </c>
      <c r="D236" s="183">
        <v>30</v>
      </c>
      <c r="E236" s="284">
        <f t="shared" ref="E236:L236" si="59">IF($D$224=5,E356,IF($D$224=4,E326,IF($D$224=2,E266,IF($D$224=3,E296,0))))</f>
        <v>0</v>
      </c>
      <c r="F236" s="284">
        <f t="shared" si="59"/>
        <v>0</v>
      </c>
      <c r="G236" s="284">
        <f t="shared" si="59"/>
        <v>0</v>
      </c>
      <c r="H236" s="284">
        <f t="shared" si="59"/>
        <v>0</v>
      </c>
      <c r="I236" s="284">
        <f t="shared" si="59"/>
        <v>0</v>
      </c>
      <c r="J236" s="284">
        <f t="shared" si="59"/>
        <v>0</v>
      </c>
      <c r="K236" s="284">
        <f t="shared" si="59"/>
        <v>0</v>
      </c>
      <c r="L236" s="284">
        <f t="shared" si="59"/>
        <v>0</v>
      </c>
    </row>
    <row r="237" spans="2:12" x14ac:dyDescent="0.3">
      <c r="C237" s="191" t="s">
        <v>360</v>
      </c>
      <c r="D237" s="183">
        <v>31</v>
      </c>
      <c r="E237" s="284">
        <f t="shared" ref="E237:L237" si="60">IF($D$224=5,E357,IF($D$224=4,E327,IF($D$224=2,E267,IF($D$224=3,E297,0))))</f>
        <v>0</v>
      </c>
      <c r="F237" s="284">
        <f t="shared" si="60"/>
        <v>0</v>
      </c>
      <c r="G237" s="284">
        <f t="shared" si="60"/>
        <v>0</v>
      </c>
      <c r="H237" s="284">
        <f t="shared" si="60"/>
        <v>0</v>
      </c>
      <c r="I237" s="284">
        <f t="shared" si="60"/>
        <v>0</v>
      </c>
      <c r="J237" s="284">
        <f t="shared" si="60"/>
        <v>0</v>
      </c>
      <c r="K237" s="284">
        <f t="shared" si="60"/>
        <v>0</v>
      </c>
      <c r="L237" s="284">
        <f t="shared" si="60"/>
        <v>0</v>
      </c>
    </row>
    <row r="238" spans="2:12" x14ac:dyDescent="0.3">
      <c r="C238" s="191" t="s">
        <v>361</v>
      </c>
      <c r="D238" s="183">
        <v>32</v>
      </c>
      <c r="E238" s="284">
        <f t="shared" ref="E238:L238" si="61">IF($D$224=5,E358,IF($D$224=4,E328,IF($D$224=2,E268,IF($D$224=3,E298,0))))</f>
        <v>0</v>
      </c>
      <c r="F238" s="284">
        <f t="shared" si="61"/>
        <v>0</v>
      </c>
      <c r="G238" s="284">
        <f t="shared" si="61"/>
        <v>0</v>
      </c>
      <c r="H238" s="284">
        <f t="shared" si="61"/>
        <v>0</v>
      </c>
      <c r="I238" s="284">
        <f t="shared" si="61"/>
        <v>0</v>
      </c>
      <c r="J238" s="284">
        <f t="shared" si="61"/>
        <v>0</v>
      </c>
      <c r="K238" s="284">
        <f t="shared" si="61"/>
        <v>0</v>
      </c>
      <c r="L238" s="284">
        <f t="shared" si="61"/>
        <v>0</v>
      </c>
    </row>
    <row r="239" spans="2:12" x14ac:dyDescent="0.3">
      <c r="C239" s="191" t="s">
        <v>362</v>
      </c>
      <c r="D239" s="183">
        <v>33</v>
      </c>
      <c r="E239" s="284">
        <f t="shared" ref="E239:L239" si="62">IF($D$224=5,E359,IF($D$224=4,E329,IF($D$224=2,E269,IF($D$224=3,E299,0))))</f>
        <v>0</v>
      </c>
      <c r="F239" s="284">
        <f t="shared" si="62"/>
        <v>0</v>
      </c>
      <c r="G239" s="284">
        <f t="shared" si="62"/>
        <v>0</v>
      </c>
      <c r="H239" s="284">
        <f t="shared" si="62"/>
        <v>0</v>
      </c>
      <c r="I239" s="284">
        <f t="shared" si="62"/>
        <v>0</v>
      </c>
      <c r="J239" s="284">
        <f t="shared" si="62"/>
        <v>0</v>
      </c>
      <c r="K239" s="284">
        <f t="shared" si="62"/>
        <v>0</v>
      </c>
      <c r="L239" s="284">
        <f t="shared" si="62"/>
        <v>0</v>
      </c>
    </row>
    <row r="240" spans="2:12" x14ac:dyDescent="0.3">
      <c r="C240" s="191" t="s">
        <v>363</v>
      </c>
      <c r="D240" s="183">
        <v>55</v>
      </c>
      <c r="E240" s="284">
        <f t="shared" ref="E240:L240" si="63">IF($D$224=5,E360,IF($D$224=4,E330,IF($D$224=2,E270,IF($D$224=3,E300,0))))</f>
        <v>0</v>
      </c>
      <c r="F240" s="284">
        <f t="shared" si="63"/>
        <v>0</v>
      </c>
      <c r="G240" s="284">
        <f t="shared" si="63"/>
        <v>0</v>
      </c>
      <c r="H240" s="284">
        <f t="shared" si="63"/>
        <v>0</v>
      </c>
      <c r="I240" s="284">
        <f t="shared" si="63"/>
        <v>0</v>
      </c>
      <c r="J240" s="284">
        <f t="shared" si="63"/>
        <v>0</v>
      </c>
      <c r="K240" s="284">
        <f t="shared" si="63"/>
        <v>0</v>
      </c>
      <c r="L240" s="284">
        <f t="shared" si="63"/>
        <v>0</v>
      </c>
    </row>
    <row r="241" spans="2:12" x14ac:dyDescent="0.3">
      <c r="C241" s="259" t="s">
        <v>204</v>
      </c>
      <c r="D241" s="251">
        <v>101</v>
      </c>
      <c r="E241" s="284">
        <f t="shared" ref="E241:L241" si="64">IF($D$224=5,E361,IF($D$224=4,E331,IF($D$224=2,E271,IF($D$224=3,E301,0))))</f>
        <v>0</v>
      </c>
      <c r="F241" s="284">
        <f t="shared" si="64"/>
        <v>0</v>
      </c>
      <c r="G241" s="284">
        <f t="shared" si="64"/>
        <v>0</v>
      </c>
      <c r="H241" s="284">
        <f t="shared" si="64"/>
        <v>0</v>
      </c>
      <c r="I241" s="284">
        <f t="shared" si="64"/>
        <v>0</v>
      </c>
      <c r="J241" s="284">
        <f t="shared" si="64"/>
        <v>0</v>
      </c>
      <c r="K241" s="284">
        <f t="shared" si="64"/>
        <v>0</v>
      </c>
      <c r="L241" s="284">
        <f t="shared" si="64"/>
        <v>0</v>
      </c>
    </row>
    <row r="242" spans="2:12" x14ac:dyDescent="0.3">
      <c r="C242" s="259" t="s">
        <v>364</v>
      </c>
      <c r="D242" s="251">
        <v>102</v>
      </c>
      <c r="E242" s="284">
        <f t="shared" ref="E242:L242" si="65">IF($D$224=5,E362,IF($D$224=4,E332,IF($D$224=2,E272,IF($D$224=3,E302,0))))</f>
        <v>0</v>
      </c>
      <c r="F242" s="284">
        <f t="shared" si="65"/>
        <v>0</v>
      </c>
      <c r="G242" s="284">
        <f t="shared" si="65"/>
        <v>0</v>
      </c>
      <c r="H242" s="284">
        <f t="shared" si="65"/>
        <v>0</v>
      </c>
      <c r="I242" s="284">
        <f t="shared" si="65"/>
        <v>0</v>
      </c>
      <c r="J242" s="284">
        <f t="shared" si="65"/>
        <v>0</v>
      </c>
      <c r="K242" s="284">
        <f t="shared" si="65"/>
        <v>0</v>
      </c>
      <c r="L242" s="284">
        <f t="shared" si="65"/>
        <v>0</v>
      </c>
    </row>
    <row r="243" spans="2:12" x14ac:dyDescent="0.3">
      <c r="C243" s="259" t="s">
        <v>457</v>
      </c>
      <c r="D243" s="251">
        <v>103</v>
      </c>
      <c r="E243" s="284">
        <f t="shared" ref="E243:L243" si="66">IF($D$224=5,E363,IF($D$224=4,E333,IF($D$224=2,E273,IF($D$224=3,E303,0))))</f>
        <v>0</v>
      </c>
      <c r="F243" s="284">
        <f t="shared" si="66"/>
        <v>0</v>
      </c>
      <c r="G243" s="284">
        <f t="shared" si="66"/>
        <v>0</v>
      </c>
      <c r="H243" s="284">
        <f t="shared" si="66"/>
        <v>0</v>
      </c>
      <c r="I243" s="284">
        <f t="shared" si="66"/>
        <v>0</v>
      </c>
      <c r="J243" s="284">
        <f t="shared" si="66"/>
        <v>0</v>
      </c>
      <c r="K243" s="284">
        <f t="shared" si="66"/>
        <v>0</v>
      </c>
      <c r="L243" s="284">
        <f t="shared" si="66"/>
        <v>0</v>
      </c>
    </row>
    <row r="244" spans="2:12" x14ac:dyDescent="0.3">
      <c r="C244" s="260" t="s">
        <v>110</v>
      </c>
      <c r="D244" s="252">
        <v>104</v>
      </c>
      <c r="E244" s="284">
        <f t="shared" ref="E244:L244" si="67">IF($D$224=5,E364,IF($D$224=4,E334,IF($D$224=2,E274,IF($D$224=3,E304,0))))</f>
        <v>0</v>
      </c>
      <c r="F244" s="284">
        <f t="shared" si="67"/>
        <v>0</v>
      </c>
      <c r="G244" s="284">
        <f t="shared" si="67"/>
        <v>0</v>
      </c>
      <c r="H244" s="284">
        <f t="shared" si="67"/>
        <v>0</v>
      </c>
      <c r="I244" s="284">
        <f t="shared" si="67"/>
        <v>0</v>
      </c>
      <c r="J244" s="284">
        <f t="shared" si="67"/>
        <v>0</v>
      </c>
      <c r="K244" s="284">
        <f t="shared" si="67"/>
        <v>0</v>
      </c>
      <c r="L244" s="284">
        <f t="shared" si="67"/>
        <v>0</v>
      </c>
    </row>
    <row r="245" spans="2:12" x14ac:dyDescent="0.3">
      <c r="C245" s="259" t="s">
        <v>53</v>
      </c>
      <c r="D245" s="251">
        <v>105</v>
      </c>
      <c r="E245" s="284">
        <f t="shared" ref="E245:L245" si="68">IF($D$224=5,E365,IF($D$224=4,E335,IF($D$224=2,E275,IF($D$224=3,E305,0))))</f>
        <v>0</v>
      </c>
      <c r="F245" s="284">
        <f t="shared" si="68"/>
        <v>0</v>
      </c>
      <c r="G245" s="284">
        <f t="shared" si="68"/>
        <v>0</v>
      </c>
      <c r="H245" s="284">
        <f t="shared" si="68"/>
        <v>0</v>
      </c>
      <c r="I245" s="284">
        <f t="shared" si="68"/>
        <v>0</v>
      </c>
      <c r="J245" s="284">
        <f t="shared" si="68"/>
        <v>0</v>
      </c>
      <c r="K245" s="284">
        <f t="shared" si="68"/>
        <v>0</v>
      </c>
      <c r="L245" s="284">
        <f t="shared" si="68"/>
        <v>0</v>
      </c>
    </row>
    <row r="246" spans="2:12" x14ac:dyDescent="0.3">
      <c r="C246" s="259" t="s">
        <v>666</v>
      </c>
      <c r="D246" s="251">
        <v>106</v>
      </c>
      <c r="E246" s="284">
        <f t="shared" ref="E246:L246" si="69">IF($D$224=5,E366,IF($D$224=4,E336,IF($D$224=2,E276,IF($D$224=3,E306,0))))</f>
        <v>0</v>
      </c>
      <c r="F246" s="284">
        <f t="shared" si="69"/>
        <v>0</v>
      </c>
      <c r="G246" s="284">
        <f t="shared" si="69"/>
        <v>0</v>
      </c>
      <c r="H246" s="284">
        <f t="shared" si="69"/>
        <v>0</v>
      </c>
      <c r="I246" s="284">
        <f t="shared" si="69"/>
        <v>0</v>
      </c>
      <c r="J246" s="284">
        <f t="shared" si="69"/>
        <v>0</v>
      </c>
      <c r="K246" s="284">
        <f t="shared" si="69"/>
        <v>0</v>
      </c>
      <c r="L246" s="284">
        <f t="shared" si="69"/>
        <v>0</v>
      </c>
    </row>
    <row r="247" spans="2:12" x14ac:dyDescent="0.3">
      <c r="C247" s="183" t="s">
        <v>321</v>
      </c>
      <c r="D247" s="253" t="s">
        <v>293</v>
      </c>
      <c r="E247" s="284">
        <f t="shared" ref="E247:L247" si="70">IF($D$224=5,E367,IF($D$224=4,E337,IF($D$224=2,E277,IF($D$224=3,E307,0))))</f>
        <v>0</v>
      </c>
      <c r="F247" s="284">
        <f t="shared" si="70"/>
        <v>0</v>
      </c>
      <c r="G247" s="284">
        <f t="shared" si="70"/>
        <v>0</v>
      </c>
      <c r="H247" s="284">
        <f t="shared" si="70"/>
        <v>0</v>
      </c>
      <c r="I247" s="284">
        <f t="shared" si="70"/>
        <v>0</v>
      </c>
      <c r="J247" s="284">
        <f t="shared" si="70"/>
        <v>0</v>
      </c>
      <c r="K247" s="284">
        <f t="shared" si="70"/>
        <v>0</v>
      </c>
      <c r="L247" s="284">
        <f t="shared" si="70"/>
        <v>0</v>
      </c>
    </row>
    <row r="248" spans="2:12" x14ac:dyDescent="0.3">
      <c r="C248" s="191" t="s">
        <v>650</v>
      </c>
      <c r="D248" s="253" t="s">
        <v>75</v>
      </c>
      <c r="E248" s="284">
        <f t="shared" ref="E248:L248" si="71">IF($D$224=5,E368,IF($D$224=4,E338,IF($D$224=2,E278,IF($D$224=3,E308,0))))</f>
        <v>0</v>
      </c>
      <c r="F248" s="284">
        <f t="shared" si="71"/>
        <v>0</v>
      </c>
      <c r="G248" s="284">
        <f t="shared" si="71"/>
        <v>0</v>
      </c>
      <c r="H248" s="284">
        <f t="shared" si="71"/>
        <v>0</v>
      </c>
      <c r="I248" s="284">
        <f t="shared" si="71"/>
        <v>0</v>
      </c>
      <c r="J248" s="284">
        <f t="shared" si="71"/>
        <v>0</v>
      </c>
      <c r="K248" s="284">
        <f t="shared" si="71"/>
        <v>0</v>
      </c>
      <c r="L248" s="284">
        <f t="shared" si="71"/>
        <v>0</v>
      </c>
    </row>
    <row r="249" spans="2:12" x14ac:dyDescent="0.3">
      <c r="C249" s="279" t="s">
        <v>323</v>
      </c>
      <c r="D249" s="253" t="s">
        <v>75</v>
      </c>
      <c r="E249" s="284">
        <f t="shared" ref="E249:L249" si="72">IF($D$224=5,E369,IF($D$224=4,E339,IF($D$224=2,E279,IF($D$224=3,E309,0))))</f>
        <v>0</v>
      </c>
      <c r="F249" s="284">
        <f t="shared" si="72"/>
        <v>0</v>
      </c>
      <c r="G249" s="284">
        <f t="shared" si="72"/>
        <v>0</v>
      </c>
      <c r="H249" s="284">
        <f t="shared" si="72"/>
        <v>0</v>
      </c>
      <c r="I249" s="284">
        <f t="shared" si="72"/>
        <v>0</v>
      </c>
      <c r="J249" s="284">
        <f t="shared" si="72"/>
        <v>0</v>
      </c>
      <c r="K249" s="284">
        <f t="shared" si="72"/>
        <v>0</v>
      </c>
      <c r="L249" s="284">
        <f t="shared" si="72"/>
        <v>0</v>
      </c>
    </row>
    <row r="250" spans="2:12" x14ac:dyDescent="0.3">
      <c r="C250" s="279" t="s">
        <v>324</v>
      </c>
      <c r="D250" s="253" t="s">
        <v>75</v>
      </c>
      <c r="E250" s="284">
        <f t="shared" ref="E250:L250" si="73">IF($D$224=5,E370,IF($D$224=4,E340,IF($D$224=2,E280,IF($D$224=3,E310,0))))</f>
        <v>0</v>
      </c>
      <c r="F250" s="284">
        <f t="shared" si="73"/>
        <v>0</v>
      </c>
      <c r="G250" s="284">
        <f t="shared" si="73"/>
        <v>0</v>
      </c>
      <c r="H250" s="284">
        <f t="shared" si="73"/>
        <v>0</v>
      </c>
      <c r="I250" s="284">
        <f t="shared" si="73"/>
        <v>0</v>
      </c>
      <c r="J250" s="284">
        <f t="shared" si="73"/>
        <v>0</v>
      </c>
      <c r="K250" s="284">
        <f t="shared" si="73"/>
        <v>0</v>
      </c>
      <c r="L250" s="284">
        <f t="shared" si="73"/>
        <v>0</v>
      </c>
    </row>
    <row r="251" spans="2:12" x14ac:dyDescent="0.3">
      <c r="C251" s="280" t="s">
        <v>325</v>
      </c>
      <c r="D251" s="253" t="s">
        <v>75</v>
      </c>
      <c r="E251" s="284">
        <f t="shared" ref="E251:L251" si="74">IF($D$224=5,E371,IF($D$224=4,E341,IF($D$224=2,E281,IF($D$224=3,E311,0))))</f>
        <v>0</v>
      </c>
      <c r="F251" s="284">
        <f t="shared" si="74"/>
        <v>0</v>
      </c>
      <c r="G251" s="284">
        <f t="shared" si="74"/>
        <v>0</v>
      </c>
      <c r="H251" s="284">
        <f t="shared" si="74"/>
        <v>0</v>
      </c>
      <c r="I251" s="284">
        <f t="shared" si="74"/>
        <v>0</v>
      </c>
      <c r="J251" s="284">
        <f t="shared" si="74"/>
        <v>0</v>
      </c>
      <c r="K251" s="284">
        <f t="shared" si="74"/>
        <v>0</v>
      </c>
      <c r="L251" s="284">
        <f t="shared" si="74"/>
        <v>0</v>
      </c>
    </row>
    <row r="252" spans="2:12" x14ac:dyDescent="0.3">
      <c r="C252" s="280" t="s">
        <v>541</v>
      </c>
      <c r="D252" s="253" t="s">
        <v>75</v>
      </c>
      <c r="E252" s="284">
        <f t="shared" ref="E252:L252" si="75">IF($D$224=5,E372,IF($D$224=4,E342,IF($D$224=2,E282,IF($D$224=3,E312,0))))</f>
        <v>0</v>
      </c>
      <c r="F252" s="284">
        <f t="shared" si="75"/>
        <v>0</v>
      </c>
      <c r="G252" s="284">
        <f t="shared" si="75"/>
        <v>0</v>
      </c>
      <c r="H252" s="284">
        <f t="shared" si="75"/>
        <v>0</v>
      </c>
      <c r="I252" s="284">
        <f t="shared" si="75"/>
        <v>0</v>
      </c>
      <c r="J252" s="284">
        <f t="shared" si="75"/>
        <v>0</v>
      </c>
      <c r="K252" s="284">
        <f t="shared" si="75"/>
        <v>0</v>
      </c>
      <c r="L252" s="284">
        <f t="shared" si="75"/>
        <v>0</v>
      </c>
    </row>
    <row r="253" spans="2:12" x14ac:dyDescent="0.3">
      <c r="C253" s="301" t="s">
        <v>326</v>
      </c>
      <c r="D253" s="253" t="s">
        <v>306</v>
      </c>
      <c r="E253" s="284">
        <f t="shared" ref="E253:L253" si="76">IF($D$224=5,E373,IF($D$224=4,E343,IF($D$224=2,E283,IF($D$224=3,E313,0))))</f>
        <v>0</v>
      </c>
      <c r="F253" s="284">
        <f t="shared" si="76"/>
        <v>0</v>
      </c>
      <c r="G253" s="284">
        <f t="shared" si="76"/>
        <v>0</v>
      </c>
      <c r="H253" s="284">
        <f t="shared" si="76"/>
        <v>0</v>
      </c>
      <c r="I253" s="284">
        <f t="shared" si="76"/>
        <v>0</v>
      </c>
      <c r="J253" s="284">
        <f t="shared" si="76"/>
        <v>0</v>
      </c>
      <c r="K253" s="284">
        <f t="shared" si="76"/>
        <v>0</v>
      </c>
      <c r="L253" s="284">
        <f t="shared" si="76"/>
        <v>0</v>
      </c>
    </row>
    <row r="254" spans="2:12" x14ac:dyDescent="0.3">
      <c r="C254" s="301" t="s">
        <v>387</v>
      </c>
      <c r="D254" s="253" t="s">
        <v>388</v>
      </c>
      <c r="E254" s="284">
        <f t="shared" ref="E254:L254" si="77">IF($D$224=5,E374,IF($D$224=4,E344,IF($D$224=2,E284,IF($D$224=3,E314,0))))</f>
        <v>0</v>
      </c>
      <c r="F254" s="284">
        <f t="shared" si="77"/>
        <v>0</v>
      </c>
      <c r="G254" s="284">
        <f t="shared" si="77"/>
        <v>0</v>
      </c>
      <c r="H254" s="284">
        <f t="shared" si="77"/>
        <v>0</v>
      </c>
      <c r="I254" s="284">
        <f t="shared" si="77"/>
        <v>0</v>
      </c>
      <c r="J254" s="284">
        <f t="shared" si="77"/>
        <v>0</v>
      </c>
      <c r="K254" s="284">
        <f t="shared" si="77"/>
        <v>0</v>
      </c>
      <c r="L254" s="284">
        <f t="shared" si="77"/>
        <v>0</v>
      </c>
    </row>
    <row r="255" spans="2:12" x14ac:dyDescent="0.3">
      <c r="H255" s="113"/>
    </row>
    <row r="256" spans="2:12" ht="11.25" customHeight="1" x14ac:dyDescent="0.3">
      <c r="B256" s="106"/>
      <c r="C256" s="283" t="s">
        <v>635</v>
      </c>
      <c r="D256" s="119"/>
      <c r="E256" s="195"/>
      <c r="F256" s="106"/>
      <c r="G256" s="112"/>
    </row>
    <row r="257" spans="3:12" x14ac:dyDescent="0.3">
      <c r="C257" s="282" t="s">
        <v>259</v>
      </c>
      <c r="D257" s="253" t="s">
        <v>318</v>
      </c>
      <c r="E257" s="183">
        <v>2015</v>
      </c>
      <c r="F257" s="183">
        <v>2020</v>
      </c>
      <c r="G257" s="183">
        <v>2025</v>
      </c>
      <c r="H257" s="183">
        <v>2030</v>
      </c>
      <c r="I257" s="183">
        <v>2035</v>
      </c>
      <c r="J257" s="183">
        <v>2040</v>
      </c>
      <c r="K257" s="183">
        <v>2045</v>
      </c>
      <c r="L257" s="183">
        <v>2050</v>
      </c>
    </row>
    <row r="258" spans="3:12" x14ac:dyDescent="0.3">
      <c r="C258" s="191" t="s">
        <v>231</v>
      </c>
      <c r="D258" s="183">
        <v>1</v>
      </c>
      <c r="E258" s="284">
        <f>VLOOKUP($D258,Elekter!$C$189:$K$207,Elekter!D$188)</f>
        <v>0</v>
      </c>
      <c r="F258" s="284">
        <f>VLOOKUP($D258,Elekter!$C$189:$K$207,Elekter!E$188)</f>
        <v>0</v>
      </c>
      <c r="G258" s="284">
        <f>VLOOKUP($D258,Elekter!$C$189:$K$207,Elekter!F$188)</f>
        <v>0</v>
      </c>
      <c r="H258" s="284">
        <f>VLOOKUP($D258,Elekter!$C$189:$K$207,Elekter!G$188)</f>
        <v>-7.3485200931489025E-4</v>
      </c>
      <c r="I258" s="284">
        <f>VLOOKUP($D258,Elekter!$C$189:$K$207,Elekter!H$188)</f>
        <v>0</v>
      </c>
      <c r="J258" s="284">
        <f>VLOOKUP($D258,Elekter!$C$189:$K$207,Elekter!I$188)</f>
        <v>0</v>
      </c>
      <c r="K258" s="284">
        <f>VLOOKUP($D258,Elekter!$C$189:$K$207,Elekter!J$188)</f>
        <v>0</v>
      </c>
      <c r="L258" s="284">
        <f>VLOOKUP($D258,Elekter!$C$189:$K$207,Elekter!K$188)</f>
        <v>0</v>
      </c>
    </row>
    <row r="259" spans="3:12" x14ac:dyDescent="0.3">
      <c r="C259" s="191" t="s">
        <v>209</v>
      </c>
      <c r="D259" s="183">
        <v>2</v>
      </c>
      <c r="E259" s="284">
        <f>VLOOKUP($D259,Elekter!$C$189:$K$207,Elekter!D$188)</f>
        <v>0</v>
      </c>
      <c r="F259" s="284">
        <f>VLOOKUP($D259,Elekter!$C$189:$K$207,Elekter!E$188)</f>
        <v>0</v>
      </c>
      <c r="G259" s="284">
        <f>VLOOKUP($D259,Elekter!$C$189:$K$207,Elekter!F$188)</f>
        <v>0</v>
      </c>
      <c r="H259" s="284">
        <f>VLOOKUP($D259,Elekter!$C$189:$K$207,Elekter!G$188)</f>
        <v>1.0454699461206474E-2</v>
      </c>
      <c r="I259" s="284">
        <f>VLOOKUP($D259,Elekter!$C$189:$K$207,Elekter!H$188)</f>
        <v>0.24687515092919909</v>
      </c>
      <c r="J259" s="284">
        <f>VLOOKUP($D259,Elekter!$C$189:$K$207,Elekter!I$188)</f>
        <v>3.2072333695168709E-2</v>
      </c>
      <c r="K259" s="284">
        <f>VLOOKUP($D259,Elekter!$C$189:$K$207,Elekter!J$188)</f>
        <v>-10.635892950454902</v>
      </c>
      <c r="L259" s="284">
        <f>VLOOKUP($D259,Elekter!$C$189:$K$207,Elekter!K$188)</f>
        <v>-2.0997760997041723</v>
      </c>
    </row>
    <row r="260" spans="3:12" x14ac:dyDescent="0.3">
      <c r="C260" s="191" t="s">
        <v>417</v>
      </c>
      <c r="D260" s="183">
        <v>4</v>
      </c>
      <c r="E260" s="284">
        <f>VLOOKUP($D260,Elekter!$C$189:$K$207,Elekter!D$188)</f>
        <v>0</v>
      </c>
      <c r="F260" s="284">
        <f>VLOOKUP($D260,Elekter!$C$189:$K$207,Elekter!E$188)</f>
        <v>-1.5631940186722204E-13</v>
      </c>
      <c r="G260" s="284">
        <f>VLOOKUP($D260,Elekter!$C$189:$K$207,Elekter!F$188)</f>
        <v>0</v>
      </c>
      <c r="H260" s="284">
        <f>VLOOKUP($D260,Elekter!$C$189:$K$207,Elekter!G$188)</f>
        <v>0</v>
      </c>
      <c r="I260" s="284">
        <f>VLOOKUP($D260,Elekter!$C$189:$K$207,Elekter!H$188)</f>
        <v>0</v>
      </c>
      <c r="J260" s="284">
        <f>VLOOKUP($D260,Elekter!$C$189:$K$207,Elekter!I$188)</f>
        <v>0</v>
      </c>
      <c r="K260" s="284">
        <f>VLOOKUP($D260,Elekter!$C$189:$K$207,Elekter!J$188)</f>
        <v>0</v>
      </c>
      <c r="L260" s="284">
        <f>VLOOKUP($D260,Elekter!$C$189:$K$207,Elekter!K$188)</f>
        <v>0</v>
      </c>
    </row>
    <row r="261" spans="3:12" x14ac:dyDescent="0.3">
      <c r="C261" s="191" t="s">
        <v>124</v>
      </c>
      <c r="D261" s="183">
        <v>10</v>
      </c>
      <c r="E261" s="284">
        <f>VLOOKUP($D261,Elekter!$C$189:$K$207,Elekter!D$188)</f>
        <v>0</v>
      </c>
      <c r="F261" s="284">
        <f>VLOOKUP($D261,Elekter!$C$189:$K$207,Elekter!E$188)</f>
        <v>0</v>
      </c>
      <c r="G261" s="284">
        <f>VLOOKUP($D261,Elekter!$C$189:$K$207,Elekter!F$188)</f>
        <v>0</v>
      </c>
      <c r="H261" s="284">
        <f>VLOOKUP($D261,Elekter!$C$189:$K$207,Elekter!G$188)</f>
        <v>0</v>
      </c>
      <c r="I261" s="284">
        <f>VLOOKUP($D261,Elekter!$C$189:$K$207,Elekter!H$188)</f>
        <v>0</v>
      </c>
      <c r="J261" s="284">
        <f>VLOOKUP($D261,Elekter!$C$189:$K$207,Elekter!I$188)</f>
        <v>0</v>
      </c>
      <c r="K261" s="284">
        <f>VLOOKUP($D261,Elekter!$C$189:$K$207,Elekter!J$188)</f>
        <v>0</v>
      </c>
      <c r="L261" s="284">
        <f>VLOOKUP($D261,Elekter!$C$189:$K$207,Elekter!K$188)</f>
        <v>0</v>
      </c>
    </row>
    <row r="262" spans="3:12" x14ac:dyDescent="0.3">
      <c r="C262" s="191" t="s">
        <v>133</v>
      </c>
      <c r="D262" s="183">
        <v>23</v>
      </c>
      <c r="E262" s="284">
        <f>VLOOKUP($D262,Elekter!$C$189:$K$207,Elekter!D$188)</f>
        <v>0</v>
      </c>
      <c r="F262" s="284">
        <f>VLOOKUP($D262,Elekter!$C$189:$K$207,Elekter!E$188)</f>
        <v>0</v>
      </c>
      <c r="G262" s="284">
        <f>VLOOKUP($D262,Elekter!$C$189:$K$207,Elekter!F$188)</f>
        <v>0</v>
      </c>
      <c r="H262" s="284">
        <f>VLOOKUP($D262,Elekter!$C$189:$K$207,Elekter!G$188)</f>
        <v>4.5709631236334758E-3</v>
      </c>
      <c r="I262" s="284">
        <f>VLOOKUP($D262,Elekter!$C$189:$K$207,Elekter!H$188)</f>
        <v>-0.17389154135335971</v>
      </c>
      <c r="J262" s="284">
        <f>VLOOKUP($D262,Elekter!$C$189:$K$207,Elekter!I$188)</f>
        <v>-5.8140057106633947E-2</v>
      </c>
      <c r="K262" s="284">
        <f>VLOOKUP($D262,Elekter!$C$189:$K$207,Elekter!J$188)</f>
        <v>3.7013936091311805</v>
      </c>
      <c r="L262" s="284">
        <f>VLOOKUP($D262,Elekter!$C$189:$K$207,Elekter!K$188)</f>
        <v>5.1263362353475515</v>
      </c>
    </row>
    <row r="263" spans="3:12" x14ac:dyDescent="0.3">
      <c r="C263" s="191" t="s">
        <v>285</v>
      </c>
      <c r="D263" s="183">
        <v>24</v>
      </c>
      <c r="E263" s="284">
        <f>VLOOKUP($D263,Elekter!$C$189:$K$207,Elekter!D$188)</f>
        <v>0</v>
      </c>
      <c r="F263" s="284">
        <f>VLOOKUP($D263,Elekter!$C$189:$K$207,Elekter!E$188)</f>
        <v>0</v>
      </c>
      <c r="G263" s="284">
        <f>VLOOKUP($D263,Elekter!$C$189:$K$207,Elekter!F$188)</f>
        <v>0</v>
      </c>
      <c r="H263" s="284">
        <f>VLOOKUP($D263,Elekter!$C$189:$K$207,Elekter!G$188)</f>
        <v>0</v>
      </c>
      <c r="I263" s="284">
        <f>VLOOKUP($D263,Elekter!$C$189:$K$207,Elekter!H$188)</f>
        <v>0</v>
      </c>
      <c r="J263" s="284">
        <f>VLOOKUP($D263,Elekter!$C$189:$K$207,Elekter!I$188)</f>
        <v>0</v>
      </c>
      <c r="K263" s="284">
        <f>VLOOKUP($D263,Elekter!$C$189:$K$207,Elekter!J$188)</f>
        <v>0</v>
      </c>
      <c r="L263" s="284">
        <f>VLOOKUP($D263,Elekter!$C$189:$K$207,Elekter!K$188)</f>
        <v>0</v>
      </c>
    </row>
    <row r="264" spans="3:12" x14ac:dyDescent="0.3">
      <c r="C264" s="191" t="s">
        <v>315</v>
      </c>
      <c r="D264" s="183">
        <v>26</v>
      </c>
      <c r="E264" s="284">
        <f>VLOOKUP($D264,Elekter!$C$189:$K$207,Elekter!D$188)</f>
        <v>0</v>
      </c>
      <c r="F264" s="284">
        <f>VLOOKUP($D264,Elekter!$C$189:$K$207,Elekter!E$188)</f>
        <v>0</v>
      </c>
      <c r="G264" s="284">
        <f>VLOOKUP($D264,Elekter!$C$189:$K$207,Elekter!F$188)</f>
        <v>0</v>
      </c>
      <c r="H264" s="284">
        <f>VLOOKUP($D264,Elekter!$C$189:$K$207,Elekter!G$188)</f>
        <v>0</v>
      </c>
      <c r="I264" s="284">
        <f>VLOOKUP($D264,Elekter!$C$189:$K$207,Elekter!H$188)</f>
        <v>0</v>
      </c>
      <c r="J264" s="284">
        <f>VLOOKUP($D264,Elekter!$C$189:$K$207,Elekter!I$188)</f>
        <v>0</v>
      </c>
      <c r="K264" s="284">
        <f>VLOOKUP($D264,Elekter!$C$189:$K$207,Elekter!J$188)</f>
        <v>0</v>
      </c>
      <c r="L264" s="284">
        <f>VLOOKUP($D264,Elekter!$C$189:$K$207,Elekter!K$188)</f>
        <v>0</v>
      </c>
    </row>
    <row r="265" spans="3:12" x14ac:dyDescent="0.3">
      <c r="C265" s="191" t="s">
        <v>38</v>
      </c>
      <c r="D265" s="183">
        <v>29</v>
      </c>
      <c r="E265" s="284">
        <f>VLOOKUP($D265,Elekter!$C$189:$K$207,Elekter!D$188)</f>
        <v>0</v>
      </c>
      <c r="F265" s="284">
        <f>VLOOKUP($D265,Elekter!$C$189:$K$207,Elekter!E$188)</f>
        <v>0</v>
      </c>
      <c r="G265" s="284">
        <f>VLOOKUP($D265,Elekter!$C$189:$K$207,Elekter!F$188)</f>
        <v>1.3536714226188167</v>
      </c>
      <c r="H265" s="284">
        <f>VLOOKUP($D265,Elekter!$C$189:$K$207,Elekter!G$188)</f>
        <v>1.5236543745444919E-3</v>
      </c>
      <c r="I265" s="284">
        <f>VLOOKUP($D265,Elekter!$C$189:$K$207,Elekter!H$188)</f>
        <v>-0.58129912814428131</v>
      </c>
      <c r="J265" s="284">
        <f>VLOOKUP($D265,Elekter!$C$189:$K$207,Elekter!I$188)</f>
        <v>0.26685648019415426</v>
      </c>
      <c r="K265" s="284">
        <f>VLOOKUP($D265,Elekter!$C$189:$K$207,Elekter!J$188)</f>
        <v>14.398066983330363</v>
      </c>
      <c r="L265" s="284">
        <f>VLOOKUP($D265,Elekter!$C$189:$K$207,Elekter!K$188)</f>
        <v>14.107885965096569</v>
      </c>
    </row>
    <row r="266" spans="3:12" x14ac:dyDescent="0.3">
      <c r="C266" s="191" t="s">
        <v>136</v>
      </c>
      <c r="D266" s="183">
        <v>30</v>
      </c>
      <c r="E266" s="284">
        <f>VLOOKUP($D266,Elekter!$C$189:$K$207,Elekter!D$188)</f>
        <v>0</v>
      </c>
      <c r="F266" s="284">
        <f>VLOOKUP($D266,Elekter!$C$189:$K$207,Elekter!E$188)</f>
        <v>0</v>
      </c>
      <c r="G266" s="284">
        <f>VLOOKUP($D266,Elekter!$C$189:$K$207,Elekter!F$188)</f>
        <v>0</v>
      </c>
      <c r="H266" s="284">
        <f>VLOOKUP($D266,Elekter!$C$189:$K$207,Elekter!G$188)</f>
        <v>0</v>
      </c>
      <c r="I266" s="284">
        <f>VLOOKUP($D266,Elekter!$C$189:$K$207,Elekter!H$188)</f>
        <v>0</v>
      </c>
      <c r="J266" s="284">
        <f>VLOOKUP($D266,Elekter!$C$189:$K$207,Elekter!I$188)</f>
        <v>0</v>
      </c>
      <c r="K266" s="284">
        <f>VLOOKUP($D266,Elekter!$C$189:$K$207,Elekter!J$188)</f>
        <v>0</v>
      </c>
      <c r="L266" s="284">
        <f>VLOOKUP($D266,Elekter!$C$189:$K$207,Elekter!K$188)</f>
        <v>0</v>
      </c>
    </row>
    <row r="267" spans="3:12" x14ac:dyDescent="0.3">
      <c r="C267" s="191" t="s">
        <v>360</v>
      </c>
      <c r="D267" s="183">
        <v>31</v>
      </c>
      <c r="E267" s="284">
        <f>VLOOKUP($D267,Elekter!$C$189:$K$207,Elekter!D$188)</f>
        <v>0</v>
      </c>
      <c r="F267" s="284">
        <f>VLOOKUP($D267,Elekter!$C$189:$K$207,Elekter!E$188)</f>
        <v>0</v>
      </c>
      <c r="G267" s="284">
        <f>VLOOKUP($D267,Elekter!$C$189:$K$207,Elekter!F$188)</f>
        <v>0</v>
      </c>
      <c r="H267" s="284">
        <f>VLOOKUP($D267,Elekter!$C$189:$K$207,Elekter!G$188)</f>
        <v>0</v>
      </c>
      <c r="I267" s="284">
        <f>VLOOKUP($D267,Elekter!$C$189:$K$207,Elekter!H$188)</f>
        <v>0</v>
      </c>
      <c r="J267" s="284">
        <f>VLOOKUP($D267,Elekter!$C$189:$K$207,Elekter!I$188)</f>
        <v>0</v>
      </c>
      <c r="K267" s="284">
        <f>VLOOKUP($D267,Elekter!$C$189:$K$207,Elekter!J$188)</f>
        <v>0</v>
      </c>
      <c r="L267" s="284">
        <f>VLOOKUP($D267,Elekter!$C$189:$K$207,Elekter!K$188)</f>
        <v>0</v>
      </c>
    </row>
    <row r="268" spans="3:12" x14ac:dyDescent="0.3">
      <c r="C268" s="191" t="s">
        <v>361</v>
      </c>
      <c r="D268" s="183">
        <v>32</v>
      </c>
      <c r="E268" s="284">
        <f>VLOOKUP($D268,Elekter!$C$189:$K$207,Elekter!D$188)</f>
        <v>0</v>
      </c>
      <c r="F268" s="284">
        <f>VLOOKUP($D268,Elekter!$C$189:$K$207,Elekter!E$188)</f>
        <v>0</v>
      </c>
      <c r="G268" s="284">
        <f>VLOOKUP($D268,Elekter!$C$189:$K$207,Elekter!F$188)</f>
        <v>0</v>
      </c>
      <c r="H268" s="284">
        <f>VLOOKUP($D268,Elekter!$C$189:$K$207,Elekter!G$188)</f>
        <v>0</v>
      </c>
      <c r="I268" s="284">
        <f>VLOOKUP($D268,Elekter!$C$189:$K$207,Elekter!H$188)</f>
        <v>0</v>
      </c>
      <c r="J268" s="284">
        <f>VLOOKUP($D268,Elekter!$C$189:$K$207,Elekter!I$188)</f>
        <v>0</v>
      </c>
      <c r="K268" s="284">
        <f>VLOOKUP($D268,Elekter!$C$189:$K$207,Elekter!J$188)</f>
        <v>0</v>
      </c>
      <c r="L268" s="284">
        <f>VLOOKUP($D268,Elekter!$C$189:$K$207,Elekter!K$188)</f>
        <v>0</v>
      </c>
    </row>
    <row r="269" spans="3:12" x14ac:dyDescent="0.3">
      <c r="C269" s="191" t="s">
        <v>362</v>
      </c>
      <c r="D269" s="183">
        <v>33</v>
      </c>
      <c r="E269" s="284">
        <f>VLOOKUP($D269,Elekter!$C$189:$K$207,Elekter!D$188)</f>
        <v>0</v>
      </c>
      <c r="F269" s="284">
        <f>VLOOKUP($D269,Elekter!$C$189:$K$207,Elekter!E$188)</f>
        <v>0</v>
      </c>
      <c r="G269" s="284">
        <f>VLOOKUP($D269,Elekter!$C$189:$K$207,Elekter!F$188)</f>
        <v>0</v>
      </c>
      <c r="H269" s="284">
        <f>VLOOKUP($D269,Elekter!$C$189:$K$207,Elekter!G$188)</f>
        <v>0</v>
      </c>
      <c r="I269" s="284">
        <f>VLOOKUP($D269,Elekter!$C$189:$K$207,Elekter!H$188)</f>
        <v>0</v>
      </c>
      <c r="J269" s="284">
        <f>VLOOKUP($D269,Elekter!$C$189:$K$207,Elekter!I$188)</f>
        <v>0</v>
      </c>
      <c r="K269" s="284">
        <f>VLOOKUP($D269,Elekter!$C$189:$K$207,Elekter!J$188)</f>
        <v>0</v>
      </c>
      <c r="L269" s="284">
        <f>VLOOKUP($D269,Elekter!$C$189:$K$207,Elekter!K$188)</f>
        <v>0</v>
      </c>
    </row>
    <row r="270" spans="3:12" x14ac:dyDescent="0.3">
      <c r="C270" s="191" t="s">
        <v>363</v>
      </c>
      <c r="D270" s="183">
        <v>55</v>
      </c>
      <c r="E270" s="284">
        <f>VLOOKUP($D270,Elekter!$C$189:$K$207,Elekter!D$188)</f>
        <v>0</v>
      </c>
      <c r="F270" s="284">
        <f>VLOOKUP($D270,Elekter!$C$189:$K$207,Elekter!E$188)</f>
        <v>0</v>
      </c>
      <c r="G270" s="284">
        <f>VLOOKUP($D270,Elekter!$C$189:$K$207,Elekter!F$188)</f>
        <v>0</v>
      </c>
      <c r="H270" s="284">
        <f>VLOOKUP($D270,Elekter!$C$189:$K$207,Elekter!G$188)</f>
        <v>0</v>
      </c>
      <c r="I270" s="284">
        <f>VLOOKUP($D270,Elekter!$C$189:$K$207,Elekter!H$188)</f>
        <v>0</v>
      </c>
      <c r="J270" s="284">
        <f>VLOOKUP($D270,Elekter!$C$189:$K$207,Elekter!I$188)</f>
        <v>0</v>
      </c>
      <c r="K270" s="284">
        <f>VLOOKUP($D270,Elekter!$C$189:$K$207,Elekter!J$188)</f>
        <v>0</v>
      </c>
      <c r="L270" s="284">
        <f>VLOOKUP($D270,Elekter!$C$189:$K$207,Elekter!K$188)</f>
        <v>0</v>
      </c>
    </row>
    <row r="271" spans="3:12" x14ac:dyDescent="0.3">
      <c r="C271" s="259" t="s">
        <v>204</v>
      </c>
      <c r="D271" s="251">
        <v>101</v>
      </c>
      <c r="E271" s="284">
        <f>VLOOKUP($D271,Elekter!$C$189:$K$207,Elekter!D$188)</f>
        <v>0</v>
      </c>
      <c r="F271" s="284">
        <f>VLOOKUP($D271,Elekter!$C$189:$K$207,Elekter!E$188)</f>
        <v>1.7053025658242404E-13</v>
      </c>
      <c r="G271" s="284">
        <f>VLOOKUP($D271,Elekter!$C$189:$K$207,Elekter!F$188)</f>
        <v>-2.11756943273258E-2</v>
      </c>
      <c r="H271" s="284">
        <f>VLOOKUP($D271,Elekter!$C$189:$K$207,Elekter!G$188)</f>
        <v>0.12983721536993187</v>
      </c>
      <c r="I271" s="284">
        <f>VLOOKUP($D271,Elekter!$C$189:$K$207,Elekter!H$188)</f>
        <v>-0.48683277776358125</v>
      </c>
      <c r="J271" s="284">
        <f>VLOOKUP($D271,Elekter!$C$189:$K$207,Elekter!I$188)</f>
        <v>-0.31600511373838458</v>
      </c>
      <c r="K271" s="284">
        <f>VLOOKUP($D271,Elekter!$C$189:$K$207,Elekter!J$188)</f>
        <v>-57.011919381356215</v>
      </c>
      <c r="L271" s="284">
        <f>VLOOKUP($D271,Elekter!$C$189:$K$207,Elekter!K$188)</f>
        <v>-68.830275058376401</v>
      </c>
    </row>
    <row r="272" spans="3:12" x14ac:dyDescent="0.3">
      <c r="C272" s="259" t="s">
        <v>364</v>
      </c>
      <c r="D272" s="251">
        <v>102</v>
      </c>
      <c r="E272" s="284">
        <f>VLOOKUP($D272,Elekter!$C$189:$K$207,Elekter!D$188)</f>
        <v>0</v>
      </c>
      <c r="F272" s="284">
        <f>VLOOKUP($D272,Elekter!$C$189:$K$207,Elekter!E$188)</f>
        <v>0</v>
      </c>
      <c r="G272" s="284">
        <f>VLOOKUP($D272,Elekter!$C$189:$K$207,Elekter!F$188)</f>
        <v>0</v>
      </c>
      <c r="H272" s="284">
        <f>VLOOKUP($D272,Elekter!$C$189:$K$207,Elekter!G$188)</f>
        <v>0</v>
      </c>
      <c r="I272" s="284">
        <f>VLOOKUP($D272,Elekter!$C$189:$K$207,Elekter!H$188)</f>
        <v>0</v>
      </c>
      <c r="J272" s="284">
        <f>VLOOKUP($D272,Elekter!$C$189:$K$207,Elekter!I$188)</f>
        <v>0</v>
      </c>
      <c r="K272" s="284">
        <f>VLOOKUP($D272,Elekter!$C$189:$K$207,Elekter!J$188)</f>
        <v>0</v>
      </c>
      <c r="L272" s="284">
        <f>VLOOKUP($D272,Elekter!$C$189:$K$207,Elekter!K$188)</f>
        <v>0</v>
      </c>
    </row>
    <row r="273" spans="2:12" x14ac:dyDescent="0.3">
      <c r="C273" s="259" t="s">
        <v>457</v>
      </c>
      <c r="D273" s="251">
        <v>103</v>
      </c>
      <c r="E273" s="284">
        <f>VLOOKUP($D273,Elekter!$C$189:$K$207,Elekter!D$188)</f>
        <v>0</v>
      </c>
      <c r="F273" s="284">
        <f>VLOOKUP($D273,Elekter!$C$189:$K$207,Elekter!E$188)</f>
        <v>5.6970748549645123E-4</v>
      </c>
      <c r="G273" s="284">
        <f>VLOOKUP($D273,Elekter!$C$189:$K$207,Elekter!F$188)</f>
        <v>-2.046697124078861</v>
      </c>
      <c r="H273" s="284">
        <f>VLOOKUP($D273,Elekter!$C$189:$K$207,Elekter!G$188)</f>
        <v>-0.49112831732239215</v>
      </c>
      <c r="I273" s="284">
        <f>VLOOKUP($D273,Elekter!$C$189:$K$207,Elekter!H$188)</f>
        <v>-0.72604817340392536</v>
      </c>
      <c r="J273" s="284">
        <f>VLOOKUP($D273,Elekter!$C$189:$K$207,Elekter!I$188)</f>
        <v>-0.78837378026756544</v>
      </c>
      <c r="K273" s="284">
        <f>VLOOKUP($D273,Elekter!$C$189:$K$207,Elekter!J$188)</f>
        <v>-38.637392154831389</v>
      </c>
      <c r="L273" s="284">
        <f>VLOOKUP($D273,Elekter!$C$189:$K$207,Elekter!K$188)</f>
        <v>-43.299805609407201</v>
      </c>
    </row>
    <row r="274" spans="2:12" x14ac:dyDescent="0.3">
      <c r="C274" s="260" t="s">
        <v>110</v>
      </c>
      <c r="D274" s="252">
        <v>104</v>
      </c>
      <c r="E274" s="284">
        <f>VLOOKUP($D274,Elekter!$C$189:$K$207,Elekter!D$188)</f>
        <v>0</v>
      </c>
      <c r="F274" s="284">
        <f>VLOOKUP($D274,Elekter!$C$189:$K$207,Elekter!E$188)</f>
        <v>0</v>
      </c>
      <c r="G274" s="284">
        <f>VLOOKUP($D274,Elekter!$C$189:$K$207,Elekter!F$188)</f>
        <v>0</v>
      </c>
      <c r="H274" s="284">
        <f>VLOOKUP($D274,Elekter!$C$189:$K$207,Elekter!G$188)</f>
        <v>0</v>
      </c>
      <c r="I274" s="284">
        <f>VLOOKUP($D274,Elekter!$C$189:$K$207,Elekter!H$188)</f>
        <v>0</v>
      </c>
      <c r="J274" s="284">
        <f>VLOOKUP($D274,Elekter!$C$189:$K$207,Elekter!I$188)</f>
        <v>0</v>
      </c>
      <c r="K274" s="284">
        <f>VLOOKUP($D274,Elekter!$C$189:$K$207,Elekter!J$188)</f>
        <v>0</v>
      </c>
      <c r="L274" s="284">
        <f>VLOOKUP($D274,Elekter!$C$189:$K$207,Elekter!K$188)</f>
        <v>0</v>
      </c>
    </row>
    <row r="275" spans="2:12" x14ac:dyDescent="0.3">
      <c r="C275" s="259" t="s">
        <v>53</v>
      </c>
      <c r="D275" s="251">
        <v>105</v>
      </c>
      <c r="E275" s="284">
        <f>VLOOKUP($D275,Elekter!$C$189:$K$207,Elekter!D$188)</f>
        <v>0</v>
      </c>
      <c r="F275" s="284">
        <f>VLOOKUP($D275,Elekter!$C$189:$K$207,Elekter!E$188)</f>
        <v>0</v>
      </c>
      <c r="G275" s="284">
        <f>VLOOKUP($D275,Elekter!$C$189:$K$207,Elekter!F$188)</f>
        <v>0</v>
      </c>
      <c r="H275" s="284">
        <f>VLOOKUP($D275,Elekter!$C$189:$K$207,Elekter!G$188)</f>
        <v>0</v>
      </c>
      <c r="I275" s="284">
        <f>VLOOKUP($D275,Elekter!$C$189:$K$207,Elekter!H$188)</f>
        <v>0</v>
      </c>
      <c r="J275" s="284">
        <f>VLOOKUP($D275,Elekter!$C$189:$K$207,Elekter!I$188)</f>
        <v>0</v>
      </c>
      <c r="K275" s="284">
        <f>VLOOKUP($D275,Elekter!$C$189:$K$207,Elekter!J$188)</f>
        <v>-164.55336392024958</v>
      </c>
      <c r="L275" s="284">
        <f>VLOOKUP($D275,Elekter!$C$189:$K$207,Elekter!K$188)</f>
        <v>-154.98884024975897</v>
      </c>
    </row>
    <row r="276" spans="2:12" x14ac:dyDescent="0.3">
      <c r="C276" s="259" t="s">
        <v>666</v>
      </c>
      <c r="D276" s="251">
        <v>106</v>
      </c>
      <c r="E276" s="284">
        <f>VLOOKUP($D276,Elekter!$C$189:$K$207,Elekter!D$188)</f>
        <v>0</v>
      </c>
      <c r="F276" s="284">
        <f>VLOOKUP($D276,Elekter!$C$189:$K$207,Elekter!E$188)</f>
        <v>0</v>
      </c>
      <c r="G276" s="284">
        <f>VLOOKUP($D276,Elekter!$C$189:$K$207,Elekter!F$188)</f>
        <v>0</v>
      </c>
      <c r="H276" s="284">
        <f>VLOOKUP($D276,Elekter!$C$189:$K$207,Elekter!G$188)</f>
        <v>0</v>
      </c>
      <c r="I276" s="284">
        <f>VLOOKUP($D276,Elekter!$C$189:$K$207,Elekter!H$188)</f>
        <v>-0.29414567513903478</v>
      </c>
      <c r="J276" s="284">
        <f>VLOOKUP($D276,Elekter!$C$189:$K$207,Elekter!I$188)</f>
        <v>-0.12271904150324531</v>
      </c>
      <c r="K276" s="284">
        <f>VLOOKUP($D276,Elekter!$C$189:$K$207,Elekter!J$188)</f>
        <v>7.0060554050379267</v>
      </c>
      <c r="L276" s="284">
        <f>VLOOKUP($D276,Elekter!$C$189:$K$207,Elekter!K$188)</f>
        <v>15.65059616727072</v>
      </c>
    </row>
    <row r="277" spans="2:12" x14ac:dyDescent="0.3">
      <c r="C277" s="183" t="s">
        <v>321</v>
      </c>
      <c r="D277" s="253" t="s">
        <v>293</v>
      </c>
      <c r="E277" s="284"/>
      <c r="F277" s="284"/>
      <c r="G277" s="284"/>
      <c r="H277" s="284"/>
      <c r="I277" s="284"/>
      <c r="J277" s="284"/>
      <c r="K277" s="284"/>
      <c r="L277" s="284"/>
    </row>
    <row r="278" spans="2:12" x14ac:dyDescent="0.3">
      <c r="C278" s="191" t="s">
        <v>650</v>
      </c>
      <c r="D278" s="253" t="s">
        <v>75</v>
      </c>
      <c r="E278" s="284">
        <f>Elekter!D44</f>
        <v>0</v>
      </c>
      <c r="F278" s="284">
        <f>Elekter!E44</f>
        <v>0</v>
      </c>
      <c r="G278" s="284">
        <f>Elekter!F44</f>
        <v>0</v>
      </c>
      <c r="H278" s="284">
        <f>Elekter!G44</f>
        <v>28.861219964492193</v>
      </c>
      <c r="I278" s="284">
        <f>Elekter!H44</f>
        <v>47.951107135646453</v>
      </c>
      <c r="J278" s="284">
        <f>Elekter!I44</f>
        <v>77.833705920740613</v>
      </c>
      <c r="K278" s="284">
        <f>Elekter!J44</f>
        <v>7446.9237486730526</v>
      </c>
      <c r="L278" s="284">
        <f>Elekter!K44</f>
        <v>7990.8904361880668</v>
      </c>
    </row>
    <row r="279" spans="2:12" x14ac:dyDescent="0.3">
      <c r="C279" s="279" t="s">
        <v>323</v>
      </c>
      <c r="D279" s="253" t="s">
        <v>75</v>
      </c>
      <c r="E279" s="284">
        <f>Elekter!D45</f>
        <v>0</v>
      </c>
      <c r="F279" s="284">
        <f>Elekter!E45</f>
        <v>0</v>
      </c>
      <c r="G279" s="284">
        <f>Elekter!F45</f>
        <v>0</v>
      </c>
      <c r="H279" s="284">
        <f>Elekter!G45</f>
        <v>27.247678551204444</v>
      </c>
      <c r="I279" s="284">
        <f>Elekter!H45</f>
        <v>8.7642617498713662</v>
      </c>
      <c r="J279" s="284">
        <f>Elekter!I45</f>
        <v>72.899461263219564</v>
      </c>
      <c r="K279" s="284">
        <f>Elekter!J45</f>
        <v>9020.061655402711</v>
      </c>
      <c r="L279" s="284">
        <f>Elekter!K45</f>
        <v>8266.5223897669075</v>
      </c>
    </row>
    <row r="280" spans="2:12" x14ac:dyDescent="0.3">
      <c r="C280" s="279" t="s">
        <v>324</v>
      </c>
      <c r="D280" s="253" t="s">
        <v>75</v>
      </c>
      <c r="E280" s="284">
        <f>Elekter!D46</f>
        <v>-2.6375346351414919E-11</v>
      </c>
      <c r="F280" s="284">
        <f>Elekter!E46</f>
        <v>0</v>
      </c>
      <c r="G280" s="284">
        <f>Elekter!F46</f>
        <v>0</v>
      </c>
      <c r="H280" s="284">
        <f>Elekter!G46</f>
        <v>1.6135414132804726</v>
      </c>
      <c r="I280" s="284">
        <f>Elekter!H46</f>
        <v>39.186845385782362</v>
      </c>
      <c r="J280" s="284">
        <f>Elekter!I46</f>
        <v>4.9342446575137728</v>
      </c>
      <c r="K280" s="284">
        <f>Elekter!J46</f>
        <v>-1564.1144172939021</v>
      </c>
      <c r="L280" s="284">
        <f>Elekter!K46</f>
        <v>-295.74547857929429</v>
      </c>
    </row>
    <row r="281" spans="2:12" x14ac:dyDescent="0.3">
      <c r="C281" s="280" t="s">
        <v>325</v>
      </c>
      <c r="D281" s="253" t="s">
        <v>75</v>
      </c>
      <c r="E281" s="284">
        <f>Elekter!D47</f>
        <v>0</v>
      </c>
      <c r="F281" s="284">
        <f>Elekter!E47</f>
        <v>0</v>
      </c>
      <c r="G281" s="284">
        <f>Elekter!F47</f>
        <v>0</v>
      </c>
      <c r="H281" s="284">
        <f>Elekter!G47</f>
        <v>1.6135414132877486</v>
      </c>
      <c r="I281" s="284">
        <f>Elekter!H47</f>
        <v>39.186845385778724</v>
      </c>
      <c r="J281" s="284">
        <f>Elekter!I47</f>
        <v>4.9342446575137728</v>
      </c>
      <c r="K281" s="284">
        <f>Elekter!J47</f>
        <v>-1564.1144172938984</v>
      </c>
      <c r="L281" s="284">
        <f>Elekter!K47</f>
        <v>-295.74547857929429</v>
      </c>
    </row>
    <row r="282" spans="2:12" x14ac:dyDescent="0.3">
      <c r="C282" s="280" t="s">
        <v>541</v>
      </c>
      <c r="D282" s="253" t="s">
        <v>75</v>
      </c>
      <c r="E282" s="284"/>
      <c r="F282" s="284"/>
      <c r="G282" s="284"/>
      <c r="H282" s="284"/>
      <c r="I282" s="284"/>
      <c r="J282" s="284"/>
      <c r="K282" s="284"/>
      <c r="L282" s="284"/>
    </row>
    <row r="283" spans="2:12" x14ac:dyDescent="0.3">
      <c r="C283" s="191" t="s">
        <v>326</v>
      </c>
      <c r="D283" s="253" t="s">
        <v>306</v>
      </c>
      <c r="E283" s="284">
        <f>Elekter!D48</f>
        <v>0</v>
      </c>
      <c r="F283" s="284">
        <f>Elekter!E48</f>
        <v>0</v>
      </c>
      <c r="G283" s="284">
        <f>Elekter!F48</f>
        <v>0</v>
      </c>
      <c r="H283" s="284">
        <f>Elekter!G48</f>
        <v>0</v>
      </c>
      <c r="I283" s="284">
        <f>Elekter!H48</f>
        <v>0</v>
      </c>
      <c r="J283" s="284">
        <f>Elekter!I48</f>
        <v>0</v>
      </c>
      <c r="K283" s="284">
        <f>Elekter!J48</f>
        <v>0</v>
      </c>
      <c r="L283" s="284">
        <f>Elekter!K48</f>
        <v>0</v>
      </c>
    </row>
    <row r="284" spans="2:12" x14ac:dyDescent="0.3">
      <c r="C284" s="301" t="s">
        <v>387</v>
      </c>
      <c r="D284" s="253" t="s">
        <v>388</v>
      </c>
      <c r="E284" s="284">
        <f>Elekter!D69</f>
        <v>0</v>
      </c>
      <c r="F284" s="284">
        <f>Elekter!E69</f>
        <v>0</v>
      </c>
      <c r="G284" s="284">
        <f>Elekter!F69</f>
        <v>0</v>
      </c>
      <c r="H284" s="284">
        <f>Elekter!G69</f>
        <v>2.7480222439799036</v>
      </c>
      <c r="I284" s="284">
        <f>Elekter!H69</f>
        <v>4.5934534997886658</v>
      </c>
      <c r="J284" s="284">
        <f>Elekter!I69</f>
        <v>7.3989992447759505</v>
      </c>
      <c r="K284" s="284">
        <f>Elekter!J69</f>
        <v>606.79947343167441</v>
      </c>
      <c r="L284" s="284">
        <f>Elekter!K69</f>
        <v>645.92553152168239</v>
      </c>
    </row>
    <row r="285" spans="2:12" x14ac:dyDescent="0.3">
      <c r="H285" s="113"/>
    </row>
    <row r="286" spans="2:12" ht="11.25" customHeight="1" x14ac:dyDescent="0.3">
      <c r="B286" s="106"/>
      <c r="C286" s="283" t="s">
        <v>416</v>
      </c>
      <c r="D286" s="119"/>
      <c r="E286" s="195"/>
      <c r="F286" s="106"/>
      <c r="G286" s="112"/>
    </row>
    <row r="287" spans="2:12" x14ac:dyDescent="0.3">
      <c r="C287" s="282" t="s">
        <v>259</v>
      </c>
      <c r="D287" s="253" t="s">
        <v>318</v>
      </c>
      <c r="E287" s="183">
        <v>2015</v>
      </c>
      <c r="F287" s="183">
        <v>2020</v>
      </c>
      <c r="G287" s="183">
        <v>2025</v>
      </c>
      <c r="H287" s="183">
        <v>2030</v>
      </c>
      <c r="I287" s="183">
        <v>2035</v>
      </c>
      <c r="J287" s="183">
        <v>2040</v>
      </c>
      <c r="K287" s="183">
        <v>2045</v>
      </c>
      <c r="L287" s="183">
        <v>2050</v>
      </c>
    </row>
    <row r="288" spans="2:12" x14ac:dyDescent="0.3">
      <c r="C288" s="191" t="s">
        <v>231</v>
      </c>
      <c r="D288" s="183">
        <v>1</v>
      </c>
      <c r="E288" s="284">
        <f>VLOOKUP($D288,Elekter!$C$212:$K$230,Elekter!D$211)</f>
        <v>0</v>
      </c>
      <c r="F288" s="284">
        <f>VLOOKUP($D288,Elekter!$C$212:$K$230,Elekter!E$211)</f>
        <v>-3.6970108827771853E-4</v>
      </c>
      <c r="G288" s="284">
        <f>VLOOKUP($D288,Elekter!$C$212:$K$230,Elekter!F$211)</f>
        <v>-5.8731778238096943E-4</v>
      </c>
      <c r="H288" s="284">
        <f>VLOOKUP($D288,Elekter!$C$212:$K$230,Elekter!G$211)</f>
        <v>-7.3485200931489025E-4</v>
      </c>
      <c r="I288" s="284">
        <f>VLOOKUP($D288,Elekter!$C$212:$K$230,Elekter!H$211)</f>
        <v>0</v>
      </c>
      <c r="J288" s="284">
        <f>VLOOKUP($D288,Elekter!$C$212:$K$230,Elekter!I$211)</f>
        <v>0</v>
      </c>
      <c r="K288" s="284">
        <f>VLOOKUP($D288,Elekter!$C$212:$K$230,Elekter!J$211)</f>
        <v>0</v>
      </c>
      <c r="L288" s="284">
        <f>VLOOKUP($D288,Elekter!$C$212:$K$230,Elekter!K$211)</f>
        <v>0</v>
      </c>
    </row>
    <row r="289" spans="3:12" x14ac:dyDescent="0.3">
      <c r="C289" s="191" t="s">
        <v>209</v>
      </c>
      <c r="D289" s="183">
        <v>2</v>
      </c>
      <c r="E289" s="284">
        <f>VLOOKUP($D289,Elekter!$C$212:$K$230,Elekter!D$211)</f>
        <v>0</v>
      </c>
      <c r="F289" s="284">
        <f>VLOOKUP($D289,Elekter!$C$212:$K$230,Elekter!E$211)</f>
        <v>0.47030170541995631</v>
      </c>
      <c r="G289" s="284">
        <f>VLOOKUP($D289,Elekter!$C$212:$K$230,Elekter!F$211)</f>
        <v>1.7034173381675402</v>
      </c>
      <c r="H289" s="284">
        <f>VLOOKUP($D289,Elekter!$C$212:$K$230,Elekter!G$211)</f>
        <v>1.8362664722434374</v>
      </c>
      <c r="I289" s="284">
        <f>VLOOKUP($D289,Elekter!$C$212:$K$230,Elekter!H$211)</f>
        <v>1.8671556245964922</v>
      </c>
      <c r="J289" s="284">
        <f>VLOOKUP($D289,Elekter!$C$212:$K$230,Elekter!I$211)</f>
        <v>1.3194810980410949</v>
      </c>
      <c r="K289" s="284">
        <f>VLOOKUP($D289,Elekter!$C$212:$K$230,Elekter!J$211)</f>
        <v>8.963225613935677</v>
      </c>
      <c r="L289" s="284">
        <f>VLOOKUP($D289,Elekter!$C$212:$K$230,Elekter!K$211)</f>
        <v>24.912196926793285</v>
      </c>
    </row>
    <row r="290" spans="3:12" x14ac:dyDescent="0.3">
      <c r="C290" s="191" t="s">
        <v>417</v>
      </c>
      <c r="D290" s="183">
        <v>4</v>
      </c>
      <c r="E290" s="284">
        <f>VLOOKUP($D290,Elekter!$C$212:$K$230,Elekter!D$211)</f>
        <v>0</v>
      </c>
      <c r="F290" s="284">
        <f>VLOOKUP($D290,Elekter!$C$212:$K$230,Elekter!E$211)</f>
        <v>2.5826122064430024E-2</v>
      </c>
      <c r="G290" s="284">
        <f>VLOOKUP($D290,Elekter!$C$212:$K$230,Elekter!F$211)</f>
        <v>0</v>
      </c>
      <c r="H290" s="284">
        <f>VLOOKUP($D290,Elekter!$C$212:$K$230,Elekter!G$211)</f>
        <v>0</v>
      </c>
      <c r="I290" s="284">
        <f>VLOOKUP($D290,Elekter!$C$212:$K$230,Elekter!H$211)</f>
        <v>0</v>
      </c>
      <c r="J290" s="284">
        <f>VLOOKUP($D290,Elekter!$C$212:$K$230,Elekter!I$211)</f>
        <v>0</v>
      </c>
      <c r="K290" s="284">
        <f>VLOOKUP($D290,Elekter!$C$212:$K$230,Elekter!J$211)</f>
        <v>0</v>
      </c>
      <c r="L290" s="284">
        <f>VLOOKUP($D290,Elekter!$C$212:$K$230,Elekter!K$211)</f>
        <v>0</v>
      </c>
    </row>
    <row r="291" spans="3:12" x14ac:dyDescent="0.3">
      <c r="C291" s="191" t="s">
        <v>124</v>
      </c>
      <c r="D291" s="183">
        <v>10</v>
      </c>
      <c r="E291" s="284">
        <f>VLOOKUP($D291,Elekter!$C$212:$K$230,Elekter!D$211)</f>
        <v>0</v>
      </c>
      <c r="F291" s="284">
        <f>VLOOKUP($D291,Elekter!$C$212:$K$230,Elekter!E$211)</f>
        <v>0</v>
      </c>
      <c r="G291" s="284">
        <f>VLOOKUP($D291,Elekter!$C$212:$K$230,Elekter!F$211)</f>
        <v>0</v>
      </c>
      <c r="H291" s="284">
        <f>VLOOKUP($D291,Elekter!$C$212:$K$230,Elekter!G$211)</f>
        <v>0</v>
      </c>
      <c r="I291" s="284">
        <f>VLOOKUP($D291,Elekter!$C$212:$K$230,Elekter!H$211)</f>
        <v>0</v>
      </c>
      <c r="J291" s="284">
        <f>VLOOKUP($D291,Elekter!$C$212:$K$230,Elekter!I$211)</f>
        <v>0</v>
      </c>
      <c r="K291" s="284">
        <f>VLOOKUP($D291,Elekter!$C$212:$K$230,Elekter!J$211)</f>
        <v>0</v>
      </c>
      <c r="L291" s="284">
        <f>VLOOKUP($D291,Elekter!$C$212:$K$230,Elekter!K$211)</f>
        <v>0</v>
      </c>
    </row>
    <row r="292" spans="3:12" x14ac:dyDescent="0.3">
      <c r="C292" s="191" t="s">
        <v>133</v>
      </c>
      <c r="D292" s="183">
        <v>23</v>
      </c>
      <c r="E292" s="284">
        <f>VLOOKUP($D292,Elekter!$C$212:$K$230,Elekter!D$211)</f>
        <v>0</v>
      </c>
      <c r="F292" s="284">
        <f>VLOOKUP($D292,Elekter!$C$212:$K$230,Elekter!E$211)</f>
        <v>2.8248976407663662E-2</v>
      </c>
      <c r="G292" s="284">
        <f>VLOOKUP($D292,Elekter!$C$212:$K$230,Elekter!F$211)</f>
        <v>4.2702448683294278</v>
      </c>
      <c r="H292" s="284">
        <f>VLOOKUP($D292,Elekter!$C$212:$K$230,Elekter!G$211)</f>
        <v>20.985471080265039</v>
      </c>
      <c r="I292" s="284">
        <f>VLOOKUP($D292,Elekter!$C$212:$K$230,Elekter!H$211)</f>
        <v>41.877771456450986</v>
      </c>
      <c r="J292" s="284">
        <f>VLOOKUP($D292,Elekter!$C$212:$K$230,Elekter!I$211)</f>
        <v>16.058817386703829</v>
      </c>
      <c r="K292" s="284">
        <f>VLOOKUP($D292,Elekter!$C$212:$K$230,Elekter!J$211)</f>
        <v>31.519673641699129</v>
      </c>
      <c r="L292" s="284">
        <f>VLOOKUP($D292,Elekter!$C$212:$K$230,Elekter!K$211)</f>
        <v>52.421936971148753</v>
      </c>
    </row>
    <row r="293" spans="3:12" x14ac:dyDescent="0.3">
      <c r="C293" s="191" t="s">
        <v>285</v>
      </c>
      <c r="D293" s="183">
        <v>24</v>
      </c>
      <c r="E293" s="284">
        <f>VLOOKUP($D293,Elekter!$C$212:$K$230,Elekter!D$211)</f>
        <v>0</v>
      </c>
      <c r="F293" s="284">
        <f>VLOOKUP($D293,Elekter!$C$212:$K$230,Elekter!E$211)</f>
        <v>0</v>
      </c>
      <c r="G293" s="284">
        <f>VLOOKUP($D293,Elekter!$C$212:$K$230,Elekter!F$211)</f>
        <v>0</v>
      </c>
      <c r="H293" s="284">
        <f>VLOOKUP($D293,Elekter!$C$212:$K$230,Elekter!G$211)</f>
        <v>0</v>
      </c>
      <c r="I293" s="284">
        <f>VLOOKUP($D293,Elekter!$C$212:$K$230,Elekter!H$211)</f>
        <v>0</v>
      </c>
      <c r="J293" s="284">
        <f>VLOOKUP($D293,Elekter!$C$212:$K$230,Elekter!I$211)</f>
        <v>0</v>
      </c>
      <c r="K293" s="284">
        <f>VLOOKUP($D293,Elekter!$C$212:$K$230,Elekter!J$211)</f>
        <v>0</v>
      </c>
      <c r="L293" s="284">
        <f>VLOOKUP($D293,Elekter!$C$212:$K$230,Elekter!K$211)</f>
        <v>0</v>
      </c>
    </row>
    <row r="294" spans="3:12" x14ac:dyDescent="0.3">
      <c r="C294" s="191" t="s">
        <v>315</v>
      </c>
      <c r="D294" s="183">
        <v>26</v>
      </c>
      <c r="E294" s="284">
        <f>VLOOKUP($D294,Elekter!$C$212:$K$230,Elekter!D$211)</f>
        <v>0</v>
      </c>
      <c r="F294" s="284">
        <f>VLOOKUP($D294,Elekter!$C$212:$K$230,Elekter!E$211)</f>
        <v>0</v>
      </c>
      <c r="G294" s="284">
        <f>VLOOKUP($D294,Elekter!$C$212:$K$230,Elekter!F$211)</f>
        <v>0</v>
      </c>
      <c r="H294" s="284">
        <f>VLOOKUP($D294,Elekter!$C$212:$K$230,Elekter!G$211)</f>
        <v>0</v>
      </c>
      <c r="I294" s="284">
        <f>VLOOKUP($D294,Elekter!$C$212:$K$230,Elekter!H$211)</f>
        <v>0</v>
      </c>
      <c r="J294" s="284">
        <f>VLOOKUP($D294,Elekter!$C$212:$K$230,Elekter!I$211)</f>
        <v>0</v>
      </c>
      <c r="K294" s="284">
        <f>VLOOKUP($D294,Elekter!$C$212:$K$230,Elekter!J$211)</f>
        <v>0</v>
      </c>
      <c r="L294" s="284">
        <f>VLOOKUP($D294,Elekter!$C$212:$K$230,Elekter!K$211)</f>
        <v>0</v>
      </c>
    </row>
    <row r="295" spans="3:12" x14ac:dyDescent="0.3">
      <c r="C295" s="191" t="s">
        <v>38</v>
      </c>
      <c r="D295" s="183">
        <v>29</v>
      </c>
      <c r="E295" s="284">
        <f>VLOOKUP($D295,Elekter!$C$212:$K$230,Elekter!D$211)</f>
        <v>0</v>
      </c>
      <c r="F295" s="284">
        <f>VLOOKUP($D295,Elekter!$C$212:$K$230,Elekter!E$211)</f>
        <v>0.15367513841823452</v>
      </c>
      <c r="G295" s="284">
        <f>VLOOKUP($D295,Elekter!$C$212:$K$230,Elekter!F$211)</f>
        <v>23.980456999655356</v>
      </c>
      <c r="H295" s="284">
        <f>VLOOKUP($D295,Elekter!$C$212:$K$230,Elekter!G$211)</f>
        <v>105.22096136060497</v>
      </c>
      <c r="I295" s="284">
        <f>VLOOKUP($D295,Elekter!$C$212:$K$230,Elekter!H$211)</f>
        <v>89.872892259045912</v>
      </c>
      <c r="J295" s="284">
        <f>VLOOKUP($D295,Elekter!$C$212:$K$230,Elekter!I$211)</f>
        <v>-91.90358276570106</v>
      </c>
      <c r="K295" s="284">
        <f>VLOOKUP($D295,Elekter!$C$212:$K$230,Elekter!J$211)</f>
        <v>66.082575936623371</v>
      </c>
      <c r="L295" s="284">
        <f>VLOOKUP($D295,Elekter!$C$212:$K$230,Elekter!K$211)</f>
        <v>145.45801300544895</v>
      </c>
    </row>
    <row r="296" spans="3:12" x14ac:dyDescent="0.3">
      <c r="C296" s="191" t="s">
        <v>136</v>
      </c>
      <c r="D296" s="183">
        <v>30</v>
      </c>
      <c r="E296" s="284">
        <f>VLOOKUP($D296,Elekter!$C$212:$K$230,Elekter!D$211)</f>
        <v>0</v>
      </c>
      <c r="F296" s="284">
        <f>VLOOKUP($D296,Elekter!$C$212:$K$230,Elekter!E$211)</f>
        <v>0</v>
      </c>
      <c r="G296" s="284">
        <f>VLOOKUP($D296,Elekter!$C$212:$K$230,Elekter!F$211)</f>
        <v>0</v>
      </c>
      <c r="H296" s="284">
        <f>VLOOKUP($D296,Elekter!$C$212:$K$230,Elekter!G$211)</f>
        <v>0</v>
      </c>
      <c r="I296" s="284">
        <f>VLOOKUP($D296,Elekter!$C$212:$K$230,Elekter!H$211)</f>
        <v>0</v>
      </c>
      <c r="J296" s="284">
        <f>VLOOKUP($D296,Elekter!$C$212:$K$230,Elekter!I$211)</f>
        <v>0</v>
      </c>
      <c r="K296" s="284">
        <f>VLOOKUP($D296,Elekter!$C$212:$K$230,Elekter!J$211)</f>
        <v>0</v>
      </c>
      <c r="L296" s="284">
        <f>VLOOKUP($D296,Elekter!$C$212:$K$230,Elekter!K$211)</f>
        <v>0</v>
      </c>
    </row>
    <row r="297" spans="3:12" x14ac:dyDescent="0.3">
      <c r="C297" s="191" t="s">
        <v>360</v>
      </c>
      <c r="D297" s="183">
        <v>31</v>
      </c>
      <c r="E297" s="284">
        <f>VLOOKUP($D297,Elekter!$C$212:$K$230,Elekter!D$211)</f>
        <v>0</v>
      </c>
      <c r="F297" s="284">
        <f>VLOOKUP($D297,Elekter!$C$212:$K$230,Elekter!E$211)</f>
        <v>0</v>
      </c>
      <c r="G297" s="284">
        <f>VLOOKUP($D297,Elekter!$C$212:$K$230,Elekter!F$211)</f>
        <v>0</v>
      </c>
      <c r="H297" s="284">
        <f>VLOOKUP($D297,Elekter!$C$212:$K$230,Elekter!G$211)</f>
        <v>0</v>
      </c>
      <c r="I297" s="284">
        <f>VLOOKUP($D297,Elekter!$C$212:$K$230,Elekter!H$211)</f>
        <v>0</v>
      </c>
      <c r="J297" s="284">
        <f>VLOOKUP($D297,Elekter!$C$212:$K$230,Elekter!I$211)</f>
        <v>0</v>
      </c>
      <c r="K297" s="284">
        <f>VLOOKUP($D297,Elekter!$C$212:$K$230,Elekter!J$211)</f>
        <v>0</v>
      </c>
      <c r="L297" s="284">
        <f>VLOOKUP($D297,Elekter!$C$212:$K$230,Elekter!K$211)</f>
        <v>0</v>
      </c>
    </row>
    <row r="298" spans="3:12" x14ac:dyDescent="0.3">
      <c r="C298" s="191" t="s">
        <v>361</v>
      </c>
      <c r="D298" s="183">
        <v>32</v>
      </c>
      <c r="E298" s="284">
        <f>VLOOKUP($D298,Elekter!$C$212:$K$230,Elekter!D$211)</f>
        <v>0</v>
      </c>
      <c r="F298" s="284">
        <f>VLOOKUP($D298,Elekter!$C$212:$K$230,Elekter!E$211)</f>
        <v>0</v>
      </c>
      <c r="G298" s="284">
        <f>VLOOKUP($D298,Elekter!$C$212:$K$230,Elekter!F$211)</f>
        <v>0</v>
      </c>
      <c r="H298" s="284">
        <f>VLOOKUP($D298,Elekter!$C$212:$K$230,Elekter!G$211)</f>
        <v>0</v>
      </c>
      <c r="I298" s="284">
        <f>VLOOKUP($D298,Elekter!$C$212:$K$230,Elekter!H$211)</f>
        <v>0</v>
      </c>
      <c r="J298" s="284">
        <f>VLOOKUP($D298,Elekter!$C$212:$K$230,Elekter!I$211)</f>
        <v>0</v>
      </c>
      <c r="K298" s="284">
        <f>VLOOKUP($D298,Elekter!$C$212:$K$230,Elekter!J$211)</f>
        <v>0</v>
      </c>
      <c r="L298" s="284">
        <f>VLOOKUP($D298,Elekter!$C$212:$K$230,Elekter!K$211)</f>
        <v>0</v>
      </c>
    </row>
    <row r="299" spans="3:12" x14ac:dyDescent="0.3">
      <c r="C299" s="191" t="s">
        <v>362</v>
      </c>
      <c r="D299" s="183">
        <v>33</v>
      </c>
      <c r="E299" s="284">
        <f>VLOOKUP($D299,Elekter!$C$212:$K$230,Elekter!D$211)</f>
        <v>0</v>
      </c>
      <c r="F299" s="284">
        <f>VLOOKUP($D299,Elekter!$C$212:$K$230,Elekter!E$211)</f>
        <v>0</v>
      </c>
      <c r="G299" s="284">
        <f>VLOOKUP($D299,Elekter!$C$212:$K$230,Elekter!F$211)</f>
        <v>0</v>
      </c>
      <c r="H299" s="284">
        <f>VLOOKUP($D299,Elekter!$C$212:$K$230,Elekter!G$211)</f>
        <v>0</v>
      </c>
      <c r="I299" s="284">
        <f>VLOOKUP($D299,Elekter!$C$212:$K$230,Elekter!H$211)</f>
        <v>0</v>
      </c>
      <c r="J299" s="284">
        <f>VLOOKUP($D299,Elekter!$C$212:$K$230,Elekter!I$211)</f>
        <v>0</v>
      </c>
      <c r="K299" s="284">
        <f>VLOOKUP($D299,Elekter!$C$212:$K$230,Elekter!J$211)</f>
        <v>0</v>
      </c>
      <c r="L299" s="284">
        <f>VLOOKUP($D299,Elekter!$C$212:$K$230,Elekter!K$211)</f>
        <v>0</v>
      </c>
    </row>
    <row r="300" spans="3:12" x14ac:dyDescent="0.3">
      <c r="C300" s="191" t="s">
        <v>363</v>
      </c>
      <c r="D300" s="183">
        <v>55</v>
      </c>
      <c r="E300" s="284">
        <f>VLOOKUP($D300,Elekter!$C$212:$K$230,Elekter!D$211)</f>
        <v>0</v>
      </c>
      <c r="F300" s="284">
        <f>VLOOKUP($D300,Elekter!$C$212:$K$230,Elekter!E$211)</f>
        <v>0</v>
      </c>
      <c r="G300" s="284">
        <f>VLOOKUP($D300,Elekter!$C$212:$K$230,Elekter!F$211)</f>
        <v>0</v>
      </c>
      <c r="H300" s="284">
        <f>VLOOKUP($D300,Elekter!$C$212:$K$230,Elekter!G$211)</f>
        <v>0</v>
      </c>
      <c r="I300" s="284">
        <f>VLOOKUP($D300,Elekter!$C$212:$K$230,Elekter!H$211)</f>
        <v>0</v>
      </c>
      <c r="J300" s="284">
        <f>VLOOKUP($D300,Elekter!$C$212:$K$230,Elekter!I$211)</f>
        <v>0</v>
      </c>
      <c r="K300" s="284">
        <f>VLOOKUP($D300,Elekter!$C$212:$K$230,Elekter!J$211)</f>
        <v>0</v>
      </c>
      <c r="L300" s="284">
        <f>VLOOKUP($D300,Elekter!$C$212:$K$230,Elekter!K$211)</f>
        <v>0</v>
      </c>
    </row>
    <row r="301" spans="3:12" x14ac:dyDescent="0.3">
      <c r="C301" s="259" t="s">
        <v>204</v>
      </c>
      <c r="D301" s="251">
        <v>101</v>
      </c>
      <c r="E301" s="284">
        <f>VLOOKUP($D301,Elekter!$C$212:$K$230,Elekter!D$211)</f>
        <v>0</v>
      </c>
      <c r="F301" s="284">
        <f>VLOOKUP($D301,Elekter!$C$212:$K$230,Elekter!E$211)</f>
        <v>-0.14151767655319247</v>
      </c>
      <c r="G301" s="284">
        <f>VLOOKUP($D301,Elekter!$C$212:$K$230,Elekter!F$211)</f>
        <v>15.903306152388808</v>
      </c>
      <c r="H301" s="284">
        <f>VLOOKUP($D301,Elekter!$C$212:$K$230,Elekter!G$211)</f>
        <v>75.764514193250818</v>
      </c>
      <c r="I301" s="284">
        <f>VLOOKUP($D301,Elekter!$C$212:$K$230,Elekter!H$211)</f>
        <v>167.37206898964664</v>
      </c>
      <c r="J301" s="284">
        <f>VLOOKUP($D301,Elekter!$C$212:$K$230,Elekter!I$211)</f>
        <v>69.832781134028082</v>
      </c>
      <c r="K301" s="284">
        <f>VLOOKUP($D301,Elekter!$C$212:$K$230,Elekter!J$211)</f>
        <v>125.04072249727966</v>
      </c>
      <c r="L301" s="284">
        <f>VLOOKUP($D301,Elekter!$C$212:$K$230,Elekter!K$211)</f>
        <v>194.27181523358354</v>
      </c>
    </row>
    <row r="302" spans="3:12" x14ac:dyDescent="0.3">
      <c r="C302" s="259" t="s">
        <v>364</v>
      </c>
      <c r="D302" s="251">
        <v>102</v>
      </c>
      <c r="E302" s="284">
        <f>VLOOKUP($D302,Elekter!$C$212:$K$230,Elekter!D$211)</f>
        <v>0</v>
      </c>
      <c r="F302" s="284">
        <f>VLOOKUP($D302,Elekter!$C$212:$K$230,Elekter!E$211)</f>
        <v>0</v>
      </c>
      <c r="G302" s="284">
        <f>VLOOKUP($D302,Elekter!$C$212:$K$230,Elekter!F$211)</f>
        <v>0</v>
      </c>
      <c r="H302" s="284">
        <f>VLOOKUP($D302,Elekter!$C$212:$K$230,Elekter!G$211)</f>
        <v>0</v>
      </c>
      <c r="I302" s="284">
        <f>VLOOKUP($D302,Elekter!$C$212:$K$230,Elekter!H$211)</f>
        <v>0</v>
      </c>
      <c r="J302" s="284">
        <f>VLOOKUP($D302,Elekter!$C$212:$K$230,Elekter!I$211)</f>
        <v>0</v>
      </c>
      <c r="K302" s="284">
        <f>VLOOKUP($D302,Elekter!$C$212:$K$230,Elekter!J$211)</f>
        <v>0</v>
      </c>
      <c r="L302" s="284">
        <f>VLOOKUP($D302,Elekter!$C$212:$K$230,Elekter!K$211)</f>
        <v>0</v>
      </c>
    </row>
    <row r="303" spans="3:12" x14ac:dyDescent="0.3">
      <c r="C303" s="259" t="s">
        <v>457</v>
      </c>
      <c r="D303" s="251">
        <v>103</v>
      </c>
      <c r="E303" s="284">
        <f>VLOOKUP($D303,Elekter!$C$212:$K$230,Elekter!D$211)</f>
        <v>0</v>
      </c>
      <c r="F303" s="284">
        <f>VLOOKUP($D303,Elekter!$C$212:$K$230,Elekter!E$211)</f>
        <v>0.24029725871990734</v>
      </c>
      <c r="G303" s="284">
        <f>VLOOKUP($D303,Elekter!$C$212:$K$230,Elekter!F$211)</f>
        <v>-2.6393382430129293</v>
      </c>
      <c r="H303" s="284">
        <f>VLOOKUP($D303,Elekter!$C$212:$K$230,Elekter!G$211)</f>
        <v>-2.7064079217558401</v>
      </c>
      <c r="I303" s="284">
        <f>VLOOKUP($D303,Elekter!$C$212:$K$230,Elekter!H$211)</f>
        <v>187.15569446254764</v>
      </c>
      <c r="J303" s="284">
        <f>VLOOKUP($D303,Elekter!$C$212:$K$230,Elekter!I$211)</f>
        <v>268.10499528872532</v>
      </c>
      <c r="K303" s="284">
        <f>VLOOKUP($D303,Elekter!$C$212:$K$230,Elekter!J$211)</f>
        <v>162.09332045283756</v>
      </c>
      <c r="L303" s="284">
        <f>VLOOKUP($D303,Elekter!$C$212:$K$230,Elekter!K$211)</f>
        <v>215.58495743195385</v>
      </c>
    </row>
    <row r="304" spans="3:12" x14ac:dyDescent="0.3">
      <c r="C304" s="260" t="s">
        <v>110</v>
      </c>
      <c r="D304" s="252">
        <v>104</v>
      </c>
      <c r="E304" s="284">
        <f>VLOOKUP($D304,Elekter!$C$212:$K$230,Elekter!D$211)</f>
        <v>0</v>
      </c>
      <c r="F304" s="284">
        <f>VLOOKUP($D304,Elekter!$C$212:$K$230,Elekter!E$211)</f>
        <v>0</v>
      </c>
      <c r="G304" s="284">
        <f>VLOOKUP($D304,Elekter!$C$212:$K$230,Elekter!F$211)</f>
        <v>0</v>
      </c>
      <c r="H304" s="284">
        <f>VLOOKUP($D304,Elekter!$C$212:$K$230,Elekter!G$211)</f>
        <v>0</v>
      </c>
      <c r="I304" s="284">
        <f>VLOOKUP($D304,Elekter!$C$212:$K$230,Elekter!H$211)</f>
        <v>0</v>
      </c>
      <c r="J304" s="284">
        <f>VLOOKUP($D304,Elekter!$C$212:$K$230,Elekter!I$211)</f>
        <v>0</v>
      </c>
      <c r="K304" s="284">
        <f>VLOOKUP($D304,Elekter!$C$212:$K$230,Elekter!J$211)</f>
        <v>0</v>
      </c>
      <c r="L304" s="284">
        <f>VLOOKUP($D304,Elekter!$C$212:$K$230,Elekter!K$211)</f>
        <v>0</v>
      </c>
    </row>
    <row r="305" spans="3:12" x14ac:dyDescent="0.3">
      <c r="C305" s="259" t="s">
        <v>53</v>
      </c>
      <c r="D305" s="251">
        <v>105</v>
      </c>
      <c r="E305" s="284">
        <f>VLOOKUP($D305,Elekter!$C$212:$K$230,Elekter!D$211)</f>
        <v>0</v>
      </c>
      <c r="F305" s="284">
        <f>VLOOKUP($D305,Elekter!$C$212:$K$230,Elekter!E$211)</f>
        <v>0</v>
      </c>
      <c r="G305" s="284">
        <f>VLOOKUP($D305,Elekter!$C$212:$K$230,Elekter!F$211)</f>
        <v>-2.48</v>
      </c>
      <c r="H305" s="284">
        <f>VLOOKUP($D305,Elekter!$C$212:$K$230,Elekter!G$211)</f>
        <v>-4.1100000000000003</v>
      </c>
      <c r="I305" s="284">
        <f>VLOOKUP($D305,Elekter!$C$212:$K$230,Elekter!H$211)</f>
        <v>-4.68</v>
      </c>
      <c r="J305" s="284">
        <f>VLOOKUP($D305,Elekter!$C$212:$K$230,Elekter!I$211)</f>
        <v>-6.37</v>
      </c>
      <c r="K305" s="284">
        <f>VLOOKUP($D305,Elekter!$C$212:$K$230,Elekter!J$211)</f>
        <v>-24.64</v>
      </c>
      <c r="L305" s="284">
        <f>VLOOKUP($D305,Elekter!$C$212:$K$230,Elekter!K$211)</f>
        <v>-105.76</v>
      </c>
    </row>
    <row r="306" spans="3:12" x14ac:dyDescent="0.3">
      <c r="C306" s="259" t="s">
        <v>666</v>
      </c>
      <c r="D306" s="251">
        <v>106</v>
      </c>
      <c r="E306" s="284">
        <f>VLOOKUP($D306,Elekter!$C$212:$K$230,Elekter!D$211)</f>
        <v>0</v>
      </c>
      <c r="F306" s="284">
        <f>VLOOKUP($D306,Elekter!$C$212:$K$230,Elekter!E$211)</f>
        <v>7.7739936130399201E-2</v>
      </c>
      <c r="G306" s="284">
        <f>VLOOKUP($D306,Elekter!$C$212:$K$230,Elekter!F$211)</f>
        <v>8.0453934885055673</v>
      </c>
      <c r="H306" s="284">
        <f>VLOOKUP($D306,Elekter!$C$212:$K$230,Elekter!G$211)</f>
        <v>38.459118976540452</v>
      </c>
      <c r="I306" s="284">
        <f>VLOOKUP($D306,Elekter!$C$212:$K$230,Elekter!H$211)</f>
        <v>76.410942682961817</v>
      </c>
      <c r="J306" s="284">
        <f>VLOOKUP($D306,Elekter!$C$212:$K$230,Elekter!I$211)</f>
        <v>28.967679240326532</v>
      </c>
      <c r="K306" s="284">
        <f>VLOOKUP($D306,Elekter!$C$212:$K$230,Elekter!J$211)</f>
        <v>56.925581907528112</v>
      </c>
      <c r="L306" s="284">
        <f>VLOOKUP($D306,Elekter!$C$212:$K$230,Elekter!K$211)</f>
        <v>87.491767415825393</v>
      </c>
    </row>
    <row r="307" spans="3:12" x14ac:dyDescent="0.3">
      <c r="C307" s="183" t="s">
        <v>321</v>
      </c>
      <c r="D307" s="253" t="s">
        <v>293</v>
      </c>
      <c r="E307" s="284"/>
      <c r="F307" s="284"/>
      <c r="G307" s="284"/>
      <c r="H307" s="284"/>
      <c r="I307" s="284"/>
      <c r="J307" s="284"/>
      <c r="K307" s="284"/>
      <c r="L307" s="284"/>
    </row>
    <row r="308" spans="3:12" x14ac:dyDescent="0.3">
      <c r="C308" s="191" t="s">
        <v>650</v>
      </c>
      <c r="D308" s="253" t="s">
        <v>75</v>
      </c>
      <c r="E308" s="284">
        <f>Elekter!D80</f>
        <v>0</v>
      </c>
      <c r="F308" s="284">
        <f>Elekter!E80</f>
        <v>78.226546468649758</v>
      </c>
      <c r="G308" s="284">
        <f>Elekter!F80</f>
        <v>63.894368629888049</v>
      </c>
      <c r="H308" s="284">
        <f>Elekter!G80</f>
        <v>-119.49081215239858</v>
      </c>
      <c r="I308" s="284">
        <f>Elekter!H80</f>
        <v>52.187449118260702</v>
      </c>
      <c r="J308" s="284">
        <f>Elekter!I80</f>
        <v>238.48168235207413</v>
      </c>
      <c r="K308" s="284">
        <f>Elekter!J80</f>
        <v>1286.6257033013644</v>
      </c>
      <c r="L308" s="284">
        <f>Elekter!K80</f>
        <v>3453.9003006833809</v>
      </c>
    </row>
    <row r="309" spans="3:12" x14ac:dyDescent="0.3">
      <c r="C309" s="279" t="s">
        <v>323</v>
      </c>
      <c r="D309" s="253" t="s">
        <v>75</v>
      </c>
      <c r="E309" s="284">
        <f>Elekter!D81</f>
        <v>0</v>
      </c>
      <c r="F309" s="284">
        <f>Elekter!E81</f>
        <v>71.372508163512975</v>
      </c>
      <c r="G309" s="284">
        <f>Elekter!F81</f>
        <v>-151.28618136167643</v>
      </c>
      <c r="H309" s="284">
        <f>Elekter!G81</f>
        <v>-343.92106276095728</v>
      </c>
      <c r="I309" s="284">
        <f>Elekter!H81</f>
        <v>-168.56832767986634</v>
      </c>
      <c r="J309" s="284">
        <f>Elekter!I81</f>
        <v>61.784332864972384</v>
      </c>
      <c r="K309" s="284">
        <f>Elekter!J81</f>
        <v>311.94701487701241</v>
      </c>
      <c r="L309" s="284">
        <f>Elekter!K81</f>
        <v>145.71530619000259</v>
      </c>
    </row>
    <row r="310" spans="3:12" x14ac:dyDescent="0.3">
      <c r="C310" s="279" t="s">
        <v>324</v>
      </c>
      <c r="D310" s="253" t="s">
        <v>75</v>
      </c>
      <c r="E310" s="284">
        <f>Elekter!D82</f>
        <v>0</v>
      </c>
      <c r="F310" s="284">
        <f>Elekter!E82</f>
        <v>87.036727608836372</v>
      </c>
      <c r="G310" s="284">
        <f>Elekter!F82</f>
        <v>298.74965072796113</v>
      </c>
      <c r="H310" s="284">
        <f>Elekter!G82</f>
        <v>305.91793795936246</v>
      </c>
      <c r="I310" s="284">
        <f>Elekter!H82</f>
        <v>296.37627965738648</v>
      </c>
      <c r="J310" s="284">
        <f>Elekter!I82</f>
        <v>202.99871598305981</v>
      </c>
      <c r="K310" s="284">
        <f>Elekter!J82</f>
        <v>1318.1319587853832</v>
      </c>
      <c r="L310" s="284">
        <f>Elekter!K82</f>
        <v>3508.7882006153159</v>
      </c>
    </row>
    <row r="311" spans="3:12" x14ac:dyDescent="0.3">
      <c r="C311" s="280" t="s">
        <v>325</v>
      </c>
      <c r="D311" s="253" t="s">
        <v>75</v>
      </c>
      <c r="E311" s="284">
        <f>Elekter!D83</f>
        <v>0</v>
      </c>
      <c r="F311" s="284">
        <f>Elekter!E83</f>
        <v>87.036727608847286</v>
      </c>
      <c r="G311" s="284">
        <f>Elekter!F83</f>
        <v>298.74965072796113</v>
      </c>
      <c r="H311" s="284">
        <f>Elekter!G83</f>
        <v>305.91793795935882</v>
      </c>
      <c r="I311" s="284">
        <f>Elekter!H83</f>
        <v>296.3762796573792</v>
      </c>
      <c r="J311" s="284">
        <f>Elekter!I83</f>
        <v>202.99871598305617</v>
      </c>
      <c r="K311" s="284">
        <f>Elekter!J83</f>
        <v>1318.1319587853795</v>
      </c>
      <c r="L311" s="284">
        <f>Elekter!K83</f>
        <v>3508.7882006153104</v>
      </c>
    </row>
    <row r="312" spans="3:12" x14ac:dyDescent="0.3">
      <c r="C312" s="280" t="s">
        <v>541</v>
      </c>
      <c r="D312" s="253" t="s">
        <v>75</v>
      </c>
      <c r="E312" s="284"/>
      <c r="F312" s="284"/>
      <c r="G312" s="284"/>
      <c r="H312" s="284"/>
      <c r="I312" s="284"/>
      <c r="J312" s="284"/>
      <c r="K312" s="284"/>
      <c r="L312" s="284"/>
    </row>
    <row r="313" spans="3:12" x14ac:dyDescent="0.3">
      <c r="C313" s="191" t="s">
        <v>326</v>
      </c>
      <c r="D313" s="253" t="s">
        <v>306</v>
      </c>
      <c r="E313" s="284">
        <f>Elekter!D84</f>
        <v>0</v>
      </c>
      <c r="F313" s="284">
        <f>Elekter!E84</f>
        <v>0</v>
      </c>
      <c r="G313" s="284">
        <f>Elekter!F84</f>
        <v>0</v>
      </c>
      <c r="H313" s="284">
        <f>Elekter!G84</f>
        <v>0</v>
      </c>
      <c r="I313" s="284">
        <f>Elekter!H84</f>
        <v>0</v>
      </c>
      <c r="J313" s="284">
        <f>Elekter!I84</f>
        <v>0</v>
      </c>
      <c r="K313" s="284">
        <f>Elekter!J84</f>
        <v>0</v>
      </c>
      <c r="L313" s="284">
        <f>Elekter!K84</f>
        <v>0</v>
      </c>
    </row>
    <row r="314" spans="3:12" x14ac:dyDescent="0.3">
      <c r="C314" s="301" t="s">
        <v>387</v>
      </c>
      <c r="D314" s="253" t="s">
        <v>388</v>
      </c>
      <c r="E314" s="284">
        <f>Elekter!D105</f>
        <v>0</v>
      </c>
      <c r="F314" s="284">
        <f>Elekter!E105</f>
        <v>8.0603435516813988</v>
      </c>
      <c r="G314" s="284">
        <f>Elekter!F105</f>
        <v>15.335409061104656</v>
      </c>
      <c r="H314" s="284">
        <f>Elekter!G105</f>
        <v>-1.5280234605643273</v>
      </c>
      <c r="I314" s="284">
        <f>Elekter!H105</f>
        <v>11.897775616472245</v>
      </c>
      <c r="J314" s="284">
        <f>Elekter!I105</f>
        <v>22.853119686208629</v>
      </c>
      <c r="K314" s="284">
        <f>Elekter!J105</f>
        <v>123.51095899578286</v>
      </c>
      <c r="L314" s="284">
        <f>Elekter!K105</f>
        <v>316.51123868787454</v>
      </c>
    </row>
    <row r="315" spans="3:12" x14ac:dyDescent="0.3">
      <c r="C315" s="304"/>
      <c r="D315" s="305"/>
      <c r="E315" s="306"/>
      <c r="F315" s="306"/>
      <c r="G315" s="306"/>
      <c r="H315" s="306"/>
      <c r="I315" s="306"/>
      <c r="J315" s="306"/>
      <c r="K315" s="306"/>
      <c r="L315" s="306"/>
    </row>
    <row r="316" spans="3:12" x14ac:dyDescent="0.3">
      <c r="C316" s="283" t="s">
        <v>788</v>
      </c>
      <c r="D316" s="119"/>
      <c r="E316" s="195"/>
      <c r="F316" s="106"/>
      <c r="G316" s="112"/>
    </row>
    <row r="317" spans="3:12" x14ac:dyDescent="0.3">
      <c r="C317" s="282" t="s">
        <v>259</v>
      </c>
      <c r="D317" s="253" t="s">
        <v>318</v>
      </c>
      <c r="E317" s="183">
        <v>2015</v>
      </c>
      <c r="F317" s="183">
        <v>2020</v>
      </c>
      <c r="G317" s="183">
        <v>2025</v>
      </c>
      <c r="H317" s="183">
        <v>2030</v>
      </c>
      <c r="I317" s="183">
        <v>2035</v>
      </c>
      <c r="J317" s="183">
        <v>2040</v>
      </c>
      <c r="K317" s="183">
        <v>2045</v>
      </c>
      <c r="L317" s="183">
        <v>2050</v>
      </c>
    </row>
    <row r="318" spans="3:12" x14ac:dyDescent="0.3">
      <c r="C318" s="191" t="s">
        <v>231</v>
      </c>
      <c r="D318" s="183">
        <v>1</v>
      </c>
      <c r="E318" s="284">
        <f>VLOOKUP($D318,Elekter!$C$235:$K$253,Elekter!D$234)</f>
        <v>0</v>
      </c>
      <c r="F318" s="284">
        <f>VLOOKUP($D318,Elekter!$C$235:$K$253,Elekter!E$234)</f>
        <v>-1.3691735303345887E-2</v>
      </c>
      <c r="G318" s="284">
        <f>VLOOKUP($D318,Elekter!$C$235:$K$253,Elekter!F$234)</f>
        <v>-5.4941029980899447E-3</v>
      </c>
      <c r="H318" s="284">
        <f>VLOOKUP($D318,Elekter!$C$235:$K$253,Elekter!G$234)</f>
        <v>-7.2434630354960561E-3</v>
      </c>
      <c r="I318" s="284">
        <f>VLOOKUP($D318,Elekter!$C$235:$K$253,Elekter!H$234)</f>
        <v>-6.2929775754584361E-3</v>
      </c>
      <c r="J318" s="284">
        <f>VLOOKUP($D318,Elekter!$C$235:$K$253,Elekter!I$234)</f>
        <v>0</v>
      </c>
      <c r="K318" s="284">
        <f>VLOOKUP($D318,Elekter!$C$235:$K$253,Elekter!J$234)</f>
        <v>0</v>
      </c>
      <c r="L318" s="284">
        <f>VLOOKUP($D318,Elekter!$C$235:$K$253,Elekter!K$234)</f>
        <v>19.117499631046169</v>
      </c>
    </row>
    <row r="319" spans="3:12" x14ac:dyDescent="0.3">
      <c r="C319" s="191" t="s">
        <v>209</v>
      </c>
      <c r="D319" s="183">
        <v>2</v>
      </c>
      <c r="E319" s="284">
        <f>VLOOKUP($D319,Elekter!$C$235:$K$253,Elekter!D$234)</f>
        <v>0</v>
      </c>
      <c r="F319" s="284">
        <f>VLOOKUP($D319,Elekter!$C$235:$K$253,Elekter!E$234)</f>
        <v>108.93828517328123</v>
      </c>
      <c r="G319" s="284">
        <f>VLOOKUP($D319,Elekter!$C$235:$K$253,Elekter!F$234)</f>
        <v>109.99540777149502</v>
      </c>
      <c r="H319" s="284">
        <f>VLOOKUP($D319,Elekter!$C$235:$K$253,Elekter!G$234)</f>
        <v>100.07177604009695</v>
      </c>
      <c r="I319" s="284">
        <f>VLOOKUP($D319,Elekter!$C$235:$K$253,Elekter!H$234)</f>
        <v>92.729394748338706</v>
      </c>
      <c r="J319" s="284">
        <f>VLOOKUP($D319,Elekter!$C$235:$K$253,Elekter!I$234)</f>
        <v>69.685722195603233</v>
      </c>
      <c r="K319" s="284">
        <f>VLOOKUP($D319,Elekter!$C$235:$K$253,Elekter!J$234)</f>
        <v>28.788402235701909</v>
      </c>
      <c r="L319" s="284">
        <f>VLOOKUP($D319,Elekter!$C$235:$K$253,Elekter!K$234)</f>
        <v>31.10380319538617</v>
      </c>
    </row>
    <row r="320" spans="3:12" x14ac:dyDescent="0.3">
      <c r="C320" s="191" t="s">
        <v>417</v>
      </c>
      <c r="D320" s="183">
        <v>4</v>
      </c>
      <c r="E320" s="284">
        <f>VLOOKUP($D320,Elekter!$C$235:$K$253,Elekter!D$234)</f>
        <v>0</v>
      </c>
      <c r="F320" s="284">
        <f>VLOOKUP($D320,Elekter!$C$235:$K$253,Elekter!E$234)</f>
        <v>-40.897156900629952</v>
      </c>
      <c r="G320" s="284">
        <f>VLOOKUP($D320,Elekter!$C$235:$K$253,Elekter!F$234)</f>
        <v>0</v>
      </c>
      <c r="H320" s="284">
        <f>VLOOKUP($D320,Elekter!$C$235:$K$253,Elekter!G$234)</f>
        <v>-4.4507483225848514E-2</v>
      </c>
      <c r="I320" s="284">
        <f>VLOOKUP($D320,Elekter!$C$235:$K$253,Elekter!H$234)</f>
        <v>-4.5473421926910333E-2</v>
      </c>
      <c r="J320" s="284">
        <f>VLOOKUP($D320,Elekter!$C$235:$K$253,Elekter!I$234)</f>
        <v>0</v>
      </c>
      <c r="K320" s="284">
        <f>VLOOKUP($D320,Elekter!$C$235:$K$253,Elekter!J$234)</f>
        <v>0</v>
      </c>
      <c r="L320" s="284">
        <f>VLOOKUP($D320,Elekter!$C$235:$K$253,Elekter!K$234)</f>
        <v>0</v>
      </c>
    </row>
    <row r="321" spans="3:12" x14ac:dyDescent="0.3">
      <c r="C321" s="191" t="s">
        <v>124</v>
      </c>
      <c r="D321" s="183">
        <v>10</v>
      </c>
      <c r="E321" s="284">
        <f>VLOOKUP($D321,Elekter!$C$235:$K$253,Elekter!D$234)</f>
        <v>0</v>
      </c>
      <c r="F321" s="284">
        <f>VLOOKUP($D321,Elekter!$C$235:$K$253,Elekter!E$234)</f>
        <v>0</v>
      </c>
      <c r="G321" s="284">
        <f>VLOOKUP($D321,Elekter!$C$235:$K$253,Elekter!F$234)</f>
        <v>0</v>
      </c>
      <c r="H321" s="284">
        <f>VLOOKUP($D321,Elekter!$C$235:$K$253,Elekter!G$234)</f>
        <v>0</v>
      </c>
      <c r="I321" s="284">
        <f>VLOOKUP($D321,Elekter!$C$235:$K$253,Elekter!H$234)</f>
        <v>0</v>
      </c>
      <c r="J321" s="284">
        <f>VLOOKUP($D321,Elekter!$C$235:$K$253,Elekter!I$234)</f>
        <v>0</v>
      </c>
      <c r="K321" s="284">
        <f>VLOOKUP($D321,Elekter!$C$235:$K$253,Elekter!J$234)</f>
        <v>0</v>
      </c>
      <c r="L321" s="284">
        <f>VLOOKUP($D321,Elekter!$C$235:$K$253,Elekter!K$234)</f>
        <v>0</v>
      </c>
    </row>
    <row r="322" spans="3:12" x14ac:dyDescent="0.3">
      <c r="C322" s="191" t="s">
        <v>133</v>
      </c>
      <c r="D322" s="183">
        <v>23</v>
      </c>
      <c r="E322" s="284">
        <f>VLOOKUP($D322,Elekter!$C$235:$K$253,Elekter!D$234)</f>
        <v>0</v>
      </c>
      <c r="F322" s="284">
        <f>VLOOKUP($D322,Elekter!$C$235:$K$253,Elekter!E$234)</f>
        <v>15.058435903126785</v>
      </c>
      <c r="G322" s="284">
        <f>VLOOKUP($D322,Elekter!$C$235:$K$253,Elekter!F$234)</f>
        <v>14.460438184549691</v>
      </c>
      <c r="H322" s="284">
        <f>VLOOKUP($D322,Elekter!$C$235:$K$253,Elekter!G$234)</f>
        <v>-16.001492186816847</v>
      </c>
      <c r="I322" s="284">
        <f>VLOOKUP($D322,Elekter!$C$235:$K$253,Elekter!H$234)</f>
        <v>-14.998724126519662</v>
      </c>
      <c r="J322" s="284">
        <f>VLOOKUP($D322,Elekter!$C$235:$K$253,Elekter!I$234)</f>
        <v>-12.307809025123525</v>
      </c>
      <c r="K322" s="284">
        <f>VLOOKUP($D322,Elekter!$C$235:$K$253,Elekter!J$234)</f>
        <v>-1.7340442592661276</v>
      </c>
      <c r="L322" s="284">
        <f>VLOOKUP($D322,Elekter!$C$235:$K$253,Elekter!K$234)</f>
        <v>0.25181860234446773</v>
      </c>
    </row>
    <row r="323" spans="3:12" x14ac:dyDescent="0.3">
      <c r="C323" s="191" t="s">
        <v>285</v>
      </c>
      <c r="D323" s="183">
        <v>24</v>
      </c>
      <c r="E323" s="284">
        <f>VLOOKUP($D323,Elekter!$C$235:$K$253,Elekter!D$234)</f>
        <v>0</v>
      </c>
      <c r="F323" s="284">
        <f>VLOOKUP($D323,Elekter!$C$235:$K$253,Elekter!E$234)</f>
        <v>0</v>
      </c>
      <c r="G323" s="284">
        <f>VLOOKUP($D323,Elekter!$C$235:$K$253,Elekter!F$234)</f>
        <v>0</v>
      </c>
      <c r="H323" s="284">
        <f>VLOOKUP($D323,Elekter!$C$235:$K$253,Elekter!G$234)</f>
        <v>0</v>
      </c>
      <c r="I323" s="284">
        <f>VLOOKUP($D323,Elekter!$C$235:$K$253,Elekter!H$234)</f>
        <v>0</v>
      </c>
      <c r="J323" s="284">
        <f>VLOOKUP($D323,Elekter!$C$235:$K$253,Elekter!I$234)</f>
        <v>0</v>
      </c>
      <c r="K323" s="284">
        <f>VLOOKUP($D323,Elekter!$C$235:$K$253,Elekter!J$234)</f>
        <v>0</v>
      </c>
      <c r="L323" s="284">
        <f>VLOOKUP($D323,Elekter!$C$235:$K$253,Elekter!K$234)</f>
        <v>0</v>
      </c>
    </row>
    <row r="324" spans="3:12" x14ac:dyDescent="0.3">
      <c r="C324" s="191" t="s">
        <v>315</v>
      </c>
      <c r="D324" s="183">
        <v>26</v>
      </c>
      <c r="E324" s="284">
        <f>VLOOKUP($D324,Elekter!$C$235:$K$253,Elekter!D$234)</f>
        <v>0</v>
      </c>
      <c r="F324" s="284">
        <f>VLOOKUP($D324,Elekter!$C$235:$K$253,Elekter!E$234)</f>
        <v>0</v>
      </c>
      <c r="G324" s="284">
        <f>VLOOKUP($D324,Elekter!$C$235:$K$253,Elekter!F$234)</f>
        <v>0</v>
      </c>
      <c r="H324" s="284">
        <f>VLOOKUP($D324,Elekter!$C$235:$K$253,Elekter!G$234)</f>
        <v>0</v>
      </c>
      <c r="I324" s="284">
        <f>VLOOKUP($D324,Elekter!$C$235:$K$253,Elekter!H$234)</f>
        <v>0</v>
      </c>
      <c r="J324" s="284">
        <f>VLOOKUP($D324,Elekter!$C$235:$K$253,Elekter!I$234)</f>
        <v>0</v>
      </c>
      <c r="K324" s="284">
        <f>VLOOKUP($D324,Elekter!$C$235:$K$253,Elekter!J$234)</f>
        <v>0</v>
      </c>
      <c r="L324" s="284">
        <f>VLOOKUP($D324,Elekter!$C$235:$K$253,Elekter!K$234)</f>
        <v>0</v>
      </c>
    </row>
    <row r="325" spans="3:12" x14ac:dyDescent="0.3">
      <c r="C325" s="191" t="s">
        <v>38</v>
      </c>
      <c r="D325" s="183">
        <v>29</v>
      </c>
      <c r="E325" s="284">
        <f>VLOOKUP($D325,Elekter!$C$235:$K$253,Elekter!D$234)</f>
        <v>0</v>
      </c>
      <c r="F325" s="284">
        <f>VLOOKUP($D325,Elekter!$C$235:$K$253,Elekter!E$234)</f>
        <v>27.157432986923375</v>
      </c>
      <c r="G325" s="284">
        <f>VLOOKUP($D325,Elekter!$C$235:$K$253,Elekter!F$234)</f>
        <v>-26.689223808750619</v>
      </c>
      <c r="H325" s="284">
        <f>VLOOKUP($D325,Elekter!$C$235:$K$253,Elekter!G$234)</f>
        <v>-5.3338307289389491</v>
      </c>
      <c r="I325" s="284">
        <f>VLOOKUP($D325,Elekter!$C$235:$K$253,Elekter!H$234)</f>
        <v>-2.5707227496107818</v>
      </c>
      <c r="J325" s="284">
        <f>VLOOKUP($D325,Elekter!$C$235:$K$253,Elekter!I$234)</f>
        <v>8.9625403505702987</v>
      </c>
      <c r="K325" s="284">
        <f>VLOOKUP($D325,Elekter!$C$235:$K$253,Elekter!J$234)</f>
        <v>3.5523715349868414</v>
      </c>
      <c r="L325" s="284">
        <f>VLOOKUP($D325,Elekter!$C$235:$K$253,Elekter!K$234)</f>
        <v>48.537779477461285</v>
      </c>
    </row>
    <row r="326" spans="3:12" x14ac:dyDescent="0.3">
      <c r="C326" s="191" t="s">
        <v>136</v>
      </c>
      <c r="D326" s="183">
        <v>30</v>
      </c>
      <c r="E326" s="284">
        <f>VLOOKUP($D326,Elekter!$C$235:$K$253,Elekter!D$234)</f>
        <v>0</v>
      </c>
      <c r="F326" s="284">
        <f>VLOOKUP($D326,Elekter!$C$235:$K$253,Elekter!E$234)</f>
        <v>0</v>
      </c>
      <c r="G326" s="284">
        <f>VLOOKUP($D326,Elekter!$C$235:$K$253,Elekter!F$234)</f>
        <v>0</v>
      </c>
      <c r="H326" s="284">
        <f>VLOOKUP($D326,Elekter!$C$235:$K$253,Elekter!G$234)</f>
        <v>0</v>
      </c>
      <c r="I326" s="284">
        <f>VLOOKUP($D326,Elekter!$C$235:$K$253,Elekter!H$234)</f>
        <v>0</v>
      </c>
      <c r="J326" s="284">
        <f>VLOOKUP($D326,Elekter!$C$235:$K$253,Elekter!I$234)</f>
        <v>0</v>
      </c>
      <c r="K326" s="284">
        <f>VLOOKUP($D326,Elekter!$C$235:$K$253,Elekter!J$234)</f>
        <v>0</v>
      </c>
      <c r="L326" s="284">
        <f>VLOOKUP($D326,Elekter!$C$235:$K$253,Elekter!K$234)</f>
        <v>0</v>
      </c>
    </row>
    <row r="327" spans="3:12" x14ac:dyDescent="0.3">
      <c r="C327" s="191" t="s">
        <v>360</v>
      </c>
      <c r="D327" s="183">
        <v>31</v>
      </c>
      <c r="E327" s="284">
        <f>VLOOKUP($D327,Elekter!$C$235:$K$253,Elekter!D$234)</f>
        <v>0</v>
      </c>
      <c r="F327" s="284">
        <f>VLOOKUP($D327,Elekter!$C$235:$K$253,Elekter!E$234)</f>
        <v>0</v>
      </c>
      <c r="G327" s="284">
        <f>VLOOKUP($D327,Elekter!$C$235:$K$253,Elekter!F$234)</f>
        <v>0</v>
      </c>
      <c r="H327" s="284">
        <f>VLOOKUP($D327,Elekter!$C$235:$K$253,Elekter!G$234)</f>
        <v>0</v>
      </c>
      <c r="I327" s="284">
        <f>VLOOKUP($D327,Elekter!$C$235:$K$253,Elekter!H$234)</f>
        <v>0</v>
      </c>
      <c r="J327" s="284">
        <f>VLOOKUP($D327,Elekter!$C$235:$K$253,Elekter!I$234)</f>
        <v>0</v>
      </c>
      <c r="K327" s="284">
        <f>VLOOKUP($D327,Elekter!$C$235:$K$253,Elekter!J$234)</f>
        <v>0</v>
      </c>
      <c r="L327" s="284">
        <f>VLOOKUP($D327,Elekter!$C$235:$K$253,Elekter!K$234)</f>
        <v>0</v>
      </c>
    </row>
    <row r="328" spans="3:12" x14ac:dyDescent="0.3">
      <c r="C328" s="191" t="s">
        <v>361</v>
      </c>
      <c r="D328" s="183">
        <v>32</v>
      </c>
      <c r="E328" s="284">
        <f>VLOOKUP($D328,Elekter!$C$235:$K$253,Elekter!D$234)</f>
        <v>0</v>
      </c>
      <c r="F328" s="284">
        <f>VLOOKUP($D328,Elekter!$C$235:$K$253,Elekter!E$234)</f>
        <v>0</v>
      </c>
      <c r="G328" s="284">
        <f>VLOOKUP($D328,Elekter!$C$235:$K$253,Elekter!F$234)</f>
        <v>0</v>
      </c>
      <c r="H328" s="284">
        <f>VLOOKUP($D328,Elekter!$C$235:$K$253,Elekter!G$234)</f>
        <v>0</v>
      </c>
      <c r="I328" s="284">
        <f>VLOOKUP($D328,Elekter!$C$235:$K$253,Elekter!H$234)</f>
        <v>0</v>
      </c>
      <c r="J328" s="284">
        <f>VLOOKUP($D328,Elekter!$C$235:$K$253,Elekter!I$234)</f>
        <v>0</v>
      </c>
      <c r="K328" s="284">
        <f>VLOOKUP($D328,Elekter!$C$235:$K$253,Elekter!J$234)</f>
        <v>0</v>
      </c>
      <c r="L328" s="284">
        <f>VLOOKUP($D328,Elekter!$C$235:$K$253,Elekter!K$234)</f>
        <v>0</v>
      </c>
    </row>
    <row r="329" spans="3:12" x14ac:dyDescent="0.3">
      <c r="C329" s="191" t="s">
        <v>362</v>
      </c>
      <c r="D329" s="183">
        <v>33</v>
      </c>
      <c r="E329" s="284">
        <f>VLOOKUP($D329,Elekter!$C$235:$K$253,Elekter!D$234)</f>
        <v>0</v>
      </c>
      <c r="F329" s="284">
        <f>VLOOKUP($D329,Elekter!$C$235:$K$253,Elekter!E$234)</f>
        <v>0</v>
      </c>
      <c r="G329" s="284">
        <f>VLOOKUP($D329,Elekter!$C$235:$K$253,Elekter!F$234)</f>
        <v>0</v>
      </c>
      <c r="H329" s="284">
        <f>VLOOKUP($D329,Elekter!$C$235:$K$253,Elekter!G$234)</f>
        <v>0</v>
      </c>
      <c r="I329" s="284">
        <f>VLOOKUP($D329,Elekter!$C$235:$K$253,Elekter!H$234)</f>
        <v>0</v>
      </c>
      <c r="J329" s="284">
        <f>VLOOKUP($D329,Elekter!$C$235:$K$253,Elekter!I$234)</f>
        <v>0</v>
      </c>
      <c r="K329" s="284">
        <f>VLOOKUP($D329,Elekter!$C$235:$K$253,Elekter!J$234)</f>
        <v>0</v>
      </c>
      <c r="L329" s="284">
        <f>VLOOKUP($D329,Elekter!$C$235:$K$253,Elekter!K$234)</f>
        <v>0</v>
      </c>
    </row>
    <row r="330" spans="3:12" x14ac:dyDescent="0.3">
      <c r="C330" s="191" t="s">
        <v>363</v>
      </c>
      <c r="D330" s="183">
        <v>55</v>
      </c>
      <c r="E330" s="284">
        <f>VLOOKUP($D330,Elekter!$C$235:$K$253,Elekter!D$234)</f>
        <v>0</v>
      </c>
      <c r="F330" s="284">
        <f>VLOOKUP($D330,Elekter!$C$235:$K$253,Elekter!E$234)</f>
        <v>0</v>
      </c>
      <c r="G330" s="284">
        <f>VLOOKUP($D330,Elekter!$C$235:$K$253,Elekter!F$234)</f>
        <v>0</v>
      </c>
      <c r="H330" s="284">
        <f>VLOOKUP($D330,Elekter!$C$235:$K$253,Elekter!G$234)</f>
        <v>0</v>
      </c>
      <c r="I330" s="284">
        <f>VLOOKUP($D330,Elekter!$C$235:$K$253,Elekter!H$234)</f>
        <v>0</v>
      </c>
      <c r="J330" s="284">
        <f>VLOOKUP($D330,Elekter!$C$235:$K$253,Elekter!I$234)</f>
        <v>0</v>
      </c>
      <c r="K330" s="284">
        <f>VLOOKUP($D330,Elekter!$C$235:$K$253,Elekter!J$234)</f>
        <v>0</v>
      </c>
      <c r="L330" s="284">
        <f>VLOOKUP($D330,Elekter!$C$235:$K$253,Elekter!K$234)</f>
        <v>0</v>
      </c>
    </row>
    <row r="331" spans="3:12" x14ac:dyDescent="0.3">
      <c r="C331" s="259" t="s">
        <v>204</v>
      </c>
      <c r="D331" s="251">
        <v>101</v>
      </c>
      <c r="E331" s="284">
        <f>VLOOKUP($D331,Elekter!$C$235:$K$253,Elekter!D$234)</f>
        <v>0</v>
      </c>
      <c r="F331" s="284">
        <f>VLOOKUP($D331,Elekter!$C$235:$K$253,Elekter!E$234)</f>
        <v>-70.471591269258312</v>
      </c>
      <c r="G331" s="284">
        <f>VLOOKUP($D331,Elekter!$C$235:$K$253,Elekter!F$234)</f>
        <v>-87.121834529973285</v>
      </c>
      <c r="H331" s="284">
        <f>VLOOKUP($D331,Elekter!$C$235:$K$253,Elekter!G$234)</f>
        <v>-36.078844228440175</v>
      </c>
      <c r="I331" s="284">
        <f>VLOOKUP($D331,Elekter!$C$235:$K$253,Elekter!H$234)</f>
        <v>-26.502232412677046</v>
      </c>
      <c r="J331" s="284">
        <f>VLOOKUP($D331,Elekter!$C$235:$K$253,Elekter!I$234)</f>
        <v>-2.1204260463982649</v>
      </c>
      <c r="K331" s="284">
        <f>VLOOKUP($D331,Elekter!$C$235:$K$253,Elekter!J$234)</f>
        <v>-4.3223090123987902</v>
      </c>
      <c r="L331" s="284">
        <f>VLOOKUP($D331,Elekter!$C$235:$K$253,Elekter!K$234)</f>
        <v>-11.826773332108822</v>
      </c>
    </row>
    <row r="332" spans="3:12" x14ac:dyDescent="0.3">
      <c r="C332" s="259" t="s">
        <v>364</v>
      </c>
      <c r="D332" s="251">
        <v>102</v>
      </c>
      <c r="E332" s="284">
        <f>VLOOKUP($D332,Elekter!$C$235:$K$253,Elekter!D$234)</f>
        <v>0</v>
      </c>
      <c r="F332" s="284">
        <f>VLOOKUP($D332,Elekter!$C$235:$K$253,Elekter!E$234)</f>
        <v>0</v>
      </c>
      <c r="G332" s="284">
        <f>VLOOKUP($D332,Elekter!$C$235:$K$253,Elekter!F$234)</f>
        <v>0</v>
      </c>
      <c r="H332" s="284">
        <f>VLOOKUP($D332,Elekter!$C$235:$K$253,Elekter!G$234)</f>
        <v>0</v>
      </c>
      <c r="I332" s="284">
        <f>VLOOKUP($D332,Elekter!$C$235:$K$253,Elekter!H$234)</f>
        <v>0</v>
      </c>
      <c r="J332" s="284">
        <f>VLOOKUP($D332,Elekter!$C$235:$K$253,Elekter!I$234)</f>
        <v>0</v>
      </c>
      <c r="K332" s="284">
        <f>VLOOKUP($D332,Elekter!$C$235:$K$253,Elekter!J$234)</f>
        <v>0</v>
      </c>
      <c r="L332" s="284">
        <f>VLOOKUP($D332,Elekter!$C$235:$K$253,Elekter!K$234)</f>
        <v>0</v>
      </c>
    </row>
    <row r="333" spans="3:12" x14ac:dyDescent="0.3">
      <c r="C333" s="259" t="s">
        <v>457</v>
      </c>
      <c r="D333" s="251">
        <v>103</v>
      </c>
      <c r="E333" s="284">
        <f>VLOOKUP($D333,Elekter!$C$235:$K$253,Elekter!D$234)</f>
        <v>0</v>
      </c>
      <c r="F333" s="284">
        <f>VLOOKUP($D333,Elekter!$C$235:$K$253,Elekter!E$234)</f>
        <v>-3.36</v>
      </c>
      <c r="G333" s="284">
        <f>VLOOKUP($D333,Elekter!$C$235:$K$253,Elekter!F$234)</f>
        <v>-3.36</v>
      </c>
      <c r="H333" s="284">
        <f>VLOOKUP($D333,Elekter!$C$235:$K$253,Elekter!G$234)</f>
        <v>-3.36</v>
      </c>
      <c r="I333" s="284">
        <f>VLOOKUP($D333,Elekter!$C$235:$K$253,Elekter!H$234)</f>
        <v>-3.36</v>
      </c>
      <c r="J333" s="284">
        <f>VLOOKUP($D333,Elekter!$C$235:$K$253,Elekter!I$234)</f>
        <v>-3.36</v>
      </c>
      <c r="K333" s="284">
        <f>VLOOKUP($D333,Elekter!$C$235:$K$253,Elekter!J$234)</f>
        <v>-3.36</v>
      </c>
      <c r="L333" s="284">
        <f>VLOOKUP($D333,Elekter!$C$235:$K$253,Elekter!K$234)</f>
        <v>-3.36</v>
      </c>
    </row>
    <row r="334" spans="3:12" x14ac:dyDescent="0.3">
      <c r="C334" s="260" t="s">
        <v>110</v>
      </c>
      <c r="D334" s="252">
        <v>104</v>
      </c>
      <c r="E334" s="284">
        <f>VLOOKUP($D334,Elekter!$C$235:$K$253,Elekter!D$234)</f>
        <v>0</v>
      </c>
      <c r="F334" s="284">
        <f>VLOOKUP($D334,Elekter!$C$235:$K$253,Elekter!E$234)</f>
        <v>0</v>
      </c>
      <c r="G334" s="284">
        <f>VLOOKUP($D334,Elekter!$C$235:$K$253,Elekter!F$234)</f>
        <v>0</v>
      </c>
      <c r="H334" s="284">
        <f>VLOOKUP($D334,Elekter!$C$235:$K$253,Elekter!G$234)</f>
        <v>0</v>
      </c>
      <c r="I334" s="284">
        <f>VLOOKUP($D334,Elekter!$C$235:$K$253,Elekter!H$234)</f>
        <v>0</v>
      </c>
      <c r="J334" s="284">
        <f>VLOOKUP($D334,Elekter!$C$235:$K$253,Elekter!I$234)</f>
        <v>0</v>
      </c>
      <c r="K334" s="284">
        <f>VLOOKUP($D334,Elekter!$C$235:$K$253,Elekter!J$234)</f>
        <v>0</v>
      </c>
      <c r="L334" s="284">
        <f>VLOOKUP($D334,Elekter!$C$235:$K$253,Elekter!K$234)</f>
        <v>0</v>
      </c>
    </row>
    <row r="335" spans="3:12" x14ac:dyDescent="0.3">
      <c r="C335" s="259" t="s">
        <v>53</v>
      </c>
      <c r="D335" s="251">
        <v>105</v>
      </c>
      <c r="E335" s="284">
        <f>VLOOKUP($D335,Elekter!$C$235:$K$253,Elekter!D$234)</f>
        <v>0</v>
      </c>
      <c r="F335" s="284">
        <f>VLOOKUP($D335,Elekter!$C$235:$K$253,Elekter!E$234)</f>
        <v>0</v>
      </c>
      <c r="G335" s="284">
        <f>VLOOKUP($D335,Elekter!$C$235:$K$253,Elekter!F$234)</f>
        <v>0</v>
      </c>
      <c r="H335" s="284">
        <f>VLOOKUP($D335,Elekter!$C$235:$K$253,Elekter!G$234)</f>
        <v>0</v>
      </c>
      <c r="I335" s="284">
        <f>VLOOKUP($D335,Elekter!$C$235:$K$253,Elekter!H$234)</f>
        <v>0</v>
      </c>
      <c r="J335" s="284">
        <f>VLOOKUP($D335,Elekter!$C$235:$K$253,Elekter!I$234)</f>
        <v>0</v>
      </c>
      <c r="K335" s="284">
        <f>VLOOKUP($D335,Elekter!$C$235:$K$253,Elekter!J$234)</f>
        <v>0</v>
      </c>
      <c r="L335" s="284">
        <f>VLOOKUP($D335,Elekter!$C$235:$K$253,Elekter!K$234)</f>
        <v>0</v>
      </c>
    </row>
    <row r="336" spans="3:12" x14ac:dyDescent="0.3">
      <c r="C336" s="259" t="s">
        <v>666</v>
      </c>
      <c r="D336" s="251">
        <v>106</v>
      </c>
      <c r="E336" s="284">
        <f>VLOOKUP($D336,Elekter!$C$235:$K$253,Elekter!D$234)</f>
        <v>0</v>
      </c>
      <c r="F336" s="284">
        <f>VLOOKUP($D336,Elekter!$C$235:$K$253,Elekter!E$234)</f>
        <v>28.266488027484428</v>
      </c>
      <c r="G336" s="284">
        <f>VLOOKUP($D336,Elekter!$C$235:$K$253,Elekter!F$234)</f>
        <v>20.104293924126608</v>
      </c>
      <c r="H336" s="284">
        <f>VLOOKUP($D336,Elekter!$C$235:$K$253,Elekter!G$234)</f>
        <v>20.106502483988848</v>
      </c>
      <c r="I336" s="284">
        <f>VLOOKUP($D336,Elekter!$C$235:$K$253,Elekter!H$234)</f>
        <v>21.32788320024811</v>
      </c>
      <c r="J336" s="284">
        <f>VLOOKUP($D336,Elekter!$C$235:$K$253,Elekter!I$234)</f>
        <v>27.213433648224367</v>
      </c>
      <c r="K336" s="284">
        <f>VLOOKUP($D336,Elekter!$C$235:$K$253,Elekter!J$234)</f>
        <v>19.398245921154313</v>
      </c>
      <c r="L336" s="284">
        <f>VLOOKUP($D336,Elekter!$C$235:$K$253,Elekter!K$234)</f>
        <v>27.61943008994038</v>
      </c>
    </row>
    <row r="337" spans="2:12" x14ac:dyDescent="0.3">
      <c r="C337" s="183" t="s">
        <v>321</v>
      </c>
      <c r="D337" s="253" t="s">
        <v>293</v>
      </c>
      <c r="E337" s="284"/>
      <c r="F337" s="284"/>
      <c r="G337" s="284"/>
      <c r="H337" s="284"/>
      <c r="I337" s="284"/>
      <c r="J337" s="284"/>
      <c r="K337" s="284"/>
      <c r="L337" s="284"/>
    </row>
    <row r="338" spans="2:12" x14ac:dyDescent="0.3">
      <c r="C338" s="191" t="s">
        <v>650</v>
      </c>
      <c r="D338" s="253" t="s">
        <v>75</v>
      </c>
      <c r="E338" s="284">
        <f>Elekter!D116</f>
        <v>0</v>
      </c>
      <c r="F338" s="284">
        <f>Elekter!E116</f>
        <v>-16441.827599073535</v>
      </c>
      <c r="G338" s="284">
        <f>Elekter!F116</f>
        <v>-6808.797927019099</v>
      </c>
      <c r="H338" s="284">
        <f>Elekter!G116</f>
        <v>-2795.1835028659116</v>
      </c>
      <c r="I338" s="284">
        <f>Elekter!H116</f>
        <v>1325.4965151017532</v>
      </c>
      <c r="J338" s="284">
        <f>Elekter!I116</f>
        <v>-1373.1342498884405</v>
      </c>
      <c r="K338" s="284">
        <f>Elekter!J116</f>
        <v>-1465.1465307366743</v>
      </c>
      <c r="L338" s="284">
        <f>Elekter!K116</f>
        <v>3966.9382484029593</v>
      </c>
    </row>
    <row r="339" spans="2:12" x14ac:dyDescent="0.3">
      <c r="C339" s="279" t="s">
        <v>323</v>
      </c>
      <c r="D339" s="253" t="s">
        <v>75</v>
      </c>
      <c r="E339" s="284">
        <f>Elekter!D117</f>
        <v>0</v>
      </c>
      <c r="F339" s="284">
        <f>Elekter!E117</f>
        <v>-63414.138553267017</v>
      </c>
      <c r="G339" s="284">
        <f>Elekter!F117</f>
        <v>-51998.339226219876</v>
      </c>
      <c r="H339" s="284">
        <f>Elekter!G117</f>
        <v>-42766.364459941469</v>
      </c>
      <c r="I339" s="284">
        <f>Elekter!H117</f>
        <v>-34619.544349918433</v>
      </c>
      <c r="J339" s="284">
        <f>Elekter!I117</f>
        <v>-29151.970194208952</v>
      </c>
      <c r="K339" s="284">
        <f>Elekter!J117</f>
        <v>-15954.639381278688</v>
      </c>
      <c r="L339" s="284">
        <f>Elekter!K117</f>
        <v>-14648.231806576761</v>
      </c>
    </row>
    <row r="340" spans="2:12" x14ac:dyDescent="0.3">
      <c r="C340" s="279" t="s">
        <v>324</v>
      </c>
      <c r="D340" s="253" t="s">
        <v>75</v>
      </c>
      <c r="E340" s="284">
        <f>Elekter!D118</f>
        <v>0</v>
      </c>
      <c r="F340" s="284">
        <f>Elekter!E118</f>
        <v>40345.729369578155</v>
      </c>
      <c r="G340" s="284">
        <f>Elekter!F118</f>
        <v>38594.272987703676</v>
      </c>
      <c r="H340" s="284">
        <f>Elekter!G118</f>
        <v>33356.254744946811</v>
      </c>
      <c r="I340" s="284">
        <f>Elekter!H118</f>
        <v>29437.071983033878</v>
      </c>
      <c r="J340" s="284">
        <f>Elekter!I118</f>
        <v>21441.932209655628</v>
      </c>
      <c r="K340" s="284">
        <f>Elekter!J118</f>
        <v>8467.2448655646403</v>
      </c>
      <c r="L340" s="284">
        <f>Elekter!K118</f>
        <v>11845.197146171573</v>
      </c>
    </row>
    <row r="341" spans="2:12" x14ac:dyDescent="0.3">
      <c r="C341" s="280" t="s">
        <v>325</v>
      </c>
      <c r="D341" s="253" t="s">
        <v>75</v>
      </c>
      <c r="E341" s="284">
        <f>Elekter!D119</f>
        <v>0</v>
      </c>
      <c r="F341" s="284">
        <f>Elekter!E119</f>
        <v>40345.729369578155</v>
      </c>
      <c r="G341" s="284">
        <f>Elekter!F119</f>
        <v>38594.272987703705</v>
      </c>
      <c r="H341" s="284">
        <f>Elekter!G119</f>
        <v>33356.254744946818</v>
      </c>
      <c r="I341" s="284">
        <f>Elekter!H119</f>
        <v>29437.071983033886</v>
      </c>
      <c r="J341" s="284">
        <f>Elekter!I119</f>
        <v>21441.932209655632</v>
      </c>
      <c r="K341" s="284">
        <f>Elekter!J119</f>
        <v>8467.2448655646403</v>
      </c>
      <c r="L341" s="284">
        <f>Elekter!K119</f>
        <v>11845.197146171568</v>
      </c>
    </row>
    <row r="342" spans="2:12" x14ac:dyDescent="0.3">
      <c r="C342" s="280" t="s">
        <v>541</v>
      </c>
      <c r="D342" s="253" t="s">
        <v>75</v>
      </c>
      <c r="E342" s="284"/>
      <c r="F342" s="284"/>
      <c r="G342" s="284"/>
      <c r="H342" s="284"/>
      <c r="I342" s="284"/>
      <c r="J342" s="284"/>
      <c r="K342" s="284"/>
      <c r="L342" s="284"/>
    </row>
    <row r="343" spans="2:12" x14ac:dyDescent="0.3">
      <c r="C343" s="191" t="s">
        <v>326</v>
      </c>
      <c r="D343" s="253" t="s">
        <v>306</v>
      </c>
      <c r="E343" s="284">
        <f>Elekter!D120</f>
        <v>0</v>
      </c>
      <c r="F343" s="284">
        <f>Elekter!E120</f>
        <v>0</v>
      </c>
      <c r="G343" s="284">
        <f>Elekter!F120</f>
        <v>0</v>
      </c>
      <c r="H343" s="284">
        <f>Elekter!G120</f>
        <v>0</v>
      </c>
      <c r="I343" s="284">
        <f>Elekter!H120</f>
        <v>0</v>
      </c>
      <c r="J343" s="284">
        <f>Elekter!I120</f>
        <v>0</v>
      </c>
      <c r="K343" s="284">
        <f>Elekter!J120</f>
        <v>0</v>
      </c>
      <c r="L343" s="284">
        <f>Elekter!K120</f>
        <v>0</v>
      </c>
    </row>
    <row r="344" spans="2:12" x14ac:dyDescent="0.3">
      <c r="C344" s="301" t="s">
        <v>387</v>
      </c>
      <c r="D344" s="253" t="s">
        <v>388</v>
      </c>
      <c r="E344" s="284">
        <f>Elekter!D141</f>
        <v>0</v>
      </c>
      <c r="F344" s="284">
        <f>Elekter!E141</f>
        <v>-1868.6832381304721</v>
      </c>
      <c r="G344" s="284">
        <f>Elekter!F141</f>
        <v>-967.23650449979323</v>
      </c>
      <c r="H344" s="284">
        <f>Elekter!G141</f>
        <v>-598.00894922382486</v>
      </c>
      <c r="I344" s="284">
        <f>Elekter!H141</f>
        <v>-215.75715136301915</v>
      </c>
      <c r="J344" s="284">
        <f>Elekter!I141</f>
        <v>-489.96901776287177</v>
      </c>
      <c r="K344" s="284">
        <f>Elekter!J141</f>
        <v>-511.94339361861103</v>
      </c>
      <c r="L344" s="284">
        <f>Elekter!K141</f>
        <v>-103.35335357350368</v>
      </c>
    </row>
    <row r="345" spans="2:12" x14ac:dyDescent="0.3">
      <c r="C345" s="304"/>
      <c r="D345" s="305"/>
      <c r="E345" s="306"/>
      <c r="F345" s="306"/>
      <c r="G345" s="306"/>
      <c r="H345" s="306"/>
      <c r="I345" s="306"/>
      <c r="J345" s="306"/>
      <c r="K345" s="306"/>
      <c r="L345" s="306"/>
    </row>
    <row r="346" spans="2:12" ht="11.25" customHeight="1" x14ac:dyDescent="0.3">
      <c r="B346" s="106"/>
      <c r="C346" s="283" t="s">
        <v>790</v>
      </c>
      <c r="D346" s="119"/>
      <c r="E346" s="195"/>
      <c r="F346" s="106"/>
      <c r="G346" s="112"/>
    </row>
    <row r="347" spans="2:12" x14ac:dyDescent="0.3">
      <c r="C347" s="282" t="s">
        <v>259</v>
      </c>
      <c r="D347" s="253" t="s">
        <v>318</v>
      </c>
      <c r="E347" s="183">
        <v>2015</v>
      </c>
      <c r="F347" s="183">
        <v>2020</v>
      </c>
      <c r="G347" s="183">
        <v>2025</v>
      </c>
      <c r="H347" s="183">
        <v>2030</v>
      </c>
      <c r="I347" s="183">
        <v>2035</v>
      </c>
      <c r="J347" s="183">
        <v>2040</v>
      </c>
      <c r="K347" s="183">
        <v>2045</v>
      </c>
      <c r="L347" s="183">
        <v>2050</v>
      </c>
    </row>
    <row r="348" spans="2:12" x14ac:dyDescent="0.3">
      <c r="C348" s="191" t="s">
        <v>231</v>
      </c>
      <c r="D348" s="183">
        <v>1</v>
      </c>
      <c r="E348" s="284">
        <f>VLOOKUP($D348,Elekter!$C$258:$K$276,Elekter!D$257)</f>
        <v>0</v>
      </c>
      <c r="F348" s="284">
        <f>VLOOKUP($D348,Elekter!$C$258:$K$276,Elekter!E$257)</f>
        <v>-1.4291611025280426E-2</v>
      </c>
      <c r="G348" s="284">
        <f>VLOOKUP($D348,Elekter!$C$258:$K$276,Elekter!F$257)</f>
        <v>-1.7552796823834038E-2</v>
      </c>
      <c r="H348" s="284">
        <f>VLOOKUP($D348,Elekter!$C$258:$K$276,Elekter!G$257)</f>
        <v>-1.8489535753126063E-2</v>
      </c>
      <c r="I348" s="284">
        <f>VLOOKUP($D348,Elekter!$C$258:$K$276,Elekter!H$257)</f>
        <v>-1.0632182039500337E-2</v>
      </c>
      <c r="J348" s="284">
        <f>VLOOKUP($D348,Elekter!$C$258:$K$276,Elekter!I$257)</f>
        <v>0</v>
      </c>
      <c r="K348" s="284">
        <f>VLOOKUP($D348,Elekter!$C$258:$K$276,Elekter!J$257)</f>
        <v>0</v>
      </c>
      <c r="L348" s="284">
        <f>VLOOKUP($D348,Elekter!$C$258:$K$276,Elekter!K$257)</f>
        <v>0</v>
      </c>
    </row>
    <row r="349" spans="2:12" x14ac:dyDescent="0.3">
      <c r="C349" s="191" t="s">
        <v>209</v>
      </c>
      <c r="D349" s="183">
        <v>2</v>
      </c>
      <c r="E349" s="284">
        <f>VLOOKUP($D349,Elekter!$C$258:$K$276,Elekter!D$257)</f>
        <v>0</v>
      </c>
      <c r="F349" s="284">
        <f>VLOOKUP($D349,Elekter!$C$258:$K$276,Elekter!E$257)</f>
        <v>-18.623722235384911</v>
      </c>
      <c r="G349" s="284">
        <f>VLOOKUP($D349,Elekter!$C$258:$K$276,Elekter!F$257)</f>
        <v>-15.898428081058611</v>
      </c>
      <c r="H349" s="284">
        <f>VLOOKUP($D349,Elekter!$C$258:$K$276,Elekter!G$257)</f>
        <v>4.7600599377475135</v>
      </c>
      <c r="I349" s="284">
        <f>VLOOKUP($D349,Elekter!$C$258:$K$276,Elekter!H$257)</f>
        <v>4.3644387186399882</v>
      </c>
      <c r="J349" s="284">
        <f>VLOOKUP($D349,Elekter!$C$258:$K$276,Elekter!I$257)</f>
        <v>3.7429442091751639</v>
      </c>
      <c r="K349" s="284">
        <f>VLOOKUP($D349,Elekter!$C$258:$K$276,Elekter!J$257)</f>
        <v>-3.2561414117912619</v>
      </c>
      <c r="L349" s="284">
        <f>VLOOKUP($D349,Elekter!$C$258:$K$276,Elekter!K$257)</f>
        <v>7.5416315776145666</v>
      </c>
    </row>
    <row r="350" spans="2:12" x14ac:dyDescent="0.3">
      <c r="C350" s="191" t="s">
        <v>417</v>
      </c>
      <c r="D350" s="183">
        <v>4</v>
      </c>
      <c r="E350" s="284">
        <f>VLOOKUP($D350,Elekter!$C$258:$K$276,Elekter!D$257)</f>
        <v>0</v>
      </c>
      <c r="F350" s="284">
        <f>VLOOKUP($D350,Elekter!$C$258:$K$276,Elekter!E$257)</f>
        <v>105.02764309936968</v>
      </c>
      <c r="G350" s="284">
        <f>VLOOKUP($D350,Elekter!$C$258:$K$276,Elekter!F$257)</f>
        <v>65.982839999999868</v>
      </c>
      <c r="H350" s="284">
        <f>VLOOKUP($D350,Elekter!$C$258:$K$276,Elekter!G$257)</f>
        <v>0.83329251677414939</v>
      </c>
      <c r="I350" s="284">
        <f>VLOOKUP($D350,Elekter!$C$258:$K$276,Elekter!H$257)</f>
        <v>0.92472657807308878</v>
      </c>
      <c r="J350" s="284">
        <f>VLOOKUP($D350,Elekter!$C$258:$K$276,Elekter!I$257)</f>
        <v>1.0709999999999973</v>
      </c>
      <c r="K350" s="284">
        <f>VLOOKUP($D350,Elekter!$C$258:$K$276,Elekter!J$257)</f>
        <v>0</v>
      </c>
      <c r="L350" s="284">
        <f>VLOOKUP($D350,Elekter!$C$258:$K$276,Elekter!K$257)</f>
        <v>0</v>
      </c>
    </row>
    <row r="351" spans="2:12" x14ac:dyDescent="0.3">
      <c r="C351" s="191" t="s">
        <v>124</v>
      </c>
      <c r="D351" s="183">
        <v>10</v>
      </c>
      <c r="E351" s="284">
        <f>VLOOKUP($D351,Elekter!$C$258:$K$276,Elekter!D$257)</f>
        <v>0</v>
      </c>
      <c r="F351" s="284">
        <f>VLOOKUP($D351,Elekter!$C$258:$K$276,Elekter!E$257)</f>
        <v>0</v>
      </c>
      <c r="G351" s="284">
        <f>VLOOKUP($D351,Elekter!$C$258:$K$276,Elekter!F$257)</f>
        <v>0</v>
      </c>
      <c r="H351" s="284">
        <f>VLOOKUP($D351,Elekter!$C$258:$K$276,Elekter!G$257)</f>
        <v>0</v>
      </c>
      <c r="I351" s="284">
        <f>VLOOKUP($D351,Elekter!$C$258:$K$276,Elekter!H$257)</f>
        <v>0</v>
      </c>
      <c r="J351" s="284">
        <f>VLOOKUP($D351,Elekter!$C$258:$K$276,Elekter!I$257)</f>
        <v>0</v>
      </c>
      <c r="K351" s="284">
        <f>VLOOKUP($D351,Elekter!$C$258:$K$276,Elekter!J$257)</f>
        <v>0</v>
      </c>
      <c r="L351" s="284">
        <f>VLOOKUP($D351,Elekter!$C$258:$K$276,Elekter!K$257)</f>
        <v>0</v>
      </c>
    </row>
    <row r="352" spans="2:12" x14ac:dyDescent="0.3">
      <c r="C352" s="191" t="s">
        <v>133</v>
      </c>
      <c r="D352" s="183">
        <v>23</v>
      </c>
      <c r="E352" s="284">
        <f>VLOOKUP($D352,Elekter!$C$258:$K$276,Elekter!D$257)</f>
        <v>0</v>
      </c>
      <c r="F352" s="284">
        <f>VLOOKUP($D352,Elekter!$C$258:$K$276,Elekter!E$257)</f>
        <v>14.098779020596943</v>
      </c>
      <c r="G352" s="284">
        <f>VLOOKUP($D352,Elekter!$C$258:$K$276,Elekter!F$257)</f>
        <v>13.388191784366001</v>
      </c>
      <c r="H352" s="284">
        <f>VLOOKUP($D352,Elekter!$C$258:$K$276,Elekter!G$257)</f>
        <v>-2.7267695501005242</v>
      </c>
      <c r="I352" s="284">
        <f>VLOOKUP($D352,Elekter!$C$258:$K$276,Elekter!H$257)</f>
        <v>-0.39034431323469931</v>
      </c>
      <c r="J352" s="284">
        <f>VLOOKUP($D352,Elekter!$C$258:$K$276,Elekter!I$257)</f>
        <v>1.0280685212862224</v>
      </c>
      <c r="K352" s="284">
        <f>VLOOKUP($D352,Elekter!$C$258:$K$276,Elekter!J$257)</f>
        <v>13.799743276073855</v>
      </c>
      <c r="L352" s="284">
        <f>VLOOKUP($D352,Elekter!$C$258:$K$276,Elekter!K$257)</f>
        <v>20.143220095500361</v>
      </c>
    </row>
    <row r="353" spans="3:12" x14ac:dyDescent="0.3">
      <c r="C353" s="191" t="s">
        <v>285</v>
      </c>
      <c r="D353" s="183">
        <v>24</v>
      </c>
      <c r="E353" s="284">
        <f>VLOOKUP($D353,Elekter!$C$258:$K$276,Elekter!D$257)</f>
        <v>0</v>
      </c>
      <c r="F353" s="284">
        <f>VLOOKUP($D353,Elekter!$C$258:$K$276,Elekter!E$257)</f>
        <v>0</v>
      </c>
      <c r="G353" s="284">
        <f>VLOOKUP($D353,Elekter!$C$258:$K$276,Elekter!F$257)</f>
        <v>0</v>
      </c>
      <c r="H353" s="284">
        <f>VLOOKUP($D353,Elekter!$C$258:$K$276,Elekter!G$257)</f>
        <v>0</v>
      </c>
      <c r="I353" s="284">
        <f>VLOOKUP($D353,Elekter!$C$258:$K$276,Elekter!H$257)</f>
        <v>0</v>
      </c>
      <c r="J353" s="284">
        <f>VLOOKUP($D353,Elekter!$C$258:$K$276,Elekter!I$257)</f>
        <v>0</v>
      </c>
      <c r="K353" s="284">
        <f>VLOOKUP($D353,Elekter!$C$258:$K$276,Elekter!J$257)</f>
        <v>0</v>
      </c>
      <c r="L353" s="284">
        <f>VLOOKUP($D353,Elekter!$C$258:$K$276,Elekter!K$257)</f>
        <v>0</v>
      </c>
    </row>
    <row r="354" spans="3:12" x14ac:dyDescent="0.3">
      <c r="C354" s="191" t="s">
        <v>315</v>
      </c>
      <c r="D354" s="183">
        <v>26</v>
      </c>
      <c r="E354" s="284">
        <f>VLOOKUP($D354,Elekter!$C$258:$K$276,Elekter!D$257)</f>
        <v>0</v>
      </c>
      <c r="F354" s="284">
        <f>VLOOKUP($D354,Elekter!$C$258:$K$276,Elekter!E$257)</f>
        <v>0</v>
      </c>
      <c r="G354" s="284">
        <f>VLOOKUP($D354,Elekter!$C$258:$K$276,Elekter!F$257)</f>
        <v>0</v>
      </c>
      <c r="H354" s="284">
        <f>VLOOKUP($D354,Elekter!$C$258:$K$276,Elekter!G$257)</f>
        <v>0</v>
      </c>
      <c r="I354" s="284">
        <f>VLOOKUP($D354,Elekter!$C$258:$K$276,Elekter!H$257)</f>
        <v>0</v>
      </c>
      <c r="J354" s="284">
        <f>VLOOKUP($D354,Elekter!$C$258:$K$276,Elekter!I$257)</f>
        <v>0</v>
      </c>
      <c r="K354" s="284">
        <f>VLOOKUP($D354,Elekter!$C$258:$K$276,Elekter!J$257)</f>
        <v>0</v>
      </c>
      <c r="L354" s="284">
        <f>VLOOKUP($D354,Elekter!$C$258:$K$276,Elekter!K$257)</f>
        <v>0</v>
      </c>
    </row>
    <row r="355" spans="3:12" x14ac:dyDescent="0.3">
      <c r="C355" s="191" t="s">
        <v>38</v>
      </c>
      <c r="D355" s="183">
        <v>29</v>
      </c>
      <c r="E355" s="284">
        <f>VLOOKUP($D355,Elekter!$C$258:$K$276,Elekter!D$257)</f>
        <v>0</v>
      </c>
      <c r="F355" s="284">
        <f>VLOOKUP($D355,Elekter!$C$258:$K$276,Elekter!E$257)</f>
        <v>8.8737323964476182</v>
      </c>
      <c r="G355" s="284">
        <f>VLOOKUP($D355,Elekter!$C$258:$K$276,Elekter!F$257)</f>
        <v>12.815633837443011</v>
      </c>
      <c r="H355" s="284">
        <f>VLOOKUP($D355,Elekter!$C$258:$K$276,Elekter!G$257)</f>
        <v>28.333317114595111</v>
      </c>
      <c r="I355" s="284">
        <f>VLOOKUP($D355,Elekter!$C$258:$K$276,Elekter!H$257)</f>
        <v>4.0702100315018184</v>
      </c>
      <c r="J355" s="284">
        <f>VLOOKUP($D355,Elekter!$C$258:$K$276,Elekter!I$257)</f>
        <v>0.69553494435508734</v>
      </c>
      <c r="K355" s="284">
        <f>VLOOKUP($D355,Elekter!$C$258:$K$276,Elekter!J$257)</f>
        <v>-21.544431864145679</v>
      </c>
      <c r="L355" s="284">
        <f>VLOOKUP($D355,Elekter!$C$258:$K$276,Elekter!K$257)</f>
        <v>37.888697473243781</v>
      </c>
    </row>
    <row r="356" spans="3:12" x14ac:dyDescent="0.3">
      <c r="C356" s="191" t="s">
        <v>136</v>
      </c>
      <c r="D356" s="183">
        <v>30</v>
      </c>
      <c r="E356" s="284">
        <f>VLOOKUP($D356,Elekter!$C$258:$K$276,Elekter!D$257)</f>
        <v>0</v>
      </c>
      <c r="F356" s="284">
        <f>VLOOKUP($D356,Elekter!$C$258:$K$276,Elekter!E$257)</f>
        <v>0</v>
      </c>
      <c r="G356" s="284">
        <f>VLOOKUP($D356,Elekter!$C$258:$K$276,Elekter!F$257)</f>
        <v>0</v>
      </c>
      <c r="H356" s="284">
        <f>VLOOKUP($D356,Elekter!$C$258:$K$276,Elekter!G$257)</f>
        <v>0</v>
      </c>
      <c r="I356" s="284">
        <f>VLOOKUP($D356,Elekter!$C$258:$K$276,Elekter!H$257)</f>
        <v>0</v>
      </c>
      <c r="J356" s="284">
        <f>VLOOKUP($D356,Elekter!$C$258:$K$276,Elekter!I$257)</f>
        <v>0</v>
      </c>
      <c r="K356" s="284">
        <f>VLOOKUP($D356,Elekter!$C$258:$K$276,Elekter!J$257)</f>
        <v>0</v>
      </c>
      <c r="L356" s="284">
        <f>VLOOKUP($D356,Elekter!$C$258:$K$276,Elekter!K$257)</f>
        <v>0</v>
      </c>
    </row>
    <row r="357" spans="3:12" x14ac:dyDescent="0.3">
      <c r="C357" s="191" t="s">
        <v>360</v>
      </c>
      <c r="D357" s="183">
        <v>31</v>
      </c>
      <c r="E357" s="284">
        <f>VLOOKUP($D357,Elekter!$C$258:$K$276,Elekter!D$257)</f>
        <v>0</v>
      </c>
      <c r="F357" s="284">
        <f>VLOOKUP($D357,Elekter!$C$258:$K$276,Elekter!E$257)</f>
        <v>0</v>
      </c>
      <c r="G357" s="284">
        <f>VLOOKUP($D357,Elekter!$C$258:$K$276,Elekter!F$257)</f>
        <v>0</v>
      </c>
      <c r="H357" s="284">
        <f>VLOOKUP($D357,Elekter!$C$258:$K$276,Elekter!G$257)</f>
        <v>0</v>
      </c>
      <c r="I357" s="284">
        <f>VLOOKUP($D357,Elekter!$C$258:$K$276,Elekter!H$257)</f>
        <v>0</v>
      </c>
      <c r="J357" s="284">
        <f>VLOOKUP($D357,Elekter!$C$258:$K$276,Elekter!I$257)</f>
        <v>0</v>
      </c>
      <c r="K357" s="284">
        <f>VLOOKUP($D357,Elekter!$C$258:$K$276,Elekter!J$257)</f>
        <v>0</v>
      </c>
      <c r="L357" s="284">
        <f>VLOOKUP($D357,Elekter!$C$258:$K$276,Elekter!K$257)</f>
        <v>0</v>
      </c>
    </row>
    <row r="358" spans="3:12" x14ac:dyDescent="0.3">
      <c r="C358" s="191" t="s">
        <v>361</v>
      </c>
      <c r="D358" s="183">
        <v>32</v>
      </c>
      <c r="E358" s="284">
        <f>VLOOKUP($D358,Elekter!$C$258:$K$276,Elekter!D$257)</f>
        <v>0</v>
      </c>
      <c r="F358" s="284">
        <f>VLOOKUP($D358,Elekter!$C$258:$K$276,Elekter!E$257)</f>
        <v>0</v>
      </c>
      <c r="G358" s="284">
        <f>VLOOKUP($D358,Elekter!$C$258:$K$276,Elekter!F$257)</f>
        <v>0</v>
      </c>
      <c r="H358" s="284">
        <f>VLOOKUP($D358,Elekter!$C$258:$K$276,Elekter!G$257)</f>
        <v>0</v>
      </c>
      <c r="I358" s="284">
        <f>VLOOKUP($D358,Elekter!$C$258:$K$276,Elekter!H$257)</f>
        <v>0</v>
      </c>
      <c r="J358" s="284">
        <f>VLOOKUP($D358,Elekter!$C$258:$K$276,Elekter!I$257)</f>
        <v>0</v>
      </c>
      <c r="K358" s="284">
        <f>VLOOKUP($D358,Elekter!$C$258:$K$276,Elekter!J$257)</f>
        <v>0</v>
      </c>
      <c r="L358" s="284">
        <f>VLOOKUP($D358,Elekter!$C$258:$K$276,Elekter!K$257)</f>
        <v>0</v>
      </c>
    </row>
    <row r="359" spans="3:12" x14ac:dyDescent="0.3">
      <c r="C359" s="191" t="s">
        <v>362</v>
      </c>
      <c r="D359" s="183">
        <v>33</v>
      </c>
      <c r="E359" s="284">
        <f>VLOOKUP($D359,Elekter!$C$258:$K$276,Elekter!D$257)</f>
        <v>0</v>
      </c>
      <c r="F359" s="284">
        <f>VLOOKUP($D359,Elekter!$C$258:$K$276,Elekter!E$257)</f>
        <v>0</v>
      </c>
      <c r="G359" s="284">
        <f>VLOOKUP($D359,Elekter!$C$258:$K$276,Elekter!F$257)</f>
        <v>0</v>
      </c>
      <c r="H359" s="284">
        <f>VLOOKUP($D359,Elekter!$C$258:$K$276,Elekter!G$257)</f>
        <v>0</v>
      </c>
      <c r="I359" s="284">
        <f>VLOOKUP($D359,Elekter!$C$258:$K$276,Elekter!H$257)</f>
        <v>0</v>
      </c>
      <c r="J359" s="284">
        <f>VLOOKUP($D359,Elekter!$C$258:$K$276,Elekter!I$257)</f>
        <v>0</v>
      </c>
      <c r="K359" s="284">
        <f>VLOOKUP($D359,Elekter!$C$258:$K$276,Elekter!J$257)</f>
        <v>0</v>
      </c>
      <c r="L359" s="284">
        <f>VLOOKUP($D359,Elekter!$C$258:$K$276,Elekter!K$257)</f>
        <v>0</v>
      </c>
    </row>
    <row r="360" spans="3:12" x14ac:dyDescent="0.3">
      <c r="C360" s="191" t="s">
        <v>363</v>
      </c>
      <c r="D360" s="183">
        <v>55</v>
      </c>
      <c r="E360" s="284">
        <f>VLOOKUP($D360,Elekter!$C$258:$K$276,Elekter!D$257)</f>
        <v>0</v>
      </c>
      <c r="F360" s="284">
        <f>VLOOKUP($D360,Elekter!$C$258:$K$276,Elekter!E$257)</f>
        <v>0</v>
      </c>
      <c r="G360" s="284">
        <f>VLOOKUP($D360,Elekter!$C$258:$K$276,Elekter!F$257)</f>
        <v>0</v>
      </c>
      <c r="H360" s="284">
        <f>VLOOKUP($D360,Elekter!$C$258:$K$276,Elekter!G$257)</f>
        <v>0</v>
      </c>
      <c r="I360" s="284">
        <f>VLOOKUP($D360,Elekter!$C$258:$K$276,Elekter!H$257)</f>
        <v>0</v>
      </c>
      <c r="J360" s="284">
        <f>VLOOKUP($D360,Elekter!$C$258:$K$276,Elekter!I$257)</f>
        <v>0</v>
      </c>
      <c r="K360" s="284">
        <f>VLOOKUP($D360,Elekter!$C$258:$K$276,Elekter!J$257)</f>
        <v>0</v>
      </c>
      <c r="L360" s="284">
        <f>VLOOKUP($D360,Elekter!$C$258:$K$276,Elekter!K$257)</f>
        <v>0</v>
      </c>
    </row>
    <row r="361" spans="3:12" x14ac:dyDescent="0.3">
      <c r="C361" s="259" t="s">
        <v>204</v>
      </c>
      <c r="D361" s="251">
        <v>101</v>
      </c>
      <c r="E361" s="284">
        <f>VLOOKUP($D361,Elekter!$C$258:$K$276,Elekter!D$257)</f>
        <v>0</v>
      </c>
      <c r="F361" s="284">
        <f>VLOOKUP($D361,Elekter!$C$258:$K$276,Elekter!E$257)</f>
        <v>297.64844357761382</v>
      </c>
      <c r="G361" s="284">
        <f>VLOOKUP($D361,Elekter!$C$258:$K$276,Elekter!F$257)</f>
        <v>270.7540533521659</v>
      </c>
      <c r="H361" s="284">
        <f>VLOOKUP($D361,Elekter!$C$258:$K$276,Elekter!G$257)</f>
        <v>266.86742765683334</v>
      </c>
      <c r="I361" s="284">
        <f>VLOOKUP($D361,Elekter!$C$258:$K$276,Elekter!H$257)</f>
        <v>256.52999661930608</v>
      </c>
      <c r="J361" s="284">
        <f>VLOOKUP($D361,Elekter!$C$258:$K$276,Elekter!I$257)</f>
        <v>151.02067073508945</v>
      </c>
      <c r="K361" s="284">
        <f>VLOOKUP($D361,Elekter!$C$258:$K$276,Elekter!J$257)</f>
        <v>54.90148609179252</v>
      </c>
      <c r="L361" s="284">
        <f>VLOOKUP($D361,Elekter!$C$258:$K$276,Elekter!K$257)</f>
        <v>30.669653296573159</v>
      </c>
    </row>
    <row r="362" spans="3:12" x14ac:dyDescent="0.3">
      <c r="C362" s="259" t="s">
        <v>364</v>
      </c>
      <c r="D362" s="251">
        <v>102</v>
      </c>
      <c r="E362" s="284">
        <f>VLOOKUP($D362,Elekter!$C$258:$K$276,Elekter!D$257)</f>
        <v>0</v>
      </c>
      <c r="F362" s="284">
        <f>VLOOKUP($D362,Elekter!$C$258:$K$276,Elekter!E$257)</f>
        <v>0</v>
      </c>
      <c r="G362" s="284">
        <f>VLOOKUP($D362,Elekter!$C$258:$K$276,Elekter!F$257)</f>
        <v>0</v>
      </c>
      <c r="H362" s="284">
        <f>VLOOKUP($D362,Elekter!$C$258:$K$276,Elekter!G$257)</f>
        <v>0</v>
      </c>
      <c r="I362" s="284">
        <f>VLOOKUP($D362,Elekter!$C$258:$K$276,Elekter!H$257)</f>
        <v>0</v>
      </c>
      <c r="J362" s="284">
        <f>VLOOKUP($D362,Elekter!$C$258:$K$276,Elekter!I$257)</f>
        <v>0</v>
      </c>
      <c r="K362" s="284">
        <f>VLOOKUP($D362,Elekter!$C$258:$K$276,Elekter!J$257)</f>
        <v>0</v>
      </c>
      <c r="L362" s="284">
        <f>VLOOKUP($D362,Elekter!$C$258:$K$276,Elekter!K$257)</f>
        <v>0</v>
      </c>
    </row>
    <row r="363" spans="3:12" x14ac:dyDescent="0.3">
      <c r="C363" s="259" t="s">
        <v>457</v>
      </c>
      <c r="D363" s="251">
        <v>103</v>
      </c>
      <c r="E363" s="284">
        <f>VLOOKUP($D363,Elekter!$C$258:$K$276,Elekter!D$257)</f>
        <v>0</v>
      </c>
      <c r="F363" s="284">
        <f>VLOOKUP($D363,Elekter!$C$258:$K$276,Elekter!E$257)</f>
        <v>271.08066073571683</v>
      </c>
      <c r="G363" s="284">
        <f>VLOOKUP($D363,Elekter!$C$258:$K$276,Elekter!F$257)</f>
        <v>416.28308691809434</v>
      </c>
      <c r="H363" s="284">
        <f>VLOOKUP($D363,Elekter!$C$258:$K$276,Elekter!G$257)</f>
        <v>398.18324817978032</v>
      </c>
      <c r="I363" s="284">
        <f>VLOOKUP($D363,Elekter!$C$258:$K$276,Elekter!H$257)</f>
        <v>435.41778893904342</v>
      </c>
      <c r="J363" s="284">
        <f>VLOOKUP($D363,Elekter!$C$258:$K$276,Elekter!I$257)</f>
        <v>260.55169625677428</v>
      </c>
      <c r="K363" s="284">
        <f>VLOOKUP($D363,Elekter!$C$258:$K$276,Elekter!J$257)</f>
        <v>280.24369772889531</v>
      </c>
      <c r="L363" s="284">
        <f>VLOOKUP($D363,Elekter!$C$258:$K$276,Elekter!K$257)</f>
        <v>182.85170264331651</v>
      </c>
    </row>
    <row r="364" spans="3:12" x14ac:dyDescent="0.3">
      <c r="C364" s="260" t="s">
        <v>110</v>
      </c>
      <c r="D364" s="252">
        <v>104</v>
      </c>
      <c r="E364" s="284">
        <f>VLOOKUP($D364,Elekter!$C$258:$K$276,Elekter!D$257)</f>
        <v>0</v>
      </c>
      <c r="F364" s="284">
        <f>VLOOKUP($D364,Elekter!$C$258:$K$276,Elekter!E$257)</f>
        <v>0</v>
      </c>
      <c r="G364" s="284">
        <f>VLOOKUP($D364,Elekter!$C$258:$K$276,Elekter!F$257)</f>
        <v>0</v>
      </c>
      <c r="H364" s="284">
        <f>VLOOKUP($D364,Elekter!$C$258:$K$276,Elekter!G$257)</f>
        <v>0</v>
      </c>
      <c r="I364" s="284">
        <f>VLOOKUP($D364,Elekter!$C$258:$K$276,Elekter!H$257)</f>
        <v>0</v>
      </c>
      <c r="J364" s="284">
        <f>VLOOKUP($D364,Elekter!$C$258:$K$276,Elekter!I$257)</f>
        <v>0</v>
      </c>
      <c r="K364" s="284">
        <f>VLOOKUP($D364,Elekter!$C$258:$K$276,Elekter!J$257)</f>
        <v>0</v>
      </c>
      <c r="L364" s="284">
        <f>VLOOKUP($D364,Elekter!$C$258:$K$276,Elekter!K$257)</f>
        <v>0</v>
      </c>
    </row>
    <row r="365" spans="3:12" x14ac:dyDescent="0.3">
      <c r="C365" s="259" t="s">
        <v>53</v>
      </c>
      <c r="D365" s="251">
        <v>105</v>
      </c>
      <c r="E365" s="284">
        <f>VLOOKUP($D365,Elekter!$C$258:$K$276,Elekter!D$257)</f>
        <v>0</v>
      </c>
      <c r="F365" s="284">
        <f>VLOOKUP($D365,Elekter!$C$258:$K$276,Elekter!E$257)</f>
        <v>0</v>
      </c>
      <c r="G365" s="284">
        <f>VLOOKUP($D365,Elekter!$C$258:$K$276,Elekter!F$257)</f>
        <v>0</v>
      </c>
      <c r="H365" s="284">
        <f>VLOOKUP($D365,Elekter!$C$258:$K$276,Elekter!G$257)</f>
        <v>0</v>
      </c>
      <c r="I365" s="284">
        <f>VLOOKUP($D365,Elekter!$C$258:$K$276,Elekter!H$257)</f>
        <v>0</v>
      </c>
      <c r="J365" s="284">
        <f>VLOOKUP($D365,Elekter!$C$258:$K$276,Elekter!I$257)</f>
        <v>0</v>
      </c>
      <c r="K365" s="284">
        <f>VLOOKUP($D365,Elekter!$C$258:$K$276,Elekter!J$257)</f>
        <v>0</v>
      </c>
      <c r="L365" s="284">
        <f>VLOOKUP($D365,Elekter!$C$258:$K$276,Elekter!K$257)</f>
        <v>0</v>
      </c>
    </row>
    <row r="366" spans="3:12" x14ac:dyDescent="0.3">
      <c r="C366" s="259" t="s">
        <v>666</v>
      </c>
      <c r="D366" s="251">
        <v>106</v>
      </c>
      <c r="E366" s="284">
        <f>VLOOKUP($D366,Elekter!$C$258:$K$276,Elekter!D$257)</f>
        <v>0</v>
      </c>
      <c r="F366" s="284">
        <f>VLOOKUP($D366,Elekter!$C$258:$K$276,Elekter!E$257)</f>
        <v>-45.303428725664695</v>
      </c>
      <c r="G366" s="284">
        <f>VLOOKUP($D366,Elekter!$C$258:$K$276,Elekter!F$257)</f>
        <v>-36.904989489833071</v>
      </c>
      <c r="H366" s="284">
        <f>VLOOKUP($D366,Elekter!$C$258:$K$276,Elekter!G$257)</f>
        <v>-13.880254257400793</v>
      </c>
      <c r="I366" s="284">
        <f>VLOOKUP($D366,Elekter!$C$258:$K$276,Elekter!H$257)</f>
        <v>-11.217606740917404</v>
      </c>
      <c r="J366" s="284">
        <f>VLOOKUP($D366,Elekter!$C$258:$K$276,Elekter!I$257)</f>
        <v>-10.464555721821966</v>
      </c>
      <c r="K366" s="284">
        <f>VLOOKUP($D366,Elekter!$C$258:$K$276,Elekter!J$257)</f>
        <v>7.3516373237524419</v>
      </c>
      <c r="L366" s="284">
        <f>VLOOKUP($D366,Elekter!$C$258:$K$276,Elekter!K$257)</f>
        <v>20.36172372097306</v>
      </c>
    </row>
    <row r="367" spans="3:12" x14ac:dyDescent="0.3">
      <c r="C367" s="183" t="s">
        <v>321</v>
      </c>
      <c r="D367" s="253" t="s">
        <v>293</v>
      </c>
      <c r="E367" s="284"/>
      <c r="F367" s="284"/>
      <c r="G367" s="284"/>
      <c r="H367" s="284"/>
      <c r="I367" s="284"/>
      <c r="J367" s="284"/>
      <c r="K367" s="284"/>
      <c r="L367" s="284"/>
    </row>
    <row r="368" spans="3:12" x14ac:dyDescent="0.3">
      <c r="C368" s="191" t="s">
        <v>650</v>
      </c>
      <c r="D368" s="253" t="s">
        <v>75</v>
      </c>
      <c r="E368" s="284">
        <f>Elekter!D152</f>
        <v>0</v>
      </c>
      <c r="F368" s="284">
        <f>Elekter!E152</f>
        <v>30130.087844750975</v>
      </c>
      <c r="G368" s="284">
        <f>Elekter!F152</f>
        <v>-7893.765753335676</v>
      </c>
      <c r="H368" s="284">
        <f>Elekter!G152</f>
        <v>-15528.63875409255</v>
      </c>
      <c r="I368" s="284">
        <f>Elekter!H152</f>
        <v>-11699.467102420451</v>
      </c>
      <c r="J368" s="284">
        <f>Elekter!I152</f>
        <v>-10214.721241871521</v>
      </c>
      <c r="K368" s="284">
        <f>Elekter!J152</f>
        <v>-2067.1059678768579</v>
      </c>
      <c r="L368" s="284">
        <f>Elekter!K152</f>
        <v>68.200964025738358</v>
      </c>
    </row>
    <row r="369" spans="2:12" x14ac:dyDescent="0.3">
      <c r="C369" s="279" t="s">
        <v>323</v>
      </c>
      <c r="D369" s="253" t="s">
        <v>75</v>
      </c>
      <c r="E369" s="284">
        <f>Elekter!D153</f>
        <v>0</v>
      </c>
      <c r="F369" s="284">
        <f>Elekter!E153</f>
        <v>52875.368788685038</v>
      </c>
      <c r="G369" s="284">
        <f>Elekter!F153</f>
        <v>24858.78262632517</v>
      </c>
      <c r="H369" s="284">
        <f>Elekter!G153</f>
        <v>20744.29123066819</v>
      </c>
      <c r="I369" s="284">
        <f>Elekter!H153</f>
        <v>24809.300701502645</v>
      </c>
      <c r="J369" s="284">
        <f>Elekter!I153</f>
        <v>26700.950034140846</v>
      </c>
      <c r="K369" s="284">
        <f>Elekter!J153</f>
        <v>35923.568177799498</v>
      </c>
      <c r="L369" s="284">
        <f>Elekter!K153</f>
        <v>36534.986926874088</v>
      </c>
    </row>
    <row r="370" spans="2:12" x14ac:dyDescent="0.3">
      <c r="C370" s="279" t="s">
        <v>324</v>
      </c>
      <c r="D370" s="253" t="s">
        <v>75</v>
      </c>
      <c r="E370" s="284">
        <f>Elekter!D154</f>
        <v>0</v>
      </c>
      <c r="F370" s="284">
        <f>Elekter!E154</f>
        <v>-3451.0637686749778</v>
      </c>
      <c r="G370" s="284">
        <f>Elekter!F154</f>
        <v>-2792.1457120819505</v>
      </c>
      <c r="H370" s="284">
        <f>Elekter!G154</f>
        <v>790.10586555197006</v>
      </c>
      <c r="I370" s="284">
        <f>Elekter!H154</f>
        <v>690.97151355322421</v>
      </c>
      <c r="J370" s="284">
        <f>Elekter!I154</f>
        <v>575.84217734289996</v>
      </c>
      <c r="K370" s="284">
        <f>Elekter!J154</f>
        <v>-478.84815601801893</v>
      </c>
      <c r="L370" s="284">
        <f>Elekter!K154</f>
        <v>1062.2101282629883</v>
      </c>
    </row>
    <row r="371" spans="2:12" x14ac:dyDescent="0.3">
      <c r="C371" s="280" t="s">
        <v>325</v>
      </c>
      <c r="D371" s="253" t="s">
        <v>75</v>
      </c>
      <c r="E371" s="284">
        <f>Elekter!D155</f>
        <v>0</v>
      </c>
      <c r="F371" s="284">
        <f>Elekter!E155</f>
        <v>-3451.0637686749942</v>
      </c>
      <c r="G371" s="284">
        <f>Elekter!F155</f>
        <v>-2792.1457120819578</v>
      </c>
      <c r="H371" s="284">
        <f>Elekter!G155</f>
        <v>790.10586555197733</v>
      </c>
      <c r="I371" s="284">
        <f>Elekter!H155</f>
        <v>690.97151355320239</v>
      </c>
      <c r="J371" s="284">
        <f>Elekter!I155</f>
        <v>575.84217734289632</v>
      </c>
      <c r="K371" s="284">
        <f>Elekter!J155</f>
        <v>-478.8481560180262</v>
      </c>
      <c r="L371" s="284">
        <f>Elekter!K155</f>
        <v>1062.2101282629828</v>
      </c>
    </row>
    <row r="372" spans="2:12" x14ac:dyDescent="0.3">
      <c r="C372" s="280" t="s">
        <v>541</v>
      </c>
      <c r="D372" s="253" t="s">
        <v>75</v>
      </c>
      <c r="E372" s="284"/>
      <c r="F372" s="284"/>
      <c r="G372" s="284"/>
      <c r="H372" s="284"/>
      <c r="I372" s="284"/>
      <c r="J372" s="284"/>
      <c r="K372" s="284"/>
      <c r="L372" s="284"/>
    </row>
    <row r="373" spans="2:12" x14ac:dyDescent="0.3">
      <c r="C373" s="191" t="s">
        <v>326</v>
      </c>
      <c r="D373" s="253" t="s">
        <v>306</v>
      </c>
      <c r="E373" s="284">
        <f>Elekter!D156</f>
        <v>0</v>
      </c>
      <c r="F373" s="284">
        <f>Elekter!E156</f>
        <v>0</v>
      </c>
      <c r="G373" s="284">
        <f>Elekter!F156</f>
        <v>0</v>
      </c>
      <c r="H373" s="284">
        <f>Elekter!G156</f>
        <v>0</v>
      </c>
      <c r="I373" s="284">
        <f>Elekter!H156</f>
        <v>0</v>
      </c>
      <c r="J373" s="284">
        <f>Elekter!I156</f>
        <v>0</v>
      </c>
      <c r="K373" s="284">
        <f>Elekter!J156</f>
        <v>0</v>
      </c>
      <c r="L373" s="284">
        <f>Elekter!K156</f>
        <v>0</v>
      </c>
    </row>
    <row r="374" spans="2:12" x14ac:dyDescent="0.3">
      <c r="C374" s="301" t="s">
        <v>387</v>
      </c>
      <c r="D374" s="253" t="s">
        <v>388</v>
      </c>
      <c r="E374" s="284">
        <f>Elekter!D177</f>
        <v>0</v>
      </c>
      <c r="F374" s="284">
        <f>Elekter!E177</f>
        <v>4806.5973344556769</v>
      </c>
      <c r="G374" s="284">
        <f>Elekter!F177</f>
        <v>1325.6536103238805</v>
      </c>
      <c r="H374" s="284">
        <f>Elekter!G177</f>
        <v>635.58322267300355</v>
      </c>
      <c r="I374" s="284">
        <f>Elekter!H177</f>
        <v>1007.9993600399503</v>
      </c>
      <c r="J374" s="284">
        <f>Elekter!I177</f>
        <v>1164.0085239839236</v>
      </c>
      <c r="K374" s="284">
        <f>Elekter!J177</f>
        <v>1933.2498588093194</v>
      </c>
      <c r="L374" s="284">
        <f>Elekter!K177</f>
        <v>2138.0673912592756</v>
      </c>
    </row>
    <row r="375" spans="2:12" x14ac:dyDescent="0.3">
      <c r="C375" s="304"/>
      <c r="D375" s="305"/>
      <c r="E375" s="306"/>
      <c r="F375" s="306"/>
      <c r="G375" s="306"/>
      <c r="H375" s="306"/>
      <c r="I375" s="306"/>
      <c r="J375" s="306"/>
      <c r="K375" s="306"/>
      <c r="L375" s="306"/>
    </row>
    <row r="376" spans="2:12" ht="15.6" x14ac:dyDescent="0.3">
      <c r="B376" s="353">
        <v>4</v>
      </c>
      <c r="C376" s="303" t="s">
        <v>249</v>
      </c>
      <c r="D376" s="201"/>
      <c r="E376" s="201"/>
      <c r="F376" s="202"/>
    </row>
    <row r="377" spans="2:12" ht="27.6" x14ac:dyDescent="0.3">
      <c r="C377" s="200"/>
      <c r="D377" s="273" t="s">
        <v>255</v>
      </c>
      <c r="E377" s="273" t="s">
        <v>256</v>
      </c>
      <c r="F377" s="273" t="s">
        <v>257</v>
      </c>
      <c r="G377" s="109"/>
    </row>
    <row r="378" spans="2:12" x14ac:dyDescent="0.3">
      <c r="C378" s="206" t="s">
        <v>251</v>
      </c>
      <c r="D378" s="200">
        <v>1</v>
      </c>
      <c r="E378" s="200">
        <v>2</v>
      </c>
      <c r="F378" s="200">
        <v>3</v>
      </c>
      <c r="G378" s="110"/>
    </row>
    <row r="379" spans="2:12" x14ac:dyDescent="0.3">
      <c r="C379" s="204" t="s">
        <v>389</v>
      </c>
      <c r="D379" s="278">
        <f>TULEMUSED!M8</f>
        <v>1</v>
      </c>
      <c r="E379" s="205"/>
      <c r="F379" s="106"/>
      <c r="G379" s="111"/>
    </row>
    <row r="380" spans="2:12" x14ac:dyDescent="0.3">
      <c r="C380" s="111"/>
      <c r="D380" s="194"/>
      <c r="E380" s="195"/>
      <c r="G380" s="112"/>
    </row>
    <row r="381" spans="2:12" ht="11.25" customHeight="1" x14ac:dyDescent="0.3">
      <c r="B381" s="106"/>
      <c r="C381" s="281" t="s">
        <v>384</v>
      </c>
      <c r="D381" s="119"/>
      <c r="E381" s="195"/>
      <c r="F381" s="106"/>
      <c r="G381" s="112"/>
    </row>
    <row r="382" spans="2:12" x14ac:dyDescent="0.3">
      <c r="C382" s="282" t="s">
        <v>259</v>
      </c>
      <c r="D382" s="253" t="s">
        <v>318</v>
      </c>
      <c r="E382" s="183">
        <v>2015</v>
      </c>
      <c r="F382" s="183">
        <v>2020</v>
      </c>
      <c r="G382" s="183">
        <v>2025</v>
      </c>
      <c r="H382" s="183">
        <v>2030</v>
      </c>
      <c r="I382" s="183">
        <v>2035</v>
      </c>
      <c r="J382" s="183">
        <v>2040</v>
      </c>
      <c r="K382" s="183">
        <v>2045</v>
      </c>
      <c r="L382" s="183">
        <v>2050</v>
      </c>
    </row>
    <row r="383" spans="2:12" x14ac:dyDescent="0.3">
      <c r="C383" s="191" t="s">
        <v>231</v>
      </c>
      <c r="D383" s="183">
        <v>1</v>
      </c>
      <c r="E383" s="284">
        <f>IF($D$379=2,E413,IF($D$379=3,E442,0))</f>
        <v>0</v>
      </c>
      <c r="F383" s="284">
        <f t="shared" ref="F383:L383" si="78">IF($D$379=2,F413,IF($D$379=3,F442,0))</f>
        <v>0</v>
      </c>
      <c r="G383" s="284">
        <f t="shared" si="78"/>
        <v>0</v>
      </c>
      <c r="H383" s="284">
        <f t="shared" si="78"/>
        <v>0</v>
      </c>
      <c r="I383" s="284">
        <f t="shared" si="78"/>
        <v>0</v>
      </c>
      <c r="J383" s="284">
        <f t="shared" si="78"/>
        <v>0</v>
      </c>
      <c r="K383" s="284">
        <f t="shared" si="78"/>
        <v>0</v>
      </c>
      <c r="L383" s="284">
        <f t="shared" si="78"/>
        <v>0</v>
      </c>
    </row>
    <row r="384" spans="2:12" x14ac:dyDescent="0.3">
      <c r="C384" s="191" t="s">
        <v>209</v>
      </c>
      <c r="D384" s="183">
        <v>2</v>
      </c>
      <c r="E384" s="284">
        <f t="shared" ref="E384:L384" si="79">IF($D$379=2,E414,IF($D$379=3,E443,0))</f>
        <v>0</v>
      </c>
      <c r="F384" s="284">
        <f t="shared" si="79"/>
        <v>0</v>
      </c>
      <c r="G384" s="284">
        <f t="shared" si="79"/>
        <v>0</v>
      </c>
      <c r="H384" s="284">
        <f t="shared" si="79"/>
        <v>0</v>
      </c>
      <c r="I384" s="284">
        <f t="shared" si="79"/>
        <v>0</v>
      </c>
      <c r="J384" s="284">
        <f t="shared" si="79"/>
        <v>0</v>
      </c>
      <c r="K384" s="284">
        <f t="shared" si="79"/>
        <v>0</v>
      </c>
      <c r="L384" s="284">
        <f t="shared" si="79"/>
        <v>0</v>
      </c>
    </row>
    <row r="385" spans="3:12" x14ac:dyDescent="0.3">
      <c r="C385" s="191" t="s">
        <v>417</v>
      </c>
      <c r="D385" s="183">
        <v>4</v>
      </c>
      <c r="E385" s="284">
        <f t="shared" ref="E385:L385" si="80">IF($D$379=2,E415,IF($D$379=3,E444,0))</f>
        <v>0</v>
      </c>
      <c r="F385" s="284">
        <f t="shared" si="80"/>
        <v>0</v>
      </c>
      <c r="G385" s="284">
        <f t="shared" si="80"/>
        <v>0</v>
      </c>
      <c r="H385" s="284">
        <f t="shared" si="80"/>
        <v>0</v>
      </c>
      <c r="I385" s="284">
        <f t="shared" si="80"/>
        <v>0</v>
      </c>
      <c r="J385" s="284">
        <f t="shared" si="80"/>
        <v>0</v>
      </c>
      <c r="K385" s="284">
        <f t="shared" si="80"/>
        <v>0</v>
      </c>
      <c r="L385" s="284">
        <f t="shared" si="80"/>
        <v>0</v>
      </c>
    </row>
    <row r="386" spans="3:12" x14ac:dyDescent="0.3">
      <c r="C386" s="191" t="s">
        <v>124</v>
      </c>
      <c r="D386" s="183">
        <v>10</v>
      </c>
      <c r="E386" s="284">
        <f t="shared" ref="E386:L386" si="81">IF($D$379=2,E416,IF($D$379=3,E445,0))</f>
        <v>0</v>
      </c>
      <c r="F386" s="284">
        <f t="shared" si="81"/>
        <v>0</v>
      </c>
      <c r="G386" s="284">
        <f t="shared" si="81"/>
        <v>0</v>
      </c>
      <c r="H386" s="284">
        <f t="shared" si="81"/>
        <v>0</v>
      </c>
      <c r="I386" s="284">
        <f t="shared" si="81"/>
        <v>0</v>
      </c>
      <c r="J386" s="284">
        <f t="shared" si="81"/>
        <v>0</v>
      </c>
      <c r="K386" s="284">
        <f t="shared" si="81"/>
        <v>0</v>
      </c>
      <c r="L386" s="284">
        <f t="shared" si="81"/>
        <v>0</v>
      </c>
    </row>
    <row r="387" spans="3:12" x14ac:dyDescent="0.3">
      <c r="C387" s="191" t="s">
        <v>133</v>
      </c>
      <c r="D387" s="183">
        <v>23</v>
      </c>
      <c r="E387" s="284">
        <f t="shared" ref="E387:L387" si="82">IF($D$379=2,E417,IF($D$379=3,E446,0))</f>
        <v>0</v>
      </c>
      <c r="F387" s="284">
        <f t="shared" si="82"/>
        <v>0</v>
      </c>
      <c r="G387" s="284">
        <f t="shared" si="82"/>
        <v>0</v>
      </c>
      <c r="H387" s="284">
        <f t="shared" si="82"/>
        <v>0</v>
      </c>
      <c r="I387" s="284">
        <f t="shared" si="82"/>
        <v>0</v>
      </c>
      <c r="J387" s="284">
        <f t="shared" si="82"/>
        <v>0</v>
      </c>
      <c r="K387" s="284">
        <f t="shared" si="82"/>
        <v>0</v>
      </c>
      <c r="L387" s="284">
        <f t="shared" si="82"/>
        <v>0</v>
      </c>
    </row>
    <row r="388" spans="3:12" x14ac:dyDescent="0.3">
      <c r="C388" s="191" t="s">
        <v>285</v>
      </c>
      <c r="D388" s="183">
        <v>24</v>
      </c>
      <c r="E388" s="284">
        <f t="shared" ref="E388:L388" si="83">IF($D$379=2,E418,IF($D$379=3,E447,0))</f>
        <v>0</v>
      </c>
      <c r="F388" s="284">
        <f t="shared" si="83"/>
        <v>0</v>
      </c>
      <c r="G388" s="284">
        <f t="shared" si="83"/>
        <v>0</v>
      </c>
      <c r="H388" s="284">
        <f t="shared" si="83"/>
        <v>0</v>
      </c>
      <c r="I388" s="284">
        <f t="shared" si="83"/>
        <v>0</v>
      </c>
      <c r="J388" s="284">
        <f t="shared" si="83"/>
        <v>0</v>
      </c>
      <c r="K388" s="284">
        <f t="shared" si="83"/>
        <v>0</v>
      </c>
      <c r="L388" s="284">
        <f t="shared" si="83"/>
        <v>0</v>
      </c>
    </row>
    <row r="389" spans="3:12" x14ac:dyDescent="0.3">
      <c r="C389" s="191" t="s">
        <v>315</v>
      </c>
      <c r="D389" s="183">
        <v>26</v>
      </c>
      <c r="E389" s="284">
        <f t="shared" ref="E389:L389" si="84">IF($D$379=2,E419,IF($D$379=3,E448,0))</f>
        <v>0</v>
      </c>
      <c r="F389" s="284">
        <f t="shared" si="84"/>
        <v>0</v>
      </c>
      <c r="G389" s="284">
        <f t="shared" si="84"/>
        <v>0</v>
      </c>
      <c r="H389" s="284">
        <f t="shared" si="84"/>
        <v>0</v>
      </c>
      <c r="I389" s="284">
        <f t="shared" si="84"/>
        <v>0</v>
      </c>
      <c r="J389" s="284">
        <f t="shared" si="84"/>
        <v>0</v>
      </c>
      <c r="K389" s="284">
        <f t="shared" si="84"/>
        <v>0</v>
      </c>
      <c r="L389" s="284">
        <f t="shared" si="84"/>
        <v>0</v>
      </c>
    </row>
    <row r="390" spans="3:12" x14ac:dyDescent="0.3">
      <c r="C390" s="191" t="s">
        <v>38</v>
      </c>
      <c r="D390" s="183">
        <v>29</v>
      </c>
      <c r="E390" s="284">
        <f t="shared" ref="E390:L390" si="85">IF($D$379=2,E420,IF($D$379=3,E449,0))</f>
        <v>0</v>
      </c>
      <c r="F390" s="284">
        <f>IF($D$379=2,F420,IF($D$379=3,F449,0))</f>
        <v>0</v>
      </c>
      <c r="G390" s="284">
        <f t="shared" si="85"/>
        <v>0</v>
      </c>
      <c r="H390" s="284">
        <f t="shared" si="85"/>
        <v>0</v>
      </c>
      <c r="I390" s="284">
        <f t="shared" si="85"/>
        <v>0</v>
      </c>
      <c r="J390" s="284">
        <f t="shared" si="85"/>
        <v>0</v>
      </c>
      <c r="K390" s="284">
        <f t="shared" si="85"/>
        <v>0</v>
      </c>
      <c r="L390" s="284">
        <f t="shared" si="85"/>
        <v>0</v>
      </c>
    </row>
    <row r="391" spans="3:12" x14ac:dyDescent="0.3">
      <c r="C391" s="191" t="s">
        <v>136</v>
      </c>
      <c r="D391" s="183">
        <v>30</v>
      </c>
      <c r="E391" s="284">
        <f t="shared" ref="E391:L391" si="86">IF($D$379=2,E421,IF($D$379=3,E450,0))</f>
        <v>0</v>
      </c>
      <c r="F391" s="284">
        <f t="shared" si="86"/>
        <v>0</v>
      </c>
      <c r="G391" s="284">
        <f t="shared" si="86"/>
        <v>0</v>
      </c>
      <c r="H391" s="284">
        <f t="shared" si="86"/>
        <v>0</v>
      </c>
      <c r="I391" s="284">
        <f t="shared" si="86"/>
        <v>0</v>
      </c>
      <c r="J391" s="284">
        <f t="shared" si="86"/>
        <v>0</v>
      </c>
      <c r="K391" s="284">
        <f t="shared" si="86"/>
        <v>0</v>
      </c>
      <c r="L391" s="284">
        <f t="shared" si="86"/>
        <v>0</v>
      </c>
    </row>
    <row r="392" spans="3:12" x14ac:dyDescent="0.3">
      <c r="C392" s="191" t="s">
        <v>360</v>
      </c>
      <c r="D392" s="183">
        <v>31</v>
      </c>
      <c r="E392" s="284">
        <f t="shared" ref="E392:L392" si="87">IF($D$379=2,E422,IF($D$379=3,E451,0))</f>
        <v>0</v>
      </c>
      <c r="F392" s="284">
        <f t="shared" si="87"/>
        <v>0</v>
      </c>
      <c r="G392" s="284">
        <f t="shared" si="87"/>
        <v>0</v>
      </c>
      <c r="H392" s="284">
        <f t="shared" si="87"/>
        <v>0</v>
      </c>
      <c r="I392" s="284">
        <f t="shared" si="87"/>
        <v>0</v>
      </c>
      <c r="J392" s="284">
        <f t="shared" si="87"/>
        <v>0</v>
      </c>
      <c r="K392" s="284">
        <f t="shared" si="87"/>
        <v>0</v>
      </c>
      <c r="L392" s="284">
        <f t="shared" si="87"/>
        <v>0</v>
      </c>
    </row>
    <row r="393" spans="3:12" x14ac:dyDescent="0.3">
      <c r="C393" s="191" t="s">
        <v>361</v>
      </c>
      <c r="D393" s="183">
        <v>32</v>
      </c>
      <c r="E393" s="284">
        <f t="shared" ref="E393:L393" si="88">IF($D$379=2,E423,IF($D$379=3,E452,0))</f>
        <v>0</v>
      </c>
      <c r="F393" s="284">
        <f t="shared" si="88"/>
        <v>0</v>
      </c>
      <c r="G393" s="284">
        <f t="shared" si="88"/>
        <v>0</v>
      </c>
      <c r="H393" s="284">
        <f t="shared" si="88"/>
        <v>0</v>
      </c>
      <c r="I393" s="284">
        <f t="shared" si="88"/>
        <v>0</v>
      </c>
      <c r="J393" s="284">
        <f t="shared" si="88"/>
        <v>0</v>
      </c>
      <c r="K393" s="284">
        <f t="shared" si="88"/>
        <v>0</v>
      </c>
      <c r="L393" s="284">
        <f t="shared" si="88"/>
        <v>0</v>
      </c>
    </row>
    <row r="394" spans="3:12" x14ac:dyDescent="0.3">
      <c r="C394" s="191" t="s">
        <v>362</v>
      </c>
      <c r="D394" s="183">
        <v>33</v>
      </c>
      <c r="E394" s="284">
        <f t="shared" ref="E394:L394" si="89">IF($D$379=2,E424,IF($D$379=3,E453,0))</f>
        <v>0</v>
      </c>
      <c r="F394" s="284">
        <f t="shared" si="89"/>
        <v>0</v>
      </c>
      <c r="G394" s="284">
        <f t="shared" si="89"/>
        <v>0</v>
      </c>
      <c r="H394" s="284">
        <f t="shared" si="89"/>
        <v>0</v>
      </c>
      <c r="I394" s="284">
        <f t="shared" si="89"/>
        <v>0</v>
      </c>
      <c r="J394" s="284">
        <f t="shared" si="89"/>
        <v>0</v>
      </c>
      <c r="K394" s="284">
        <f t="shared" si="89"/>
        <v>0</v>
      </c>
      <c r="L394" s="284">
        <f t="shared" si="89"/>
        <v>0</v>
      </c>
    </row>
    <row r="395" spans="3:12" x14ac:dyDescent="0.3">
      <c r="C395" s="191" t="s">
        <v>363</v>
      </c>
      <c r="D395" s="183">
        <v>55</v>
      </c>
      <c r="E395" s="284">
        <f t="shared" ref="E395:L395" si="90">IF($D$379=2,E425,IF($D$379=3,E454,0))</f>
        <v>0</v>
      </c>
      <c r="F395" s="284">
        <f t="shared" si="90"/>
        <v>0</v>
      </c>
      <c r="G395" s="284">
        <f t="shared" si="90"/>
        <v>0</v>
      </c>
      <c r="H395" s="284">
        <f t="shared" si="90"/>
        <v>0</v>
      </c>
      <c r="I395" s="284">
        <f t="shared" si="90"/>
        <v>0</v>
      </c>
      <c r="J395" s="284">
        <f t="shared" si="90"/>
        <v>0</v>
      </c>
      <c r="K395" s="284">
        <f t="shared" si="90"/>
        <v>0</v>
      </c>
      <c r="L395" s="284">
        <f t="shared" si="90"/>
        <v>0</v>
      </c>
    </row>
    <row r="396" spans="3:12" x14ac:dyDescent="0.3">
      <c r="C396" s="259" t="s">
        <v>204</v>
      </c>
      <c r="D396" s="251">
        <v>101</v>
      </c>
      <c r="E396" s="284">
        <f t="shared" ref="E396:L396" si="91">IF($D$379=2,E426,IF($D$379=3,E455,0))</f>
        <v>0</v>
      </c>
      <c r="F396" s="284">
        <f t="shared" si="91"/>
        <v>0</v>
      </c>
      <c r="G396" s="284">
        <f t="shared" si="91"/>
        <v>0</v>
      </c>
      <c r="H396" s="284">
        <f t="shared" si="91"/>
        <v>0</v>
      </c>
      <c r="I396" s="284">
        <f t="shared" si="91"/>
        <v>0</v>
      </c>
      <c r="J396" s="284">
        <f t="shared" si="91"/>
        <v>0</v>
      </c>
      <c r="K396" s="284">
        <f t="shared" si="91"/>
        <v>0</v>
      </c>
      <c r="L396" s="284">
        <f t="shared" si="91"/>
        <v>0</v>
      </c>
    </row>
    <row r="397" spans="3:12" x14ac:dyDescent="0.3">
      <c r="C397" s="259" t="s">
        <v>364</v>
      </c>
      <c r="D397" s="251">
        <v>102</v>
      </c>
      <c r="E397" s="284">
        <f t="shared" ref="E397:L397" si="92">IF($D$379=2,E427,IF($D$379=3,E456,0))</f>
        <v>0</v>
      </c>
      <c r="F397" s="284">
        <f t="shared" si="92"/>
        <v>0</v>
      </c>
      <c r="G397" s="284">
        <f t="shared" si="92"/>
        <v>0</v>
      </c>
      <c r="H397" s="284">
        <f t="shared" si="92"/>
        <v>0</v>
      </c>
      <c r="I397" s="284">
        <f t="shared" si="92"/>
        <v>0</v>
      </c>
      <c r="J397" s="284">
        <f t="shared" si="92"/>
        <v>0</v>
      </c>
      <c r="K397" s="284">
        <f t="shared" si="92"/>
        <v>0</v>
      </c>
      <c r="L397" s="284">
        <f t="shared" si="92"/>
        <v>0</v>
      </c>
    </row>
    <row r="398" spans="3:12" x14ac:dyDescent="0.3">
      <c r="C398" s="259" t="s">
        <v>457</v>
      </c>
      <c r="D398" s="251">
        <v>103</v>
      </c>
      <c r="E398" s="284">
        <f t="shared" ref="E398:L398" si="93">IF($D$379=2,E428,IF($D$379=3,E457,0))</f>
        <v>0</v>
      </c>
      <c r="F398" s="284">
        <f t="shared" si="93"/>
        <v>0</v>
      </c>
      <c r="G398" s="284">
        <f t="shared" si="93"/>
        <v>0</v>
      </c>
      <c r="H398" s="284">
        <f t="shared" si="93"/>
        <v>0</v>
      </c>
      <c r="I398" s="284">
        <f t="shared" si="93"/>
        <v>0</v>
      </c>
      <c r="J398" s="284">
        <f t="shared" si="93"/>
        <v>0</v>
      </c>
      <c r="K398" s="284">
        <f t="shared" si="93"/>
        <v>0</v>
      </c>
      <c r="L398" s="284">
        <f t="shared" si="93"/>
        <v>0</v>
      </c>
    </row>
    <row r="399" spans="3:12" x14ac:dyDescent="0.3">
      <c r="C399" s="260" t="s">
        <v>110</v>
      </c>
      <c r="D399" s="252">
        <v>104</v>
      </c>
      <c r="E399" s="284">
        <f t="shared" ref="E399:L399" si="94">IF($D$379=2,E429,IF($D$379=3,E458,0))</f>
        <v>0</v>
      </c>
      <c r="F399" s="284">
        <f t="shared" si="94"/>
        <v>0</v>
      </c>
      <c r="G399" s="284">
        <f t="shared" si="94"/>
        <v>0</v>
      </c>
      <c r="H399" s="284">
        <f t="shared" si="94"/>
        <v>0</v>
      </c>
      <c r="I399" s="284">
        <f t="shared" si="94"/>
        <v>0</v>
      </c>
      <c r="J399" s="284">
        <f t="shared" si="94"/>
        <v>0</v>
      </c>
      <c r="K399" s="284">
        <f t="shared" si="94"/>
        <v>0</v>
      </c>
      <c r="L399" s="284">
        <f t="shared" si="94"/>
        <v>0</v>
      </c>
    </row>
    <row r="400" spans="3:12" x14ac:dyDescent="0.3">
      <c r="C400" s="259" t="s">
        <v>53</v>
      </c>
      <c r="D400" s="251"/>
      <c r="E400" s="284">
        <f t="shared" ref="E400:L400" si="95">IF($D$379=2,E430,IF($D$379=3,E459,0))</f>
        <v>0</v>
      </c>
      <c r="F400" s="284">
        <f t="shared" si="95"/>
        <v>0</v>
      </c>
      <c r="G400" s="284">
        <f t="shared" si="95"/>
        <v>0</v>
      </c>
      <c r="H400" s="284">
        <f t="shared" si="95"/>
        <v>0</v>
      </c>
      <c r="I400" s="284">
        <f t="shared" si="95"/>
        <v>0</v>
      </c>
      <c r="J400" s="284">
        <f t="shared" si="95"/>
        <v>0</v>
      </c>
      <c r="K400" s="284">
        <f t="shared" si="95"/>
        <v>0</v>
      </c>
      <c r="L400" s="284">
        <f t="shared" si="95"/>
        <v>0</v>
      </c>
    </row>
    <row r="401" spans="2:12" x14ac:dyDescent="0.3">
      <c r="C401" s="696" t="s">
        <v>666</v>
      </c>
      <c r="D401" s="697">
        <v>106</v>
      </c>
      <c r="E401" s="700"/>
      <c r="F401" s="700"/>
      <c r="G401" s="700"/>
      <c r="H401" s="700"/>
      <c r="I401" s="700"/>
      <c r="J401" s="700"/>
      <c r="K401" s="700"/>
      <c r="L401" s="700"/>
    </row>
    <row r="402" spans="2:12" x14ac:dyDescent="0.3">
      <c r="C402" s="183" t="s">
        <v>321</v>
      </c>
      <c r="D402" s="253" t="s">
        <v>293</v>
      </c>
      <c r="E402" s="284">
        <f t="shared" ref="E402:L402" si="96">IF($D$379=2,E431,IF($D$379=3,E460,0))</f>
        <v>0</v>
      </c>
      <c r="F402" s="284">
        <f t="shared" si="96"/>
        <v>0</v>
      </c>
      <c r="G402" s="284">
        <f t="shared" si="96"/>
        <v>0</v>
      </c>
      <c r="H402" s="284">
        <f t="shared" si="96"/>
        <v>0</v>
      </c>
      <c r="I402" s="284">
        <f t="shared" si="96"/>
        <v>0</v>
      </c>
      <c r="J402" s="284">
        <f t="shared" si="96"/>
        <v>0</v>
      </c>
      <c r="K402" s="284">
        <f t="shared" si="96"/>
        <v>0</v>
      </c>
      <c r="L402" s="284">
        <f t="shared" si="96"/>
        <v>0</v>
      </c>
    </row>
    <row r="403" spans="2:12" x14ac:dyDescent="0.3">
      <c r="C403" s="191" t="s">
        <v>650</v>
      </c>
      <c r="D403" s="253" t="s">
        <v>75</v>
      </c>
      <c r="E403" s="284">
        <f t="shared" ref="E403:L403" si="97">IF($D$379=2,E432,IF($D$379=3,E461,0))</f>
        <v>0</v>
      </c>
      <c r="F403" s="284">
        <f t="shared" si="97"/>
        <v>0</v>
      </c>
      <c r="G403" s="284">
        <f t="shared" si="97"/>
        <v>0</v>
      </c>
      <c r="H403" s="284">
        <f t="shared" si="97"/>
        <v>0</v>
      </c>
      <c r="I403" s="284">
        <f t="shared" si="97"/>
        <v>0</v>
      </c>
      <c r="J403" s="284">
        <f t="shared" si="97"/>
        <v>0</v>
      </c>
      <c r="K403" s="284">
        <f t="shared" si="97"/>
        <v>0</v>
      </c>
      <c r="L403" s="284">
        <f t="shared" si="97"/>
        <v>0</v>
      </c>
    </row>
    <row r="404" spans="2:12" x14ac:dyDescent="0.3">
      <c r="C404" s="279" t="s">
        <v>323</v>
      </c>
      <c r="D404" s="253" t="s">
        <v>75</v>
      </c>
      <c r="E404" s="284">
        <f t="shared" ref="E404:L404" si="98">IF($D$379=2,E433,IF($D$379=3,E462,0))</f>
        <v>0</v>
      </c>
      <c r="F404" s="284">
        <f t="shared" si="98"/>
        <v>0</v>
      </c>
      <c r="G404" s="284">
        <f t="shared" si="98"/>
        <v>0</v>
      </c>
      <c r="H404" s="284">
        <f t="shared" si="98"/>
        <v>0</v>
      </c>
      <c r="I404" s="284">
        <f t="shared" si="98"/>
        <v>0</v>
      </c>
      <c r="J404" s="284">
        <f t="shared" si="98"/>
        <v>0</v>
      </c>
      <c r="K404" s="284">
        <f t="shared" si="98"/>
        <v>0</v>
      </c>
      <c r="L404" s="284">
        <f t="shared" si="98"/>
        <v>0</v>
      </c>
    </row>
    <row r="405" spans="2:12" x14ac:dyDescent="0.3">
      <c r="C405" s="279" t="s">
        <v>324</v>
      </c>
      <c r="D405" s="253" t="s">
        <v>75</v>
      </c>
      <c r="E405" s="284">
        <f t="shared" ref="E405:L405" si="99">IF($D$379=2,E434,IF($D$379=3,E463,0))</f>
        <v>0</v>
      </c>
      <c r="F405" s="284">
        <f t="shared" si="99"/>
        <v>0</v>
      </c>
      <c r="G405" s="284">
        <f t="shared" si="99"/>
        <v>0</v>
      </c>
      <c r="H405" s="284">
        <f t="shared" si="99"/>
        <v>0</v>
      </c>
      <c r="I405" s="284">
        <f t="shared" si="99"/>
        <v>0</v>
      </c>
      <c r="J405" s="284">
        <f t="shared" si="99"/>
        <v>0</v>
      </c>
      <c r="K405" s="284">
        <f t="shared" si="99"/>
        <v>0</v>
      </c>
      <c r="L405" s="284">
        <f t="shared" si="99"/>
        <v>0</v>
      </c>
    </row>
    <row r="406" spans="2:12" x14ac:dyDescent="0.3">
      <c r="C406" s="280" t="s">
        <v>325</v>
      </c>
      <c r="D406" s="253" t="s">
        <v>75</v>
      </c>
      <c r="E406" s="284">
        <f t="shared" ref="E406:L406" si="100">IF($D$379=2,E435,IF($D$379=3,E464,0))</f>
        <v>0</v>
      </c>
      <c r="F406" s="284">
        <f t="shared" si="100"/>
        <v>0</v>
      </c>
      <c r="G406" s="284">
        <f t="shared" si="100"/>
        <v>0</v>
      </c>
      <c r="H406" s="284">
        <f t="shared" si="100"/>
        <v>0</v>
      </c>
      <c r="I406" s="284">
        <f t="shared" si="100"/>
        <v>0</v>
      </c>
      <c r="J406" s="284">
        <f t="shared" si="100"/>
        <v>0</v>
      </c>
      <c r="K406" s="284">
        <f t="shared" si="100"/>
        <v>0</v>
      </c>
      <c r="L406" s="284">
        <f t="shared" si="100"/>
        <v>0</v>
      </c>
    </row>
    <row r="407" spans="2:12" x14ac:dyDescent="0.3">
      <c r="C407" s="280" t="s">
        <v>541</v>
      </c>
      <c r="D407" s="253" t="s">
        <v>75</v>
      </c>
      <c r="E407" s="284">
        <f t="shared" ref="E407:L407" si="101">IF($D$379=2,E436,IF($D$379=3,E465,0))</f>
        <v>0</v>
      </c>
      <c r="F407" s="284">
        <f t="shared" si="101"/>
        <v>0</v>
      </c>
      <c r="G407" s="284">
        <f t="shared" si="101"/>
        <v>0</v>
      </c>
      <c r="H407" s="284">
        <f t="shared" si="101"/>
        <v>0</v>
      </c>
      <c r="I407" s="284">
        <f t="shared" si="101"/>
        <v>0</v>
      </c>
      <c r="J407" s="284">
        <f t="shared" si="101"/>
        <v>0</v>
      </c>
      <c r="K407" s="284">
        <f t="shared" si="101"/>
        <v>0</v>
      </c>
      <c r="L407" s="284">
        <f t="shared" si="101"/>
        <v>0</v>
      </c>
    </row>
    <row r="408" spans="2:12" x14ac:dyDescent="0.3">
      <c r="C408" s="301" t="s">
        <v>326</v>
      </c>
      <c r="D408" s="253" t="s">
        <v>306</v>
      </c>
      <c r="E408" s="284">
        <f t="shared" ref="E408:L408" si="102">IF($D$379=2,E437,IF($D$379=3,E466,0))</f>
        <v>0</v>
      </c>
      <c r="F408" s="284">
        <f t="shared" si="102"/>
        <v>0</v>
      </c>
      <c r="G408" s="284">
        <f t="shared" si="102"/>
        <v>0</v>
      </c>
      <c r="H408" s="284">
        <f t="shared" si="102"/>
        <v>0</v>
      </c>
      <c r="I408" s="284">
        <f t="shared" si="102"/>
        <v>0</v>
      </c>
      <c r="J408" s="284">
        <f t="shared" si="102"/>
        <v>0</v>
      </c>
      <c r="K408" s="284">
        <f t="shared" si="102"/>
        <v>0</v>
      </c>
      <c r="L408" s="284">
        <f t="shared" si="102"/>
        <v>0</v>
      </c>
    </row>
    <row r="409" spans="2:12" x14ac:dyDescent="0.3">
      <c r="C409" s="301" t="s">
        <v>387</v>
      </c>
      <c r="D409" s="253" t="s">
        <v>388</v>
      </c>
      <c r="E409" s="284">
        <f t="shared" ref="E409:L409" si="103">IF($D$379=2,E438,IF($D$379=3,E467,0))</f>
        <v>0</v>
      </c>
      <c r="F409" s="284">
        <f t="shared" si="103"/>
        <v>0</v>
      </c>
      <c r="G409" s="284">
        <f t="shared" si="103"/>
        <v>0</v>
      </c>
      <c r="H409" s="284">
        <f t="shared" si="103"/>
        <v>0</v>
      </c>
      <c r="I409" s="284">
        <f t="shared" si="103"/>
        <v>0</v>
      </c>
      <c r="J409" s="284">
        <f t="shared" si="103"/>
        <v>0</v>
      </c>
      <c r="K409" s="284">
        <f t="shared" si="103"/>
        <v>0</v>
      </c>
      <c r="L409" s="284">
        <f t="shared" si="103"/>
        <v>0</v>
      </c>
    </row>
    <row r="410" spans="2:12" x14ac:dyDescent="0.3">
      <c r="H410" s="113"/>
    </row>
    <row r="411" spans="2:12" ht="11.25" customHeight="1" x14ac:dyDescent="0.3">
      <c r="B411" s="106"/>
      <c r="C411" s="283" t="s">
        <v>630</v>
      </c>
      <c r="D411" s="119"/>
      <c r="E411" s="195"/>
      <c r="F411" s="106"/>
      <c r="G411" s="112"/>
    </row>
    <row r="412" spans="2:12" x14ac:dyDescent="0.3">
      <c r="C412" s="282" t="s">
        <v>259</v>
      </c>
      <c r="D412" s="253" t="s">
        <v>318</v>
      </c>
      <c r="E412" s="183">
        <v>2015</v>
      </c>
      <c r="F412" s="183">
        <v>2020</v>
      </c>
      <c r="G412" s="183">
        <v>2025</v>
      </c>
      <c r="H412" s="183">
        <v>2030</v>
      </c>
      <c r="I412" s="183">
        <v>2035</v>
      </c>
      <c r="J412" s="183">
        <v>2040</v>
      </c>
      <c r="K412" s="183">
        <v>2045</v>
      </c>
      <c r="L412" s="183">
        <v>2050</v>
      </c>
    </row>
    <row r="413" spans="2:12" x14ac:dyDescent="0.3">
      <c r="C413" s="191" t="s">
        <v>231</v>
      </c>
      <c r="D413" s="183">
        <v>1</v>
      </c>
      <c r="E413" s="284">
        <f>VLOOKUP($D413,Soojus!$C$98:$K$105,Soojus!D$97)</f>
        <v>0</v>
      </c>
      <c r="F413" s="284">
        <f>VLOOKUP($D413,Soojus!$C$98:$K$105,Soojus!E$97)</f>
        <v>0</v>
      </c>
      <c r="G413" s="284">
        <f>VLOOKUP($D413,Soojus!$C$98:$K$105,Soojus!F$97)</f>
        <v>0</v>
      </c>
      <c r="H413" s="284">
        <f>VLOOKUP($D413,Soojus!$C$98:$K$105,Soojus!G$97)</f>
        <v>0</v>
      </c>
      <c r="I413" s="284">
        <f>VLOOKUP($D413,Soojus!$C$98:$K$105,Soojus!H$97)</f>
        <v>0</v>
      </c>
      <c r="J413" s="284">
        <f>VLOOKUP($D413,Soojus!$C$98:$K$105,Soojus!I$97)</f>
        <v>0</v>
      </c>
      <c r="K413" s="284">
        <f>VLOOKUP($D413,Soojus!$C$98:$K$105,Soojus!J$97)</f>
        <v>0</v>
      </c>
      <c r="L413" s="284">
        <f>VLOOKUP($D413,Soojus!$C$98:$K$105,Soojus!K$97)</f>
        <v>0</v>
      </c>
    </row>
    <row r="414" spans="2:12" x14ac:dyDescent="0.3">
      <c r="C414" s="191" t="s">
        <v>209</v>
      </c>
      <c r="D414" s="183">
        <v>2</v>
      </c>
      <c r="E414" s="284">
        <f>VLOOKUP($D414,Soojus!$C$98:$K$105,Soojus!D$97)</f>
        <v>0</v>
      </c>
      <c r="F414" s="284">
        <f>VLOOKUP($D414,Soojus!$C$98:$K$105,Soojus!E$97)</f>
        <v>1.9439999999999884</v>
      </c>
      <c r="G414" s="284">
        <f>VLOOKUP($D414,Soojus!$C$98:$K$105,Soojus!F$97)</f>
        <v>-10.395047619047631</v>
      </c>
      <c r="H414" s="284">
        <f>VLOOKUP($D414,Soojus!$C$98:$K$105,Soojus!G$97)</f>
        <v>-21.257142857142824</v>
      </c>
      <c r="I414" s="284">
        <f>VLOOKUP($D414,Soojus!$C$98:$K$105,Soojus!H$97)</f>
        <v>-40.503047619047578</v>
      </c>
      <c r="J414" s="284">
        <f>VLOOKUP($D414,Soojus!$C$98:$K$105,Soojus!I$97)</f>
        <v>-58.69999999999996</v>
      </c>
      <c r="K414" s="284">
        <f>VLOOKUP($D414,Soojus!$C$98:$K$105,Soojus!J$97)</f>
        <v>-81.649523809523771</v>
      </c>
      <c r="L414" s="284">
        <f>VLOOKUP($D414,Soojus!$C$98:$K$105,Soojus!K$97)</f>
        <v>-85.919047619047575</v>
      </c>
    </row>
    <row r="415" spans="2:12" x14ac:dyDescent="0.3">
      <c r="C415" s="191" t="s">
        <v>417</v>
      </c>
      <c r="D415" s="183">
        <v>4</v>
      </c>
      <c r="E415" s="284">
        <f>VLOOKUP($D415,Soojus!$C$98:$K$105,Soojus!D$97)</f>
        <v>0</v>
      </c>
      <c r="F415" s="284">
        <f>VLOOKUP($D415,Soojus!$C$98:$K$105,Soojus!E$97)</f>
        <v>0</v>
      </c>
      <c r="G415" s="284">
        <f>VLOOKUP($D415,Soojus!$C$98:$K$105,Soojus!F$97)</f>
        <v>0</v>
      </c>
      <c r="H415" s="284">
        <f>VLOOKUP($D415,Soojus!$C$98:$K$105,Soojus!G$97)</f>
        <v>-2.1564000000000005</v>
      </c>
      <c r="I415" s="284">
        <f>VLOOKUP($D415,Soojus!$C$98:$K$105,Soojus!H$97)</f>
        <v>-1.67</v>
      </c>
      <c r="J415" s="284">
        <f>VLOOKUP($D415,Soojus!$C$98:$K$105,Soojus!I$97)</f>
        <v>-3.6000000000000005</v>
      </c>
      <c r="K415" s="284">
        <f>VLOOKUP($D415,Soojus!$C$98:$K$105,Soojus!J$97)</f>
        <v>-3.88</v>
      </c>
      <c r="L415" s="284">
        <f>VLOOKUP($D415,Soojus!$C$98:$K$105,Soojus!K$97)</f>
        <v>-4.18</v>
      </c>
    </row>
    <row r="416" spans="2:12" x14ac:dyDescent="0.3">
      <c r="C416" s="191" t="s">
        <v>124</v>
      </c>
      <c r="D416" s="183">
        <v>10</v>
      </c>
      <c r="E416" s="284">
        <f>VLOOKUP($D416,Soojus!$C$98:$K$105,Soojus!D$97)</f>
        <v>0</v>
      </c>
      <c r="F416" s="284">
        <f>VLOOKUP($D416,Soojus!$C$98:$K$105,Soojus!E$97)</f>
        <v>-15.336000000000006</v>
      </c>
      <c r="G416" s="284">
        <f>VLOOKUP($D416,Soojus!$C$98:$K$105,Soojus!F$97)</f>
        <v>-16.142399999999999</v>
      </c>
      <c r="H416" s="284">
        <f>VLOOKUP($D416,Soojus!$C$98:$K$105,Soojus!G$97)</f>
        <v>-20.52</v>
      </c>
      <c r="I416" s="284">
        <f>VLOOKUP($D416,Soojus!$C$98:$K$105,Soojus!H$97)</f>
        <v>-8.64</v>
      </c>
      <c r="J416" s="284">
        <f>VLOOKUP($D416,Soojus!$C$98:$K$105,Soojus!I$97)</f>
        <v>-13.737599999999999</v>
      </c>
      <c r="K416" s="284">
        <f>VLOOKUP($D416,Soojus!$C$98:$K$105,Soojus!J$97)</f>
        <v>0</v>
      </c>
      <c r="L416" s="284">
        <f>VLOOKUP($D416,Soojus!$C$98:$K$105,Soojus!K$97)</f>
        <v>0</v>
      </c>
    </row>
    <row r="417" spans="3:13" x14ac:dyDescent="0.3">
      <c r="C417" s="191" t="s">
        <v>133</v>
      </c>
      <c r="D417" s="183">
        <v>23</v>
      </c>
      <c r="E417" s="284"/>
      <c r="F417" s="284"/>
      <c r="G417" s="284"/>
      <c r="H417" s="284"/>
      <c r="I417" s="284"/>
      <c r="J417" s="284"/>
      <c r="K417" s="284"/>
      <c r="L417" s="284"/>
    </row>
    <row r="418" spans="3:13" x14ac:dyDescent="0.3">
      <c r="C418" s="191" t="s">
        <v>285</v>
      </c>
      <c r="D418" s="183">
        <v>24</v>
      </c>
      <c r="E418" s="284"/>
      <c r="F418" s="284"/>
      <c r="G418" s="284"/>
      <c r="H418" s="284"/>
      <c r="I418" s="284"/>
      <c r="J418" s="284"/>
      <c r="K418" s="284"/>
      <c r="L418" s="284"/>
    </row>
    <row r="419" spans="3:13" x14ac:dyDescent="0.3">
      <c r="C419" s="191" t="s">
        <v>315</v>
      </c>
      <c r="D419" s="183">
        <v>26</v>
      </c>
      <c r="E419" s="284">
        <f>VLOOKUP($D419,Soojus!$C$98:$K$105,Soojus!D$97,FALSE)</f>
        <v>-4.4289941176470601E-2</v>
      </c>
      <c r="F419" s="284">
        <f>VLOOKUP($D419,Soojus!$C$98:$K$105,Soojus!E$97,FALSE)</f>
        <v>-0.28627707097435007</v>
      </c>
      <c r="G419" s="284">
        <f>VLOOKUP($D419,Soojus!$C$98:$K$105,Soojus!F$97,FALSE)</f>
        <v>-0.5654031336058214</v>
      </c>
      <c r="H419" s="284">
        <f>VLOOKUP($D419,Soojus!$C$98:$K$105,Soojus!G$97,FALSE)</f>
        <v>-0.88706906851637157</v>
      </c>
      <c r="I419" s="284">
        <f>VLOOKUP($D419,Soojus!$C$98:$K$105,Soojus!H$97,FALSE)</f>
        <v>-0.67871862696932173</v>
      </c>
      <c r="J419" s="284">
        <f>VLOOKUP($D419,Soojus!$C$98:$K$105,Soojus!I$97,FALSE)</f>
        <v>-0.56121962286648053</v>
      </c>
      <c r="K419" s="284">
        <f>VLOOKUP($D419,Soojus!$C$98:$K$105,Soojus!J$97,FALSE)</f>
        <v>-0.42150516945725069</v>
      </c>
      <c r="L419" s="284">
        <f>VLOOKUP($D419,Soojus!$C$98:$K$105,Soojus!K$97,FALSE)</f>
        <v>-0.25684326907997068</v>
      </c>
    </row>
    <row r="420" spans="3:13" x14ac:dyDescent="0.3">
      <c r="C420" s="191" t="s">
        <v>38</v>
      </c>
      <c r="D420" s="183">
        <v>29</v>
      </c>
      <c r="E420" s="284">
        <f>VLOOKUP($D420,Soojus!$C$98:$K$105,Soojus!D$97,FALSE)</f>
        <v>2.0249999999999999</v>
      </c>
      <c r="F420" s="284">
        <f>VLOOKUP($D420,Soojus!$C$98:$K$105,Soojus!E$97,FALSE)</f>
        <v>2.0249999999999999</v>
      </c>
      <c r="G420" s="284">
        <f>VLOOKUP($D420,Soojus!$C$98:$K$105,Soojus!F$97,FALSE)</f>
        <v>2.0249999999999999</v>
      </c>
      <c r="H420" s="284">
        <f>VLOOKUP($D420,Soojus!$C$98:$K$105,Soojus!G$97,FALSE)</f>
        <v>2.0249999999999999</v>
      </c>
      <c r="I420" s="284">
        <f>VLOOKUP($D420,Soojus!$C$98:$K$105,Soojus!H$97,FALSE)</f>
        <v>-2.3249999999999997</v>
      </c>
      <c r="J420" s="284">
        <f>VLOOKUP($D420,Soojus!$C$98:$K$105,Soojus!I$97,FALSE)</f>
        <v>-2.3249999999999997</v>
      </c>
      <c r="K420" s="284">
        <f>VLOOKUP($D420,Soojus!$C$98:$K$105,Soojus!J$97,FALSE)</f>
        <v>-2.3249999999999997</v>
      </c>
      <c r="L420" s="284">
        <f>VLOOKUP($D420,Soojus!$C$98:$K$105,Soojus!K$97,FALSE)</f>
        <v>-2.3249999999999997</v>
      </c>
    </row>
    <row r="421" spans="3:13" x14ac:dyDescent="0.3">
      <c r="C421" s="191" t="s">
        <v>136</v>
      </c>
      <c r="D421" s="183">
        <v>30</v>
      </c>
      <c r="E421" s="284"/>
      <c r="F421" s="284"/>
      <c r="G421" s="284"/>
      <c r="H421" s="284"/>
      <c r="I421" s="284"/>
      <c r="J421" s="284"/>
      <c r="K421" s="284"/>
      <c r="L421" s="284"/>
    </row>
    <row r="422" spans="3:13" x14ac:dyDescent="0.3">
      <c r="C422" s="191" t="s">
        <v>360</v>
      </c>
      <c r="D422" s="183">
        <v>31</v>
      </c>
      <c r="E422" s="284"/>
      <c r="F422" s="284"/>
      <c r="G422" s="284"/>
      <c r="H422" s="284"/>
      <c r="I422" s="284"/>
      <c r="J422" s="284"/>
      <c r="K422" s="284"/>
      <c r="L422" s="284"/>
    </row>
    <row r="423" spans="3:13" x14ac:dyDescent="0.3">
      <c r="C423" s="191" t="s">
        <v>361</v>
      </c>
      <c r="D423" s="183">
        <v>32</v>
      </c>
      <c r="E423" s="284"/>
      <c r="F423" s="284"/>
      <c r="G423" s="284"/>
      <c r="H423" s="284"/>
      <c r="I423" s="284"/>
      <c r="J423" s="284"/>
      <c r="K423" s="284"/>
      <c r="L423" s="284"/>
    </row>
    <row r="424" spans="3:13" x14ac:dyDescent="0.3">
      <c r="C424" s="191" t="s">
        <v>362</v>
      </c>
      <c r="D424" s="183">
        <v>33</v>
      </c>
      <c r="E424" s="284"/>
      <c r="F424" s="284"/>
      <c r="G424" s="284"/>
      <c r="H424" s="284"/>
      <c r="I424" s="284"/>
      <c r="J424" s="284"/>
      <c r="K424" s="284"/>
      <c r="L424" s="284"/>
    </row>
    <row r="425" spans="3:13" x14ac:dyDescent="0.3">
      <c r="C425" s="191" t="s">
        <v>363</v>
      </c>
      <c r="D425" s="183">
        <v>55</v>
      </c>
      <c r="E425" s="284"/>
      <c r="F425" s="284"/>
      <c r="G425" s="284"/>
      <c r="H425" s="284"/>
      <c r="I425" s="284"/>
      <c r="J425" s="284"/>
      <c r="K425" s="284"/>
      <c r="L425" s="284"/>
    </row>
    <row r="426" spans="3:13" x14ac:dyDescent="0.3">
      <c r="C426" s="259" t="s">
        <v>204</v>
      </c>
      <c r="D426" s="251">
        <v>101</v>
      </c>
      <c r="E426" s="284"/>
      <c r="F426" s="284"/>
      <c r="G426" s="284"/>
      <c r="H426" s="284"/>
      <c r="I426" s="284"/>
      <c r="J426" s="284"/>
      <c r="K426" s="284"/>
      <c r="L426" s="284"/>
    </row>
    <row r="427" spans="3:13" x14ac:dyDescent="0.3">
      <c r="C427" s="259" t="s">
        <v>364</v>
      </c>
      <c r="D427" s="251">
        <v>102</v>
      </c>
      <c r="E427" s="284"/>
      <c r="F427" s="284"/>
      <c r="G427" s="284"/>
      <c r="H427" s="284"/>
      <c r="I427" s="284"/>
      <c r="J427" s="284"/>
      <c r="K427" s="284"/>
      <c r="L427" s="284"/>
    </row>
    <row r="428" spans="3:13" x14ac:dyDescent="0.3">
      <c r="C428" s="259" t="s">
        <v>457</v>
      </c>
      <c r="D428" s="251">
        <v>103</v>
      </c>
      <c r="E428" s="284">
        <f>-VLOOKUP($D428,Soojus!$C$98:$K$105,Soojus!D$97)</f>
        <v>-1.9750000000000001</v>
      </c>
      <c r="F428" s="284">
        <f>-VLOOKUP($D428,Soojus!$C$98:$K$105,Soojus!E$97)</f>
        <v>13.919900000000014</v>
      </c>
      <c r="G428" s="284">
        <f>-VLOOKUP($D428,Soojus!$C$98:$K$105,Soojus!F$97)</f>
        <v>21.821000000000002</v>
      </c>
      <c r="H428" s="284">
        <f>-VLOOKUP($D428,Soojus!$C$98:$K$105,Soojus!G$97)</f>
        <v>29.672599999999974</v>
      </c>
      <c r="I428" s="284">
        <f>-VLOOKUP($D428,Soojus!$C$98:$K$105,Soojus!H$97)</f>
        <v>44.477599999999974</v>
      </c>
      <c r="J428" s="284">
        <f>-VLOOKUP($D428,Soojus!$C$98:$K$105,Soojus!I$97)</f>
        <v>56.207300000000011</v>
      </c>
      <c r="K428" s="284">
        <f>-VLOOKUP($D428,Soojus!$C$98:$K$105,Soojus!J$97)</f>
        <v>78.660500000000027</v>
      </c>
      <c r="L428" s="284">
        <f>-VLOOKUP($D428,Soojus!$C$98:$K$105,Soojus!K$97)</f>
        <v>101.31350000000002</v>
      </c>
      <c r="M428" s="199"/>
    </row>
    <row r="429" spans="3:13" x14ac:dyDescent="0.3">
      <c r="C429" s="260" t="s">
        <v>110</v>
      </c>
      <c r="D429" s="252">
        <v>104</v>
      </c>
      <c r="E429" s="284"/>
      <c r="F429" s="284"/>
      <c r="G429" s="284"/>
      <c r="H429" s="284"/>
      <c r="I429" s="284"/>
      <c r="J429" s="284"/>
      <c r="K429" s="284"/>
      <c r="L429" s="284"/>
    </row>
    <row r="430" spans="3:13" x14ac:dyDescent="0.3">
      <c r="C430" s="259" t="s">
        <v>53</v>
      </c>
      <c r="D430" s="251"/>
      <c r="E430" s="284"/>
      <c r="F430" s="284"/>
      <c r="G430" s="284"/>
      <c r="H430" s="284"/>
      <c r="I430" s="284"/>
      <c r="J430" s="284"/>
      <c r="K430" s="284"/>
      <c r="L430" s="284"/>
    </row>
    <row r="431" spans="3:13" x14ac:dyDescent="0.3">
      <c r="C431" s="183" t="s">
        <v>321</v>
      </c>
      <c r="D431" s="253" t="s">
        <v>293</v>
      </c>
      <c r="E431" s="284"/>
      <c r="F431" s="284"/>
      <c r="G431" s="284"/>
      <c r="H431" s="284"/>
      <c r="I431" s="284"/>
      <c r="J431" s="284"/>
      <c r="K431" s="284"/>
      <c r="L431" s="284"/>
    </row>
    <row r="432" spans="3:13" x14ac:dyDescent="0.3">
      <c r="C432" s="191" t="s">
        <v>650</v>
      </c>
      <c r="D432" s="253" t="s">
        <v>75</v>
      </c>
      <c r="E432" s="284">
        <f>Soojus!D37</f>
        <v>49.184975194904837</v>
      </c>
      <c r="F432" s="284">
        <f>Soojus!E37</f>
        <v>-3297.4789915966103</v>
      </c>
      <c r="G432" s="284">
        <f>Soojus!F37</f>
        <v>-6153.633217993076</v>
      </c>
      <c r="H432" s="284">
        <f>Soojus!G37</f>
        <v>-9053.3612295807543</v>
      </c>
      <c r="I432" s="284">
        <f>Soojus!H37</f>
        <v>-12527.113543091662</v>
      </c>
      <c r="J432" s="284">
        <f>Soojus!I37</f>
        <v>-16489.717439501866</v>
      </c>
      <c r="K432" s="284">
        <f>Soojus!J37</f>
        <v>-17694.390330607879</v>
      </c>
      <c r="L432" s="284">
        <f>Soojus!K37</f>
        <v>-23725.082057901534</v>
      </c>
    </row>
    <row r="433" spans="2:12" x14ac:dyDescent="0.3">
      <c r="C433" s="279" t="s">
        <v>323</v>
      </c>
      <c r="D433" s="253" t="s">
        <v>75</v>
      </c>
      <c r="E433" s="284">
        <f>Soojus!D38</f>
        <v>0</v>
      </c>
      <c r="F433" s="284">
        <f>Soojus!E38</f>
        <v>-3240</v>
      </c>
      <c r="G433" s="284">
        <f>Soojus!F38</f>
        <v>-3960</v>
      </c>
      <c r="H433" s="284">
        <f>Soojus!G38</f>
        <v>-5759.9999999999964</v>
      </c>
      <c r="I433" s="284">
        <f>Soojus!H38</f>
        <v>-6479.9999999999964</v>
      </c>
      <c r="J433" s="284">
        <f>Soojus!I38</f>
        <v>-8280.0000000000036</v>
      </c>
      <c r="K433" s="284">
        <f>Soojus!J38</f>
        <v>-8639.9999999999964</v>
      </c>
      <c r="L433" s="284">
        <f>Soojus!K38</f>
        <v>-12600</v>
      </c>
    </row>
    <row r="434" spans="2:12" x14ac:dyDescent="0.3">
      <c r="C434" s="279" t="s">
        <v>324</v>
      </c>
      <c r="D434" s="253" t="s">
        <v>75</v>
      </c>
      <c r="E434" s="284">
        <f>Soojus!D39</f>
        <v>49.184975194904837</v>
      </c>
      <c r="F434" s="284">
        <f>Soojus!E39</f>
        <v>-57.118991596609703</v>
      </c>
      <c r="G434" s="284">
        <f>Soojus!F39</f>
        <v>-2193.633217993076</v>
      </c>
      <c r="H434" s="284">
        <f>Soojus!G39</f>
        <v>-3653.3612295807543</v>
      </c>
      <c r="I434" s="284">
        <f>Soojus!H39</f>
        <v>-6407.1135430916693</v>
      </c>
      <c r="J434" s="284">
        <f>Soojus!I39</f>
        <v>-8929.3574395018659</v>
      </c>
      <c r="K434" s="284">
        <f>Soojus!J39</f>
        <v>-9774.3903306078864</v>
      </c>
      <c r="L434" s="284">
        <f>Soojus!K39</f>
        <v>-11845.082057901534</v>
      </c>
    </row>
    <row r="435" spans="2:12" x14ac:dyDescent="0.3">
      <c r="C435" s="280" t="s">
        <v>325</v>
      </c>
      <c r="D435" s="253" t="s">
        <v>75</v>
      </c>
      <c r="E435" s="284">
        <f>Soojus!D40</f>
        <v>0</v>
      </c>
      <c r="F435" s="284">
        <f>Soojus!E40</f>
        <v>360</v>
      </c>
      <c r="G435" s="284">
        <f>Soojus!F40</f>
        <v>-1800.0000000000073</v>
      </c>
      <c r="H435" s="284">
        <f>Soojus!G40</f>
        <v>-3600</v>
      </c>
      <c r="I435" s="284">
        <f>Soojus!H40</f>
        <v>-6840.0000000000073</v>
      </c>
      <c r="J435" s="284">
        <f>Soojus!I40</f>
        <v>-9000</v>
      </c>
      <c r="K435" s="284">
        <f>Soojus!J40</f>
        <v>-11879.999999999993</v>
      </c>
      <c r="L435" s="284">
        <f>Soojus!K40</f>
        <v>-11879.999999999993</v>
      </c>
    </row>
    <row r="436" spans="2:12" x14ac:dyDescent="0.3">
      <c r="C436" s="280" t="s">
        <v>541</v>
      </c>
      <c r="D436" s="253" t="s">
        <v>75</v>
      </c>
      <c r="E436" s="284">
        <f>Soojus!D41</f>
        <v>0</v>
      </c>
      <c r="F436" s="284">
        <f>Soojus!E41</f>
        <v>0</v>
      </c>
      <c r="G436" s="284">
        <f>Soojus!F41</f>
        <v>0</v>
      </c>
      <c r="H436" s="284">
        <f>Soojus!G41</f>
        <v>0</v>
      </c>
      <c r="I436" s="284">
        <f>Soojus!H41</f>
        <v>0</v>
      </c>
      <c r="J436" s="284">
        <f>Soojus!I41</f>
        <v>0</v>
      </c>
      <c r="K436" s="284">
        <f>Soojus!J41</f>
        <v>0</v>
      </c>
      <c r="L436" s="284">
        <f>Soojus!K41</f>
        <v>0</v>
      </c>
    </row>
    <row r="437" spans="2:12" x14ac:dyDescent="0.3">
      <c r="C437" s="191" t="s">
        <v>326</v>
      </c>
      <c r="D437" s="253" t="s">
        <v>306</v>
      </c>
      <c r="E437" s="284">
        <f>Soojus!D42</f>
        <v>0</v>
      </c>
      <c r="F437" s="284">
        <f>Soojus!E42</f>
        <v>0</v>
      </c>
      <c r="G437" s="284">
        <f>Soojus!F42</f>
        <v>0</v>
      </c>
      <c r="H437" s="284">
        <f>Soojus!G42</f>
        <v>0</v>
      </c>
      <c r="I437" s="284">
        <f>Soojus!H42</f>
        <v>0</v>
      </c>
      <c r="J437" s="284">
        <f>Soojus!I42</f>
        <v>0</v>
      </c>
      <c r="K437" s="284">
        <f>Soojus!J42</f>
        <v>0</v>
      </c>
      <c r="L437" s="284">
        <f>Soojus!K42</f>
        <v>0</v>
      </c>
    </row>
    <row r="438" spans="2:12" x14ac:dyDescent="0.3">
      <c r="C438" s="301" t="s">
        <v>387</v>
      </c>
      <c r="D438" s="253" t="s">
        <v>388</v>
      </c>
      <c r="E438" s="284">
        <f>Soojus!D60</f>
        <v>0</v>
      </c>
      <c r="F438" s="284">
        <f>Soojus!E60</f>
        <v>-203.89999999999873</v>
      </c>
      <c r="G438" s="284">
        <f>Soojus!F60</f>
        <v>-454.10000000000036</v>
      </c>
      <c r="H438" s="284">
        <f>Soojus!G60</f>
        <v>-745.80000000000018</v>
      </c>
      <c r="I438" s="284">
        <f>Soojus!H60</f>
        <v>-1130.6999999999998</v>
      </c>
      <c r="J438" s="284">
        <f>Soojus!I60</f>
        <v>-1469.8000000000002</v>
      </c>
      <c r="K438" s="284">
        <f>Soojus!J60</f>
        <v>-1742.5</v>
      </c>
      <c r="L438" s="284">
        <f>Soojus!K60</f>
        <v>-2088.1000000000004</v>
      </c>
    </row>
    <row r="439" spans="2:12" x14ac:dyDescent="0.3">
      <c r="H439" s="113"/>
    </row>
    <row r="440" spans="2:12" ht="11.25" customHeight="1" x14ac:dyDescent="0.3">
      <c r="B440" s="106"/>
      <c r="C440" s="283" t="s">
        <v>633</v>
      </c>
      <c r="D440" s="119"/>
      <c r="E440" s="195"/>
      <c r="F440" s="106"/>
      <c r="G440" s="112"/>
    </row>
    <row r="441" spans="2:12" x14ac:dyDescent="0.3">
      <c r="C441" s="282" t="s">
        <v>259</v>
      </c>
      <c r="D441" s="253" t="s">
        <v>318</v>
      </c>
      <c r="E441" s="183">
        <v>2015</v>
      </c>
      <c r="F441" s="183">
        <v>2020</v>
      </c>
      <c r="G441" s="183">
        <v>2025</v>
      </c>
      <c r="H441" s="183">
        <v>2030</v>
      </c>
      <c r="I441" s="183">
        <v>2035</v>
      </c>
      <c r="J441" s="183">
        <v>2040</v>
      </c>
      <c r="K441" s="183">
        <v>2045</v>
      </c>
      <c r="L441" s="183">
        <v>2050</v>
      </c>
    </row>
    <row r="442" spans="2:12" x14ac:dyDescent="0.3">
      <c r="C442" s="191" t="s">
        <v>231</v>
      </c>
      <c r="D442" s="183">
        <v>1</v>
      </c>
      <c r="E442" s="284">
        <f>VLOOKUP($D442,Soojus!$C$110:$K$117,Soojus!D$109)</f>
        <v>0</v>
      </c>
      <c r="F442" s="284">
        <f>VLOOKUP($D442,Soojus!$C$110:$K$117,Soojus!E$109)</f>
        <v>0</v>
      </c>
      <c r="G442" s="284">
        <f>VLOOKUP($D442,Soojus!$C$110:$K$117,Soojus!F$109)</f>
        <v>0</v>
      </c>
      <c r="H442" s="284">
        <f>VLOOKUP($D442,Soojus!$C$110:$K$117,Soojus!G$109)</f>
        <v>0</v>
      </c>
      <c r="I442" s="284">
        <f>VLOOKUP($D442,Soojus!$C$110:$K$117,Soojus!H$109)</f>
        <v>0</v>
      </c>
      <c r="J442" s="284">
        <f>VLOOKUP($D442,Soojus!$C$110:$K$117,Soojus!I$109)</f>
        <v>0</v>
      </c>
      <c r="K442" s="284">
        <f>VLOOKUP($D442,Soojus!$C$110:$K$117,Soojus!J$109)</f>
        <v>0</v>
      </c>
      <c r="L442" s="284">
        <f>VLOOKUP($D442,Soojus!$C$110:$K$117,Soojus!K$109)</f>
        <v>0</v>
      </c>
    </row>
    <row r="443" spans="2:12" x14ac:dyDescent="0.3">
      <c r="C443" s="191" t="s">
        <v>209</v>
      </c>
      <c r="D443" s="183">
        <v>2</v>
      </c>
      <c r="E443" s="284">
        <f>VLOOKUP($D443,Soojus!$C$110:$K$117,Soojus!D$109)</f>
        <v>0</v>
      </c>
      <c r="F443" s="284">
        <f>VLOOKUP($D443,Soojus!$C$110:$K$117,Soojus!E$109)</f>
        <v>-1.7638095238095275</v>
      </c>
      <c r="G443" s="284">
        <f>VLOOKUP($D443,Soojus!$C$110:$K$117,Soojus!F$109)</f>
        <v>-16.317142857142855</v>
      </c>
      <c r="H443" s="284">
        <f>VLOOKUP($D443,Soojus!$C$110:$K$117,Soojus!G$109)</f>
        <v>-29.668571428571383</v>
      </c>
      <c r="I443" s="284">
        <f>VLOOKUP($D443,Soojus!$C$110:$K$117,Soojus!H$109)</f>
        <v>-44.846476190476139</v>
      </c>
      <c r="J443" s="284">
        <f>VLOOKUP($D443,Soojus!$C$110:$K$117,Soojus!I$109)</f>
        <v>-75.246666666666641</v>
      </c>
      <c r="K443" s="284">
        <f>VLOOKUP($D443,Soojus!$C$110:$K$117,Soojus!J$109)</f>
        <v>-99.110095238095212</v>
      </c>
      <c r="L443" s="284">
        <f>VLOOKUP($D443,Soojus!$C$110:$K$117,Soojus!K$109)</f>
        <v>-135.46495238095235</v>
      </c>
    </row>
    <row r="444" spans="2:12" x14ac:dyDescent="0.3">
      <c r="C444" s="191" t="s">
        <v>417</v>
      </c>
      <c r="D444" s="183">
        <v>4</v>
      </c>
      <c r="E444" s="284">
        <f>VLOOKUP($D444,Soojus!$C$110:$K$117,Soojus!D$109)</f>
        <v>0</v>
      </c>
      <c r="F444" s="284">
        <f>VLOOKUP($D444,Soojus!$C$110:$K$117,Soojus!E$109)</f>
        <v>0</v>
      </c>
      <c r="G444" s="284">
        <f>VLOOKUP($D444,Soojus!$C$110:$K$117,Soojus!F$109)</f>
        <v>0</v>
      </c>
      <c r="H444" s="284">
        <f>VLOOKUP($D444,Soojus!$C$110:$K$117,Soojus!G$109)</f>
        <v>-3.7064000000000012</v>
      </c>
      <c r="I444" s="284">
        <f>VLOOKUP($D444,Soojus!$C$110:$K$117,Soojus!H$109)</f>
        <v>-3.34</v>
      </c>
      <c r="J444" s="284">
        <f>VLOOKUP($D444,Soojus!$C$110:$K$117,Soojus!I$109)</f>
        <v>-3.6000000000000005</v>
      </c>
      <c r="K444" s="284">
        <f>VLOOKUP($D444,Soojus!$C$110:$K$117,Soojus!J$109)</f>
        <v>-3.88</v>
      </c>
      <c r="L444" s="284">
        <f>VLOOKUP($D444,Soojus!$C$110:$K$117,Soojus!K$109)</f>
        <v>-4.18</v>
      </c>
    </row>
    <row r="445" spans="2:12" x14ac:dyDescent="0.3">
      <c r="C445" s="191" t="s">
        <v>124</v>
      </c>
      <c r="D445" s="183">
        <v>10</v>
      </c>
      <c r="E445" s="284">
        <f>VLOOKUP($D445,Soojus!$C$110:$K$117,Soojus!D$109)</f>
        <v>0</v>
      </c>
      <c r="F445" s="284">
        <f>VLOOKUP($D445,Soojus!$C$110:$K$117,Soojus!E$109)</f>
        <v>-15.336000000000006</v>
      </c>
      <c r="G445" s="284">
        <f>VLOOKUP($D445,Soojus!$C$110:$K$117,Soojus!F$109)</f>
        <v>-29.721600000000002</v>
      </c>
      <c r="H445" s="284">
        <f>VLOOKUP($D445,Soojus!$C$110:$K$117,Soojus!G$109)</f>
        <v>-46.584000000000003</v>
      </c>
      <c r="I445" s="284">
        <f>VLOOKUP($D445,Soojus!$C$110:$K$117,Soojus!H$109)</f>
        <v>-31.608000000000004</v>
      </c>
      <c r="J445" s="284">
        <f>VLOOKUP($D445,Soojus!$C$110:$K$117,Soojus!I$109)</f>
        <v>-28.692</v>
      </c>
      <c r="K445" s="284">
        <f>VLOOKUP($D445,Soojus!$C$110:$K$117,Soojus!J$109)</f>
        <v>-5.94</v>
      </c>
      <c r="L445" s="284">
        <f>VLOOKUP($D445,Soojus!$C$110:$K$117,Soojus!K$109)</f>
        <v>-6.0480000000000009</v>
      </c>
    </row>
    <row r="446" spans="2:12" x14ac:dyDescent="0.3">
      <c r="C446" s="191" t="s">
        <v>133</v>
      </c>
      <c r="D446" s="183">
        <v>23</v>
      </c>
      <c r="E446" s="284"/>
      <c r="F446" s="284"/>
      <c r="G446" s="284"/>
      <c r="H446" s="284"/>
      <c r="I446" s="284"/>
      <c r="J446" s="284"/>
      <c r="K446" s="284"/>
      <c r="L446" s="284"/>
    </row>
    <row r="447" spans="2:12" x14ac:dyDescent="0.3">
      <c r="C447" s="191" t="s">
        <v>285</v>
      </c>
      <c r="D447" s="183">
        <v>24</v>
      </c>
      <c r="E447" s="284"/>
      <c r="F447" s="284"/>
      <c r="G447" s="284"/>
      <c r="H447" s="284"/>
      <c r="I447" s="284"/>
      <c r="J447" s="284"/>
      <c r="K447" s="284"/>
      <c r="L447" s="284"/>
    </row>
    <row r="448" spans="2:12" x14ac:dyDescent="0.3">
      <c r="C448" s="191" t="s">
        <v>315</v>
      </c>
      <c r="D448" s="183">
        <v>26</v>
      </c>
      <c r="E448" s="284">
        <f>VLOOKUP($D448,Soojus!$C$110:$K$117,Soojus!D$109)</f>
        <v>-0.1234414117647059</v>
      </c>
      <c r="F448" s="284">
        <f>VLOOKUP($D448,Soojus!$C$110:$K$117,Soojus!E$109)</f>
        <v>-0.79788874986613267</v>
      </c>
      <c r="G448" s="284">
        <f>VLOOKUP($D448,Soojus!$C$110:$K$117,Soojus!F$109)</f>
        <v>-1.5758467763684902</v>
      </c>
      <c r="H448" s="284">
        <f>VLOOKUP($D448,Soojus!$C$110:$K$117,Soojus!G$109)</f>
        <v>-2.4665240098522077</v>
      </c>
      <c r="I448" s="284">
        <f>VLOOKUP($D448,Soojus!$C$110:$K$117,Soojus!H$109)</f>
        <v>-1.7072971160089607</v>
      </c>
      <c r="J448" s="284">
        <f>VLOOKUP($D448,Soojus!$C$110:$K$117,Soojus!I$109)</f>
        <v>-1.3180245083033775</v>
      </c>
      <c r="K448" s="284">
        <f>VLOOKUP($D448,Soojus!$C$110:$K$117,Soojus!J$109)</f>
        <v>-0.85838543546949708</v>
      </c>
      <c r="L448" s="284">
        <f>VLOOKUP($D448,Soojus!$C$110:$K$117,Soojus!K$109)</f>
        <v>-0.31982854732745736</v>
      </c>
    </row>
    <row r="449" spans="3:13" x14ac:dyDescent="0.3">
      <c r="C449" s="191" t="s">
        <v>38</v>
      </c>
      <c r="D449" s="183">
        <v>29</v>
      </c>
      <c r="E449" s="284">
        <f>VLOOKUP($D449,Soojus!$C$110:$K$117,Soojus!D$109)</f>
        <v>4.7062499999999998</v>
      </c>
      <c r="F449" s="284">
        <f>VLOOKUP($D449,Soojus!$C$110:$K$117,Soojus!E$109)</f>
        <v>4.7062499999999998</v>
      </c>
      <c r="G449" s="284">
        <f>VLOOKUP($D449,Soojus!$C$110:$K$117,Soojus!F$109)</f>
        <v>4.7062499999999998</v>
      </c>
      <c r="H449" s="284">
        <f>VLOOKUP($D449,Soojus!$C$110:$K$117,Soojus!G$109)</f>
        <v>4.7062499999999998</v>
      </c>
      <c r="I449" s="284">
        <f>VLOOKUP($D449,Soojus!$C$110:$K$117,Soojus!H$109)</f>
        <v>-5.4649999999999999</v>
      </c>
      <c r="J449" s="284">
        <f>VLOOKUP($D449,Soojus!$C$110:$K$117,Soojus!I$109)</f>
        <v>-5.4649999999999999</v>
      </c>
      <c r="K449" s="284">
        <f>VLOOKUP($D449,Soojus!$C$110:$K$117,Soojus!J$109)</f>
        <v>-5.4649999999999999</v>
      </c>
      <c r="L449" s="284">
        <f>VLOOKUP($D449,Soojus!$C$110:$K$117,Soojus!K$109)</f>
        <v>-5.4649999999999999</v>
      </c>
    </row>
    <row r="450" spans="3:13" x14ac:dyDescent="0.3">
      <c r="C450" s="191" t="s">
        <v>136</v>
      </c>
      <c r="D450" s="183">
        <v>30</v>
      </c>
      <c r="E450" s="284"/>
      <c r="F450" s="284"/>
      <c r="G450" s="284"/>
      <c r="H450" s="284"/>
      <c r="I450" s="284"/>
      <c r="J450" s="284"/>
      <c r="K450" s="284"/>
      <c r="L450" s="284"/>
    </row>
    <row r="451" spans="3:13" x14ac:dyDescent="0.3">
      <c r="C451" s="191" t="s">
        <v>360</v>
      </c>
      <c r="D451" s="183">
        <v>31</v>
      </c>
      <c r="E451" s="284"/>
      <c r="F451" s="284"/>
      <c r="G451" s="284"/>
      <c r="H451" s="284"/>
      <c r="I451" s="284"/>
      <c r="J451" s="284"/>
      <c r="K451" s="284"/>
      <c r="L451" s="284"/>
    </row>
    <row r="452" spans="3:13" x14ac:dyDescent="0.3">
      <c r="C452" s="191" t="s">
        <v>361</v>
      </c>
      <c r="D452" s="183">
        <v>32</v>
      </c>
      <c r="E452" s="284"/>
      <c r="F452" s="284"/>
      <c r="G452" s="284"/>
      <c r="H452" s="284"/>
      <c r="I452" s="284"/>
      <c r="J452" s="284"/>
      <c r="K452" s="284"/>
      <c r="L452" s="284"/>
    </row>
    <row r="453" spans="3:13" x14ac:dyDescent="0.3">
      <c r="C453" s="191" t="s">
        <v>362</v>
      </c>
      <c r="D453" s="183">
        <v>33</v>
      </c>
      <c r="E453" s="284"/>
      <c r="F453" s="284"/>
      <c r="G453" s="284"/>
      <c r="H453" s="284"/>
      <c r="I453" s="284"/>
      <c r="J453" s="284"/>
      <c r="K453" s="284"/>
      <c r="L453" s="284"/>
    </row>
    <row r="454" spans="3:13" x14ac:dyDescent="0.3">
      <c r="C454" s="191" t="s">
        <v>363</v>
      </c>
      <c r="D454" s="183">
        <v>55</v>
      </c>
      <c r="E454" s="284"/>
      <c r="F454" s="284"/>
      <c r="G454" s="284"/>
      <c r="H454" s="284"/>
      <c r="I454" s="284"/>
      <c r="J454" s="284"/>
      <c r="K454" s="284"/>
      <c r="L454" s="284"/>
    </row>
    <row r="455" spans="3:13" x14ac:dyDescent="0.3">
      <c r="C455" s="259" t="s">
        <v>204</v>
      </c>
      <c r="D455" s="251">
        <v>101</v>
      </c>
      <c r="E455" s="284"/>
      <c r="F455" s="284"/>
      <c r="G455" s="284"/>
      <c r="H455" s="284"/>
      <c r="I455" s="284"/>
      <c r="J455" s="284"/>
      <c r="K455" s="284"/>
      <c r="L455" s="284"/>
    </row>
    <row r="456" spans="3:13" x14ac:dyDescent="0.3">
      <c r="C456" s="259" t="s">
        <v>364</v>
      </c>
      <c r="D456" s="251">
        <v>102</v>
      </c>
      <c r="E456" s="284"/>
      <c r="F456" s="284"/>
      <c r="G456" s="284"/>
      <c r="H456" s="284"/>
      <c r="I456" s="284"/>
      <c r="J456" s="284"/>
      <c r="K456" s="284"/>
      <c r="L456" s="284"/>
    </row>
    <row r="457" spans="3:13" x14ac:dyDescent="0.3">
      <c r="C457" s="259" t="s">
        <v>457</v>
      </c>
      <c r="D457" s="251">
        <v>103</v>
      </c>
      <c r="E457" s="284">
        <f>-VLOOKUP($D457,Soojus!$C$110:$K$117,Soojus!D$109)</f>
        <v>-3.9187500000000002</v>
      </c>
      <c r="F457" s="284">
        <f>-VLOOKUP($D457,Soojus!$C$110:$K$117,Soojus!E$109)</f>
        <v>26.678550000000026</v>
      </c>
      <c r="G457" s="284">
        <f>-VLOOKUP($D457,Soojus!$C$110:$K$117,Soojus!F$109)</f>
        <v>38.687250000000006</v>
      </c>
      <c r="H457" s="284">
        <f>-VLOOKUP($D457,Soojus!$C$110:$K$117,Soojus!G$109)</f>
        <v>54.340049999999998</v>
      </c>
      <c r="I457" s="284">
        <f>-VLOOKUP($D457,Soojus!$C$110:$K$117,Soojus!H$109)</f>
        <v>98.649600000000007</v>
      </c>
      <c r="J457" s="284">
        <f>-VLOOKUP($D457,Soojus!$C$110:$K$117,Soojus!I$109)</f>
        <v>125.9943</v>
      </c>
      <c r="K457" s="284">
        <f>-VLOOKUP($D457,Soojus!$C$110:$K$117,Soojus!J$109)</f>
        <v>140.5275</v>
      </c>
      <c r="L457" s="284">
        <f>-VLOOKUP($D457,Soojus!$C$110:$K$117,Soojus!K$109)</f>
        <v>159.31950000000001</v>
      </c>
      <c r="M457" s="199"/>
    </row>
    <row r="458" spans="3:13" x14ac:dyDescent="0.3">
      <c r="C458" s="260" t="s">
        <v>110</v>
      </c>
      <c r="D458" s="252">
        <v>104</v>
      </c>
      <c r="E458" s="284"/>
      <c r="F458" s="284"/>
      <c r="G458" s="284"/>
      <c r="H458" s="284"/>
      <c r="I458" s="284"/>
      <c r="J458" s="284"/>
      <c r="K458" s="284"/>
      <c r="L458" s="284"/>
    </row>
    <row r="459" spans="3:13" x14ac:dyDescent="0.3">
      <c r="C459" s="259" t="s">
        <v>53</v>
      </c>
      <c r="D459" s="251"/>
      <c r="E459" s="284"/>
      <c r="F459" s="284"/>
      <c r="G459" s="284"/>
      <c r="H459" s="284"/>
      <c r="I459" s="284"/>
      <c r="J459" s="284"/>
      <c r="K459" s="284"/>
      <c r="L459" s="284"/>
    </row>
    <row r="460" spans="3:13" x14ac:dyDescent="0.3">
      <c r="C460" s="183" t="s">
        <v>321</v>
      </c>
      <c r="D460" s="253" t="s">
        <v>293</v>
      </c>
      <c r="E460" s="284"/>
      <c r="F460" s="284"/>
      <c r="G460" s="284"/>
      <c r="H460" s="284"/>
      <c r="I460" s="284"/>
      <c r="J460" s="284"/>
      <c r="K460" s="284"/>
      <c r="L460" s="284"/>
    </row>
    <row r="461" spans="3:13" x14ac:dyDescent="0.3">
      <c r="C461" s="191" t="s">
        <v>650</v>
      </c>
      <c r="D461" s="253" t="s">
        <v>75</v>
      </c>
      <c r="E461" s="284">
        <f>Soojus!D67</f>
        <v>49.184975194904837</v>
      </c>
      <c r="F461" s="284">
        <f>Soojus!E67</f>
        <v>-5364.7058823529223</v>
      </c>
      <c r="G461" s="284">
        <f>Soojus!F67</f>
        <v>-10484.5256296773</v>
      </c>
      <c r="H461" s="284">
        <f>Soojus!G67</f>
        <v>-15313.985530040896</v>
      </c>
      <c r="I461" s="284">
        <f>Soojus!H67</f>
        <v>-20533.431165277958</v>
      </c>
      <c r="J461" s="284">
        <f>Soojus!I67</f>
        <v>-26196.190534745401</v>
      </c>
      <c r="K461" s="284">
        <f>Soojus!J67</f>
        <v>-27981.675240697456</v>
      </c>
      <c r="L461" s="284">
        <f>Soojus!K67</f>
        <v>-34898.985801217044</v>
      </c>
    </row>
    <row r="462" spans="3:13" x14ac:dyDescent="0.3">
      <c r="C462" s="279" t="s">
        <v>323</v>
      </c>
      <c r="D462" s="253" t="s">
        <v>75</v>
      </c>
      <c r="E462" s="284">
        <f>Soojus!D68</f>
        <v>0</v>
      </c>
      <c r="F462" s="284">
        <f>Soojus!E68</f>
        <v>-4680</v>
      </c>
      <c r="G462" s="284">
        <f>Soojus!F68</f>
        <v>-6839.9999999999964</v>
      </c>
      <c r="H462" s="284">
        <f>Soojus!G68</f>
        <v>-10800</v>
      </c>
      <c r="I462" s="284">
        <f>Soojus!H68</f>
        <v>-13320</v>
      </c>
      <c r="J462" s="284">
        <f>Soojus!I68</f>
        <v>-15120</v>
      </c>
      <c r="K462" s="284">
        <f>Soojus!J68</f>
        <v>-16200</v>
      </c>
      <c r="L462" s="284">
        <f>Soojus!K68</f>
        <v>-16920</v>
      </c>
    </row>
    <row r="463" spans="3:13" x14ac:dyDescent="0.3">
      <c r="C463" s="279" t="s">
        <v>324</v>
      </c>
      <c r="D463" s="253" t="s">
        <v>75</v>
      </c>
      <c r="E463" s="284">
        <f>Soojus!D69</f>
        <v>49.184975194904837</v>
      </c>
      <c r="F463" s="284">
        <f>Soojus!E69</f>
        <v>-684.34588235292176</v>
      </c>
      <c r="G463" s="284">
        <f>Soojus!F69</f>
        <v>-3644.5256296773005</v>
      </c>
      <c r="H463" s="284">
        <f>Soojus!G69</f>
        <v>-4873.9855300408963</v>
      </c>
      <c r="I463" s="284">
        <f>Soojus!H69</f>
        <v>-7573.4311652779579</v>
      </c>
      <c r="J463" s="284">
        <f>Soojus!I69</f>
        <v>-11436.190534745401</v>
      </c>
      <c r="K463" s="284">
        <f>Soojus!J69</f>
        <v>-12501.675240697456</v>
      </c>
      <c r="L463" s="284">
        <f>Soojus!K69</f>
        <v>-18698.985801217044</v>
      </c>
    </row>
    <row r="464" spans="3:13" x14ac:dyDescent="0.3">
      <c r="C464" s="280" t="s">
        <v>325</v>
      </c>
      <c r="D464" s="253" t="s">
        <v>75</v>
      </c>
      <c r="E464" s="284">
        <f>Soojus!D70</f>
        <v>0</v>
      </c>
      <c r="F464" s="284">
        <f>Soojus!E70</f>
        <v>-359.99999999999272</v>
      </c>
      <c r="G464" s="284">
        <f>Soojus!F70</f>
        <v>-3240.0000000000073</v>
      </c>
      <c r="H464" s="284">
        <f>Soojus!G70</f>
        <v>-5040</v>
      </c>
      <c r="I464" s="284">
        <f>Soojus!H70</f>
        <v>-7560.0000000000073</v>
      </c>
      <c r="J464" s="284">
        <f>Soojus!I70</f>
        <v>-11880.000000000007</v>
      </c>
      <c r="K464" s="284">
        <f>Soojus!J70</f>
        <v>-14399.999999999993</v>
      </c>
      <c r="L464" s="284">
        <f>Soojus!K70</f>
        <v>-18719.999999999993</v>
      </c>
    </row>
    <row r="465" spans="2:12" x14ac:dyDescent="0.3">
      <c r="C465" s="280" t="s">
        <v>541</v>
      </c>
      <c r="D465" s="253" t="s">
        <v>75</v>
      </c>
      <c r="E465" s="284">
        <f>Soojus!D71</f>
        <v>0</v>
      </c>
      <c r="F465" s="284">
        <f>Soojus!E71</f>
        <v>0</v>
      </c>
      <c r="G465" s="284">
        <f>Soojus!F71</f>
        <v>0</v>
      </c>
      <c r="H465" s="284">
        <f>Soojus!G71</f>
        <v>0</v>
      </c>
      <c r="I465" s="284">
        <f>Soojus!H71</f>
        <v>0</v>
      </c>
      <c r="J465" s="284">
        <f>Soojus!I71</f>
        <v>0</v>
      </c>
      <c r="K465" s="284">
        <f>Soojus!J71</f>
        <v>0</v>
      </c>
      <c r="L465" s="284">
        <f>Soojus!K71</f>
        <v>0</v>
      </c>
    </row>
    <row r="466" spans="2:12" x14ac:dyDescent="0.3">
      <c r="C466" s="191" t="s">
        <v>326</v>
      </c>
      <c r="D466" s="253" t="s">
        <v>306</v>
      </c>
      <c r="E466" s="284"/>
      <c r="F466" s="284"/>
      <c r="G466" s="284"/>
      <c r="H466" s="284"/>
      <c r="I466" s="284"/>
      <c r="J466" s="284"/>
      <c r="K466" s="284"/>
      <c r="L466" s="284"/>
    </row>
    <row r="467" spans="2:12" x14ac:dyDescent="0.3">
      <c r="C467" s="307" t="s">
        <v>387</v>
      </c>
      <c r="D467" s="308" t="s">
        <v>388</v>
      </c>
      <c r="E467" s="309">
        <f>Soojus!D90</f>
        <v>0</v>
      </c>
      <c r="F467" s="309">
        <f>Soojus!E90</f>
        <v>-359.29999999999927</v>
      </c>
      <c r="G467" s="309">
        <f>Soojus!F90</f>
        <v>-786.19999999999982</v>
      </c>
      <c r="H467" s="309">
        <f>Soojus!G90</f>
        <v>-1245.3000000000002</v>
      </c>
      <c r="I467" s="309">
        <f>Soojus!H90</f>
        <v>-1660.9000000000005</v>
      </c>
      <c r="J467" s="309">
        <f>Soojus!I90</f>
        <v>-2196.2000000000007</v>
      </c>
      <c r="K467" s="309">
        <f>Soojus!J90</f>
        <v>-2550.3000000000006</v>
      </c>
      <c r="L467" s="309">
        <f>Soojus!K90</f>
        <v>-3007.5000000000005</v>
      </c>
    </row>
    <row r="468" spans="2:12" x14ac:dyDescent="0.3">
      <c r="C468" s="293"/>
      <c r="D468" s="201"/>
      <c r="E468" s="201"/>
      <c r="F468" s="202"/>
      <c r="G468" s="118"/>
    </row>
    <row r="469" spans="2:12" ht="15.6" x14ac:dyDescent="0.3">
      <c r="B469" s="353">
        <v>5</v>
      </c>
      <c r="C469" s="352" t="s">
        <v>381</v>
      </c>
      <c r="D469" s="201"/>
      <c r="E469" s="201"/>
      <c r="F469" s="202"/>
      <c r="G469" s="118"/>
    </row>
    <row r="470" spans="2:12" ht="27.6" x14ac:dyDescent="0.3">
      <c r="B470" s="118"/>
      <c r="C470" s="200"/>
      <c r="D470" s="273" t="s">
        <v>316</v>
      </c>
      <c r="E470" s="273" t="s">
        <v>383</v>
      </c>
      <c r="F470" s="273" t="s">
        <v>382</v>
      </c>
    </row>
    <row r="471" spans="2:12" x14ac:dyDescent="0.3">
      <c r="B471" s="118"/>
      <c r="C471" s="206" t="s">
        <v>251</v>
      </c>
      <c r="D471" s="200">
        <v>1</v>
      </c>
      <c r="E471" s="200">
        <v>2</v>
      </c>
      <c r="F471" s="200">
        <v>3</v>
      </c>
    </row>
    <row r="472" spans="2:12" x14ac:dyDescent="0.3">
      <c r="B472" s="118"/>
      <c r="C472" s="204" t="s">
        <v>389</v>
      </c>
      <c r="D472" s="363">
        <f>TULEMUSED!M9</f>
        <v>3</v>
      </c>
      <c r="E472" s="205" t="str">
        <f>IF(D472=1,"ehk Mittesekkuv",IF(D472=2," ehk Vähesekkuv"," ehk Maksimaalne"))</f>
        <v xml:space="preserve"> ehk Maksimaalne</v>
      </c>
      <c r="F472" s="106"/>
    </row>
    <row r="473" spans="2:12" x14ac:dyDescent="0.3">
      <c r="B473" s="106"/>
      <c r="C473" s="111"/>
      <c r="D473" s="194"/>
      <c r="E473" s="195"/>
      <c r="G473" s="112"/>
    </row>
    <row r="474" spans="2:12" ht="11.25" customHeight="1" x14ac:dyDescent="0.3">
      <c r="B474" s="106"/>
      <c r="C474" s="203" t="s">
        <v>384</v>
      </c>
      <c r="D474" s="119"/>
      <c r="E474" s="195"/>
      <c r="F474" s="106"/>
      <c r="G474" s="112"/>
    </row>
    <row r="475" spans="2:12" x14ac:dyDescent="0.3">
      <c r="C475" s="282" t="s">
        <v>259</v>
      </c>
      <c r="D475" s="253" t="s">
        <v>318</v>
      </c>
      <c r="E475" s="183">
        <v>2015</v>
      </c>
      <c r="F475" s="183">
        <v>2020</v>
      </c>
      <c r="G475" s="183">
        <v>2025</v>
      </c>
      <c r="H475" s="183">
        <v>2030</v>
      </c>
      <c r="I475" s="183">
        <v>2035</v>
      </c>
      <c r="J475" s="183">
        <v>2040</v>
      </c>
      <c r="K475" s="183">
        <v>2045</v>
      </c>
      <c r="L475" s="183">
        <v>2050</v>
      </c>
    </row>
    <row r="476" spans="2:12" x14ac:dyDescent="0.3">
      <c r="C476" s="191" t="s">
        <v>231</v>
      </c>
      <c r="D476" s="183">
        <v>1</v>
      </c>
      <c r="E476" s="284">
        <f t="shared" ref="E476:L485" si="104">IF($D$472=2,E506,IF($D$472=3,E536,0))</f>
        <v>3.9899999999999998</v>
      </c>
      <c r="F476" s="284">
        <f t="shared" si="104"/>
        <v>20.615000000000002</v>
      </c>
      <c r="G476" s="284">
        <f t="shared" si="104"/>
        <v>26.6</v>
      </c>
      <c r="H476" s="284">
        <f t="shared" si="104"/>
        <v>34.978999999999999</v>
      </c>
      <c r="I476" s="284">
        <f t="shared" si="104"/>
        <v>39.900000000000006</v>
      </c>
      <c r="J476" s="284">
        <f t="shared" si="104"/>
        <v>43.092000000000006</v>
      </c>
      <c r="K476" s="284">
        <f t="shared" si="104"/>
        <v>46.550000000000004</v>
      </c>
      <c r="L476" s="284">
        <f t="shared" si="104"/>
        <v>49.316400000000002</v>
      </c>
    </row>
    <row r="477" spans="2:12" x14ac:dyDescent="0.3">
      <c r="C477" s="191" t="s">
        <v>209</v>
      </c>
      <c r="D477" s="183">
        <v>2</v>
      </c>
      <c r="E477" s="284">
        <f t="shared" si="104"/>
        <v>0</v>
      </c>
      <c r="F477" s="284">
        <f t="shared" si="104"/>
        <v>0</v>
      </c>
      <c r="G477" s="284">
        <f t="shared" si="104"/>
        <v>0</v>
      </c>
      <c r="H477" s="284">
        <f t="shared" si="104"/>
        <v>0</v>
      </c>
      <c r="I477" s="284">
        <f t="shared" si="104"/>
        <v>0</v>
      </c>
      <c r="J477" s="284">
        <f t="shared" si="104"/>
        <v>0</v>
      </c>
      <c r="K477" s="284">
        <f t="shared" si="104"/>
        <v>0</v>
      </c>
      <c r="L477" s="284">
        <f t="shared" si="104"/>
        <v>0</v>
      </c>
    </row>
    <row r="478" spans="2:12" x14ac:dyDescent="0.3">
      <c r="C478" s="191" t="s">
        <v>417</v>
      </c>
      <c r="D478" s="183">
        <v>4</v>
      </c>
      <c r="E478" s="284">
        <f t="shared" si="104"/>
        <v>0</v>
      </c>
      <c r="F478" s="284">
        <f t="shared" si="104"/>
        <v>0</v>
      </c>
      <c r="G478" s="284">
        <f t="shared" si="104"/>
        <v>0</v>
      </c>
      <c r="H478" s="284">
        <f t="shared" si="104"/>
        <v>0</v>
      </c>
      <c r="I478" s="284">
        <f t="shared" si="104"/>
        <v>0</v>
      </c>
      <c r="J478" s="284">
        <f t="shared" si="104"/>
        <v>0</v>
      </c>
      <c r="K478" s="284">
        <f t="shared" si="104"/>
        <v>0</v>
      </c>
      <c r="L478" s="284">
        <f t="shared" si="104"/>
        <v>0</v>
      </c>
    </row>
    <row r="479" spans="2:12" x14ac:dyDescent="0.3">
      <c r="C479" s="191" t="s">
        <v>124</v>
      </c>
      <c r="D479" s="183">
        <v>10</v>
      </c>
      <c r="E479" s="284">
        <f t="shared" si="104"/>
        <v>0</v>
      </c>
      <c r="F479" s="284">
        <f t="shared" si="104"/>
        <v>0</v>
      </c>
      <c r="G479" s="284">
        <f t="shared" si="104"/>
        <v>0</v>
      </c>
      <c r="H479" s="284">
        <f t="shared" si="104"/>
        <v>0</v>
      </c>
      <c r="I479" s="284">
        <f t="shared" si="104"/>
        <v>0</v>
      </c>
      <c r="J479" s="284">
        <f t="shared" si="104"/>
        <v>0</v>
      </c>
      <c r="K479" s="284">
        <f t="shared" si="104"/>
        <v>0</v>
      </c>
      <c r="L479" s="284">
        <f t="shared" si="104"/>
        <v>0</v>
      </c>
    </row>
    <row r="480" spans="2:12" x14ac:dyDescent="0.3">
      <c r="C480" s="191" t="s">
        <v>133</v>
      </c>
      <c r="D480" s="183">
        <v>23</v>
      </c>
      <c r="E480" s="284">
        <f t="shared" si="104"/>
        <v>19.927708316706074</v>
      </c>
      <c r="F480" s="284">
        <f t="shared" si="104"/>
        <v>56.156978974006158</v>
      </c>
      <c r="G480" s="284">
        <f t="shared" si="104"/>
        <v>60.033246254543961</v>
      </c>
      <c r="H480" s="284">
        <f t="shared" si="104"/>
        <v>93.78327807920148</v>
      </c>
      <c r="I480" s="284">
        <f t="shared" si="104"/>
        <v>72.948553545205471</v>
      </c>
      <c r="J480" s="284">
        <f t="shared" si="104"/>
        <v>75.453419145205473</v>
      </c>
      <c r="K480" s="284">
        <f t="shared" si="104"/>
        <v>79.076516745205467</v>
      </c>
      <c r="L480" s="284">
        <f t="shared" si="104"/>
        <v>81.590462985205477</v>
      </c>
    </row>
    <row r="481" spans="3:12" x14ac:dyDescent="0.3">
      <c r="C481" s="191" t="s">
        <v>285</v>
      </c>
      <c r="D481" s="183">
        <v>24</v>
      </c>
      <c r="E481" s="284">
        <f t="shared" si="104"/>
        <v>2.0249999999999999</v>
      </c>
      <c r="F481" s="284">
        <f t="shared" si="104"/>
        <v>15.981817808219178</v>
      </c>
      <c r="G481" s="284">
        <f t="shared" si="104"/>
        <v>19.019317808219178</v>
      </c>
      <c r="H481" s="284">
        <f t="shared" si="104"/>
        <v>29.894999178082191</v>
      </c>
      <c r="I481" s="284">
        <f t="shared" si="104"/>
        <v>32.39249917808219</v>
      </c>
      <c r="J481" s="284">
        <f t="shared" si="104"/>
        <v>34.012499178082194</v>
      </c>
      <c r="K481" s="284">
        <f t="shared" si="104"/>
        <v>35.76749917808219</v>
      </c>
      <c r="L481" s="284">
        <f t="shared" si="104"/>
        <v>37.171499178082193</v>
      </c>
    </row>
    <row r="482" spans="3:12" x14ac:dyDescent="0.3">
      <c r="C482" s="191" t="s">
        <v>315</v>
      </c>
      <c r="D482" s="183">
        <v>26</v>
      </c>
      <c r="E482" s="284">
        <f t="shared" si="104"/>
        <v>2.4750000000000001</v>
      </c>
      <c r="F482" s="284">
        <f t="shared" si="104"/>
        <v>19.533332876712329</v>
      </c>
      <c r="G482" s="284">
        <f t="shared" si="104"/>
        <v>23.245832876712331</v>
      </c>
      <c r="H482" s="284">
        <f t="shared" si="104"/>
        <v>36.538332328767126</v>
      </c>
      <c r="I482" s="284">
        <f t="shared" si="104"/>
        <v>39.590832328767121</v>
      </c>
      <c r="J482" s="284">
        <f t="shared" si="104"/>
        <v>41.570832328767132</v>
      </c>
      <c r="K482" s="284">
        <f t="shared" si="104"/>
        <v>43.715832328767121</v>
      </c>
      <c r="L482" s="284">
        <f t="shared" si="104"/>
        <v>45.431832328767129</v>
      </c>
    </row>
    <row r="483" spans="3:12" x14ac:dyDescent="0.3">
      <c r="C483" s="191" t="s">
        <v>38</v>
      </c>
      <c r="D483" s="183">
        <v>29</v>
      </c>
      <c r="E483" s="284">
        <f t="shared" si="104"/>
        <v>29.844942699021313</v>
      </c>
      <c r="F483" s="284">
        <f t="shared" si="104"/>
        <v>57.415806205870631</v>
      </c>
      <c r="G483" s="284">
        <f t="shared" si="104"/>
        <v>29.69422723700983</v>
      </c>
      <c r="H483" s="284">
        <f t="shared" si="104"/>
        <v>65.810756245229001</v>
      </c>
      <c r="I483" s="284">
        <f t="shared" si="104"/>
        <v>29.896850115068492</v>
      </c>
      <c r="J483" s="284">
        <f t="shared" si="104"/>
        <v>28.771030915068494</v>
      </c>
      <c r="K483" s="284">
        <f t="shared" si="104"/>
        <v>30.280387715068493</v>
      </c>
      <c r="L483" s="284">
        <f t="shared" si="104"/>
        <v>30.334060035068493</v>
      </c>
    </row>
    <row r="484" spans="3:12" x14ac:dyDescent="0.3">
      <c r="C484" s="191" t="s">
        <v>136</v>
      </c>
      <c r="D484" s="183">
        <v>30</v>
      </c>
      <c r="E484" s="284">
        <f t="shared" si="104"/>
        <v>0</v>
      </c>
      <c r="F484" s="284">
        <f t="shared" si="104"/>
        <v>0</v>
      </c>
      <c r="G484" s="284">
        <f t="shared" si="104"/>
        <v>0</v>
      </c>
      <c r="H484" s="284">
        <f t="shared" si="104"/>
        <v>0</v>
      </c>
      <c r="I484" s="284">
        <f t="shared" si="104"/>
        <v>0</v>
      </c>
      <c r="J484" s="284">
        <f t="shared" si="104"/>
        <v>0</v>
      </c>
      <c r="K484" s="284">
        <f t="shared" si="104"/>
        <v>0</v>
      </c>
      <c r="L484" s="284">
        <f t="shared" si="104"/>
        <v>0</v>
      </c>
    </row>
    <row r="485" spans="3:12" x14ac:dyDescent="0.3">
      <c r="C485" s="191" t="s">
        <v>360</v>
      </c>
      <c r="D485" s="183">
        <v>31</v>
      </c>
      <c r="E485" s="284">
        <f t="shared" si="104"/>
        <v>0</v>
      </c>
      <c r="F485" s="284">
        <f t="shared" si="104"/>
        <v>0</v>
      </c>
      <c r="G485" s="284">
        <f t="shared" si="104"/>
        <v>0</v>
      </c>
      <c r="H485" s="284">
        <f t="shared" si="104"/>
        <v>0</v>
      </c>
      <c r="I485" s="284">
        <f t="shared" si="104"/>
        <v>0</v>
      </c>
      <c r="J485" s="284">
        <f t="shared" si="104"/>
        <v>0</v>
      </c>
      <c r="K485" s="284">
        <f t="shared" si="104"/>
        <v>0</v>
      </c>
      <c r="L485" s="284">
        <f t="shared" si="104"/>
        <v>0</v>
      </c>
    </row>
    <row r="486" spans="3:12" x14ac:dyDescent="0.3">
      <c r="C486" s="191" t="s">
        <v>361</v>
      </c>
      <c r="D486" s="183">
        <v>32</v>
      </c>
      <c r="E486" s="284">
        <f t="shared" ref="E486:L494" si="105">IF($D$472=2,E516,IF($D$472=3,E546,0))</f>
        <v>0</v>
      </c>
      <c r="F486" s="284">
        <f t="shared" si="105"/>
        <v>0</v>
      </c>
      <c r="G486" s="284">
        <f t="shared" si="105"/>
        <v>0</v>
      </c>
      <c r="H486" s="284">
        <f t="shared" si="105"/>
        <v>0</v>
      </c>
      <c r="I486" s="284">
        <f t="shared" si="105"/>
        <v>0</v>
      </c>
      <c r="J486" s="284">
        <f t="shared" si="105"/>
        <v>0</v>
      </c>
      <c r="K486" s="284">
        <f t="shared" si="105"/>
        <v>0</v>
      </c>
      <c r="L486" s="284">
        <f t="shared" si="105"/>
        <v>0</v>
      </c>
    </row>
    <row r="487" spans="3:12" x14ac:dyDescent="0.3">
      <c r="C487" s="191" t="s">
        <v>362</v>
      </c>
      <c r="D487" s="183">
        <v>33</v>
      </c>
      <c r="E487" s="284">
        <f t="shared" si="105"/>
        <v>2.31</v>
      </c>
      <c r="F487" s="284">
        <f t="shared" si="105"/>
        <v>12.864178082191783</v>
      </c>
      <c r="G487" s="284">
        <f t="shared" si="105"/>
        <v>16.329178082191781</v>
      </c>
      <c r="H487" s="284">
        <f t="shared" si="105"/>
        <v>22.29519178082192</v>
      </c>
      <c r="I487" s="284">
        <f t="shared" si="105"/>
        <v>25.144191780821924</v>
      </c>
      <c r="J487" s="284">
        <f t="shared" si="105"/>
        <v>26.992191780821923</v>
      </c>
      <c r="K487" s="284">
        <f t="shared" si="105"/>
        <v>28.994191780821922</v>
      </c>
      <c r="L487" s="284">
        <f t="shared" si="105"/>
        <v>30.595791780821923</v>
      </c>
    </row>
    <row r="488" spans="3:12" x14ac:dyDescent="0.3">
      <c r="C488" s="191" t="s">
        <v>363</v>
      </c>
      <c r="D488" s="183">
        <v>55</v>
      </c>
      <c r="E488" s="284">
        <f t="shared" si="105"/>
        <v>0</v>
      </c>
      <c r="F488" s="284">
        <f t="shared" si="105"/>
        <v>0</v>
      </c>
      <c r="G488" s="284">
        <f t="shared" si="105"/>
        <v>0</v>
      </c>
      <c r="H488" s="284">
        <f t="shared" si="105"/>
        <v>0</v>
      </c>
      <c r="I488" s="284">
        <f t="shared" si="105"/>
        <v>0</v>
      </c>
      <c r="J488" s="284">
        <f t="shared" si="105"/>
        <v>0</v>
      </c>
      <c r="K488" s="284">
        <f t="shared" si="105"/>
        <v>0</v>
      </c>
      <c r="L488" s="284">
        <f t="shared" si="105"/>
        <v>0</v>
      </c>
    </row>
    <row r="489" spans="3:12" x14ac:dyDescent="0.3">
      <c r="C489" s="259" t="s">
        <v>204</v>
      </c>
      <c r="D489" s="251">
        <v>101</v>
      </c>
      <c r="E489" s="284">
        <f t="shared" si="105"/>
        <v>10.728092290413976</v>
      </c>
      <c r="F489" s="284">
        <f t="shared" si="105"/>
        <v>62.433289959889294</v>
      </c>
      <c r="G489" s="284">
        <f t="shared" si="105"/>
        <v>24.870852596551487</v>
      </c>
      <c r="H489" s="284">
        <f t="shared" si="105"/>
        <v>100.96032108466125</v>
      </c>
      <c r="I489" s="284">
        <f t="shared" si="105"/>
        <v>61.166425796926006</v>
      </c>
      <c r="J489" s="284">
        <f t="shared" si="105"/>
        <v>70.976748436173409</v>
      </c>
      <c r="K489" s="284">
        <f t="shared" si="105"/>
        <v>81.388057849466946</v>
      </c>
      <c r="L489" s="284">
        <f t="shared" si="105"/>
        <v>92.050302299215957</v>
      </c>
    </row>
    <row r="490" spans="3:12" x14ac:dyDescent="0.3">
      <c r="C490" s="259" t="s">
        <v>364</v>
      </c>
      <c r="D490" s="251">
        <v>102</v>
      </c>
      <c r="E490" s="284">
        <f t="shared" si="105"/>
        <v>15.360997874935169</v>
      </c>
      <c r="F490" s="284">
        <f t="shared" si="105"/>
        <v>48.235957831702187</v>
      </c>
      <c r="G490" s="284">
        <f t="shared" si="105"/>
        <v>14.098779550267528</v>
      </c>
      <c r="H490" s="284">
        <f t="shared" si="105"/>
        <v>63.89877955026752</v>
      </c>
      <c r="I490" s="284">
        <f t="shared" si="105"/>
        <v>0</v>
      </c>
      <c r="J490" s="284">
        <f t="shared" si="105"/>
        <v>0</v>
      </c>
      <c r="K490" s="284">
        <f t="shared" si="105"/>
        <v>0</v>
      </c>
      <c r="L490" s="284">
        <f t="shared" si="105"/>
        <v>0</v>
      </c>
    </row>
    <row r="491" spans="3:12" x14ac:dyDescent="0.3">
      <c r="C491" s="259" t="s">
        <v>457</v>
      </c>
      <c r="D491" s="251">
        <v>103</v>
      </c>
      <c r="E491" s="284">
        <f t="shared" si="105"/>
        <v>-67.851829318842121</v>
      </c>
      <c r="F491" s="284">
        <f t="shared" si="105"/>
        <v>4.7586588144570641</v>
      </c>
      <c r="G491" s="284">
        <f t="shared" si="105"/>
        <v>84.111649329905205</v>
      </c>
      <c r="H491" s="284">
        <f t="shared" si="105"/>
        <v>72.546872528803263</v>
      </c>
      <c r="I491" s="284">
        <f t="shared" si="105"/>
        <v>239.4421549322571</v>
      </c>
      <c r="J491" s="284">
        <f t="shared" si="105"/>
        <v>293.93105258034319</v>
      </c>
      <c r="K491" s="284">
        <f t="shared" si="105"/>
        <v>338.40314748732027</v>
      </c>
      <c r="L491" s="284">
        <f t="shared" si="105"/>
        <v>399.94602131198513</v>
      </c>
    </row>
    <row r="492" spans="3:12" x14ac:dyDescent="0.3">
      <c r="C492" s="260" t="s">
        <v>110</v>
      </c>
      <c r="D492" s="252">
        <v>104</v>
      </c>
      <c r="E492" s="284">
        <f t="shared" si="105"/>
        <v>0</v>
      </c>
      <c r="F492" s="284">
        <f t="shared" si="105"/>
        <v>0</v>
      </c>
      <c r="G492" s="284">
        <f t="shared" si="105"/>
        <v>0</v>
      </c>
      <c r="H492" s="284">
        <f t="shared" si="105"/>
        <v>0</v>
      </c>
      <c r="I492" s="284">
        <f t="shared" si="105"/>
        <v>0</v>
      </c>
      <c r="J492" s="284">
        <f t="shared" si="105"/>
        <v>0</v>
      </c>
      <c r="K492" s="284">
        <f t="shared" si="105"/>
        <v>0</v>
      </c>
      <c r="L492" s="284">
        <f t="shared" si="105"/>
        <v>0</v>
      </c>
    </row>
    <row r="493" spans="3:12" x14ac:dyDescent="0.3">
      <c r="C493" s="259" t="s">
        <v>53</v>
      </c>
      <c r="D493" s="251">
        <v>105</v>
      </c>
      <c r="E493" s="284">
        <f t="shared" si="105"/>
        <v>0</v>
      </c>
      <c r="F493" s="284">
        <f t="shared" si="105"/>
        <v>0</v>
      </c>
      <c r="G493" s="284">
        <f t="shared" si="105"/>
        <v>0</v>
      </c>
      <c r="H493" s="284">
        <f t="shared" si="105"/>
        <v>0</v>
      </c>
      <c r="I493" s="284">
        <f t="shared" si="105"/>
        <v>0</v>
      </c>
      <c r="J493" s="284">
        <f t="shared" si="105"/>
        <v>0</v>
      </c>
      <c r="K493" s="284">
        <f t="shared" si="105"/>
        <v>0</v>
      </c>
      <c r="L493" s="284">
        <f t="shared" si="105"/>
        <v>0</v>
      </c>
    </row>
    <row r="494" spans="3:12" x14ac:dyDescent="0.3">
      <c r="C494" s="259" t="s">
        <v>666</v>
      </c>
      <c r="D494" s="251">
        <v>106</v>
      </c>
      <c r="E494" s="284">
        <f t="shared" si="105"/>
        <v>4.8</v>
      </c>
      <c r="F494" s="284">
        <f t="shared" si="105"/>
        <v>29.200000000000003</v>
      </c>
      <c r="G494" s="284">
        <f t="shared" si="105"/>
        <v>36.4</v>
      </c>
      <c r="H494" s="284">
        <f t="shared" si="105"/>
        <v>51.76</v>
      </c>
      <c r="I494" s="284">
        <f t="shared" si="105"/>
        <v>57.68</v>
      </c>
      <c r="J494" s="284">
        <f t="shared" si="105"/>
        <v>61.52</v>
      </c>
      <c r="K494" s="284">
        <f t="shared" si="105"/>
        <v>65.680000000000007</v>
      </c>
      <c r="L494" s="284">
        <f t="shared" si="105"/>
        <v>69.00800000000001</v>
      </c>
    </row>
    <row r="495" spans="3:12" x14ac:dyDescent="0.3">
      <c r="C495" s="183" t="s">
        <v>321</v>
      </c>
      <c r="D495" s="253" t="s">
        <v>293</v>
      </c>
      <c r="E495" s="284">
        <f t="shared" ref="E495:L495" si="106">IF($D$472=2,E525,IF($D$472=3,E555,0))</f>
        <v>0</v>
      </c>
      <c r="F495" s="284">
        <f t="shared" si="106"/>
        <v>0</v>
      </c>
      <c r="G495" s="284">
        <f t="shared" si="106"/>
        <v>0</v>
      </c>
      <c r="H495" s="284">
        <f t="shared" si="106"/>
        <v>0</v>
      </c>
      <c r="I495" s="284">
        <f t="shared" si="106"/>
        <v>0</v>
      </c>
      <c r="J495" s="284">
        <f t="shared" si="106"/>
        <v>0</v>
      </c>
      <c r="K495" s="284">
        <f t="shared" si="106"/>
        <v>0</v>
      </c>
      <c r="L495" s="284">
        <f t="shared" si="106"/>
        <v>0</v>
      </c>
    </row>
    <row r="496" spans="3:12" x14ac:dyDescent="0.3">
      <c r="C496" s="191" t="s">
        <v>650</v>
      </c>
      <c r="D496" s="253" t="s">
        <v>75</v>
      </c>
      <c r="E496" s="284">
        <f t="shared" ref="E496:L496" si="107">IF($D$472=2,E526,IF($D$472=3,E556,0))</f>
        <v>381.76069638469636</v>
      </c>
      <c r="F496" s="284">
        <f t="shared" si="107"/>
        <v>2801.3302646542647</v>
      </c>
      <c r="G496" s="284">
        <f t="shared" si="107"/>
        <v>3373.9713092313091</v>
      </c>
      <c r="H496" s="284">
        <f t="shared" si="107"/>
        <v>5170.3487716391719</v>
      </c>
      <c r="I496" s="284">
        <f t="shared" si="107"/>
        <v>5641.1869638469634</v>
      </c>
      <c r="J496" s="284">
        <f t="shared" si="107"/>
        <v>5946.595520954721</v>
      </c>
      <c r="K496" s="284">
        <f t="shared" si="107"/>
        <v>6277.4547911547907</v>
      </c>
      <c r="L496" s="284">
        <f t="shared" si="107"/>
        <v>6542.1422073148478</v>
      </c>
    </row>
    <row r="497" spans="2:15" x14ac:dyDescent="0.3">
      <c r="C497" s="279" t="s">
        <v>323</v>
      </c>
      <c r="D497" s="253" t="s">
        <v>75</v>
      </c>
      <c r="E497" s="284">
        <f t="shared" ref="E497:L497" si="108">IF($D$472=2,E527,IF($D$472=3,E557,0))</f>
        <v>146.02346636714634</v>
      </c>
      <c r="F497" s="284">
        <f t="shared" si="108"/>
        <v>907.6310057479817</v>
      </c>
      <c r="G497" s="284">
        <f t="shared" si="108"/>
        <v>926.15512438399423</v>
      </c>
      <c r="H497" s="284">
        <f t="shared" si="108"/>
        <v>1046.9956262569322</v>
      </c>
      <c r="I497" s="284">
        <f t="shared" si="108"/>
        <v>837.71626413127399</v>
      </c>
      <c r="J497" s="284">
        <f t="shared" si="108"/>
        <v>668.99199610740607</v>
      </c>
      <c r="K497" s="284">
        <f t="shared" si="108"/>
        <v>367.23110528255523</v>
      </c>
      <c r="L497" s="284">
        <f t="shared" si="108"/>
        <v>294.39639932916816</v>
      </c>
    </row>
    <row r="498" spans="2:15" x14ac:dyDescent="0.3">
      <c r="C498" s="279" t="s">
        <v>324</v>
      </c>
      <c r="D498" s="253" t="s">
        <v>75</v>
      </c>
      <c r="E498" s="284">
        <f t="shared" ref="E498:L498" si="109">IF($D$472=2,E528,IF($D$472=3,E558,0))</f>
        <v>235.73723001755002</v>
      </c>
      <c r="F498" s="284">
        <f t="shared" si="109"/>
        <v>1893.6992589062829</v>
      </c>
      <c r="G498" s="284">
        <f t="shared" si="109"/>
        <v>2447.8161848473146</v>
      </c>
      <c r="H498" s="284">
        <f t="shared" si="109"/>
        <v>4123.3531453822397</v>
      </c>
      <c r="I498" s="284">
        <f t="shared" si="109"/>
        <v>4803.4706997156891</v>
      </c>
      <c r="J498" s="284">
        <f t="shared" si="109"/>
        <v>5277.6035248473145</v>
      </c>
      <c r="K498" s="284">
        <f t="shared" si="109"/>
        <v>5910.2236858722354</v>
      </c>
      <c r="L498" s="284">
        <f t="shared" si="109"/>
        <v>6247.7458079856797</v>
      </c>
    </row>
    <row r="499" spans="2:15" x14ac:dyDescent="0.3">
      <c r="C499" s="280" t="s">
        <v>325</v>
      </c>
      <c r="D499" s="253" t="s">
        <v>75</v>
      </c>
      <c r="E499" s="284">
        <f t="shared" ref="E499:L499" si="110">IF($D$472=2,E529,IF($D$472=3,E559,0))</f>
        <v>0</v>
      </c>
      <c r="F499" s="284">
        <f t="shared" si="110"/>
        <v>0</v>
      </c>
      <c r="G499" s="284">
        <f t="shared" si="110"/>
        <v>0</v>
      </c>
      <c r="H499" s="284">
        <f t="shared" si="110"/>
        <v>0</v>
      </c>
      <c r="I499" s="284">
        <f t="shared" si="110"/>
        <v>0</v>
      </c>
      <c r="J499" s="284">
        <f t="shared" si="110"/>
        <v>0</v>
      </c>
      <c r="K499" s="284">
        <f t="shared" si="110"/>
        <v>0</v>
      </c>
      <c r="L499" s="284">
        <f t="shared" si="110"/>
        <v>0</v>
      </c>
    </row>
    <row r="500" spans="2:15" x14ac:dyDescent="0.3">
      <c r="C500" s="280" t="s">
        <v>541</v>
      </c>
      <c r="D500" s="253" t="s">
        <v>75</v>
      </c>
      <c r="E500" s="284">
        <f t="shared" ref="E500:L500" si="111">IF($D$472=2,E530,IF($D$472=3,E560,0))</f>
        <v>0</v>
      </c>
      <c r="F500" s="284">
        <f t="shared" si="111"/>
        <v>0</v>
      </c>
      <c r="G500" s="284">
        <f t="shared" si="111"/>
        <v>0</v>
      </c>
      <c r="H500" s="284">
        <f t="shared" si="111"/>
        <v>0</v>
      </c>
      <c r="I500" s="284">
        <f t="shared" si="111"/>
        <v>0</v>
      </c>
      <c r="J500" s="284">
        <f t="shared" si="111"/>
        <v>0</v>
      </c>
      <c r="K500" s="284">
        <f t="shared" si="111"/>
        <v>0</v>
      </c>
      <c r="L500" s="284">
        <f t="shared" si="111"/>
        <v>0</v>
      </c>
    </row>
    <row r="501" spans="2:15" x14ac:dyDescent="0.3">
      <c r="C501" s="301" t="s">
        <v>326</v>
      </c>
      <c r="D501" s="253" t="s">
        <v>306</v>
      </c>
      <c r="E501" s="284">
        <f t="shared" ref="E501:L501" si="112">IF($D$472=2,E531,IF($D$472=3,E561,0))</f>
        <v>8604.9303835331102</v>
      </c>
      <c r="F501" s="284">
        <f t="shared" si="112"/>
        <v>44458.806981587739</v>
      </c>
      <c r="G501" s="284">
        <f t="shared" si="112"/>
        <v>57366.202556887394</v>
      </c>
      <c r="H501" s="284">
        <f t="shared" si="112"/>
        <v>75436.556362306932</v>
      </c>
      <c r="I501" s="284">
        <f t="shared" si="112"/>
        <v>86049.303835331099</v>
      </c>
      <c r="J501" s="284">
        <f t="shared" si="112"/>
        <v>92933.248142157594</v>
      </c>
      <c r="K501" s="284">
        <f t="shared" si="112"/>
        <v>100390.85447455297</v>
      </c>
      <c r="L501" s="284">
        <f t="shared" si="112"/>
        <v>106356.93954046923</v>
      </c>
    </row>
    <row r="502" spans="2:15" x14ac:dyDescent="0.3">
      <c r="C502" s="301" t="s">
        <v>387</v>
      </c>
      <c r="D502" s="253" t="s">
        <v>388</v>
      </c>
      <c r="E502" s="284">
        <f t="shared" ref="E502:L502" si="113">IF($D$472=2,E532,IF($D$472=3,E562,0))</f>
        <v>19.440000000000001</v>
      </c>
      <c r="F502" s="284">
        <f t="shared" si="113"/>
        <v>289.44</v>
      </c>
      <c r="G502" s="284">
        <f t="shared" si="113"/>
        <v>318.60000000000002</v>
      </c>
      <c r="H502" s="284">
        <f t="shared" si="113"/>
        <v>586.22400000000005</v>
      </c>
      <c r="I502" s="284">
        <f t="shared" si="113"/>
        <v>610.20000000000005</v>
      </c>
      <c r="J502" s="284">
        <f t="shared" si="113"/>
        <v>625.75199999999995</v>
      </c>
      <c r="K502" s="284">
        <f t="shared" si="113"/>
        <v>642.6</v>
      </c>
      <c r="L502" s="284">
        <f t="shared" si="113"/>
        <v>656.0784000000001</v>
      </c>
    </row>
    <row r="503" spans="2:15" x14ac:dyDescent="0.3">
      <c r="H503" s="113"/>
    </row>
    <row r="504" spans="2:15" ht="11.25" customHeight="1" x14ac:dyDescent="0.3">
      <c r="B504" s="106"/>
      <c r="C504" s="283" t="s">
        <v>355</v>
      </c>
      <c r="D504" s="119"/>
      <c r="E504" s="195"/>
      <c r="F504" s="106"/>
      <c r="G504" s="112"/>
    </row>
    <row r="505" spans="2:15" x14ac:dyDescent="0.3">
      <c r="C505" s="282" t="s">
        <v>259</v>
      </c>
      <c r="D505" s="253" t="s">
        <v>318</v>
      </c>
      <c r="E505" s="183">
        <v>2015</v>
      </c>
      <c r="F505" s="183">
        <v>2020</v>
      </c>
      <c r="G505" s="183">
        <v>2025</v>
      </c>
      <c r="H505" s="183">
        <v>2030</v>
      </c>
      <c r="I505" s="183">
        <v>2035</v>
      </c>
      <c r="J505" s="183">
        <v>2040</v>
      </c>
      <c r="K505" s="183">
        <v>2045</v>
      </c>
      <c r="L505" s="183">
        <v>2050</v>
      </c>
    </row>
    <row r="506" spans="2:15" x14ac:dyDescent="0.3">
      <c r="C506" s="191" t="s">
        <v>231</v>
      </c>
      <c r="D506" s="183">
        <v>1</v>
      </c>
      <c r="E506" s="284">
        <f>VLOOKUP($D506,Kütused!$C$87:$K$111,Kütused!D$86)</f>
        <v>2.3430573598163589</v>
      </c>
      <c r="F506" s="284">
        <f>VLOOKUP($D506,Kütused!$C$87:$K$111,Kütused!E$86)</f>
        <v>4.6861147196327178</v>
      </c>
      <c r="G506" s="284">
        <f>VLOOKUP($D506,Kütused!$C$87:$K$111,Kütused!F$86)</f>
        <v>11.595095968038873</v>
      </c>
      <c r="H506" s="284">
        <f>VLOOKUP($D506,Kütused!$C$87:$K$111,Kütused!G$86)</f>
        <v>18.504077216445037</v>
      </c>
      <c r="I506" s="284">
        <f>VLOOKUP($D506,Kütused!$C$87:$K$111,Kütused!H$86)</f>
        <v>18.956697523621393</v>
      </c>
      <c r="J506" s="284">
        <f>VLOOKUP($D506,Kütused!$C$87:$K$111,Kütused!I$86)</f>
        <v>19.40931783079774</v>
      </c>
      <c r="K506" s="284">
        <f>VLOOKUP($D506,Kütused!$C$87:$K$111,Kütused!J$86)</f>
        <v>19.63562798438592</v>
      </c>
      <c r="L506" s="284">
        <f>VLOOKUP($D506,Kütused!$C$87:$K$111,Kütused!K$86)</f>
        <v>20.314558445150443</v>
      </c>
      <c r="N506" s="191" t="s">
        <v>231</v>
      </c>
      <c r="O506" s="183">
        <v>1</v>
      </c>
    </row>
    <row r="507" spans="2:15" x14ac:dyDescent="0.3">
      <c r="C507" s="191" t="s">
        <v>209</v>
      </c>
      <c r="D507" s="183">
        <v>2</v>
      </c>
      <c r="E507" s="284">
        <f>VLOOKUP($D507,Kütused!$C$87:$K$111,Kütused!D$86)</f>
        <v>0</v>
      </c>
      <c r="F507" s="284">
        <f>VLOOKUP($D507,Kütused!$C$87:$K$111,Kütused!E$86)</f>
        <v>0</v>
      </c>
      <c r="G507" s="284">
        <f>VLOOKUP($D507,Kütused!$C$87:$K$111,Kütused!F$86)</f>
        <v>0</v>
      </c>
      <c r="H507" s="284">
        <f>VLOOKUP($D507,Kütused!$C$87:$K$111,Kütused!G$86)</f>
        <v>0</v>
      </c>
      <c r="I507" s="284">
        <f>VLOOKUP($D507,Kütused!$C$87:$K$111,Kütused!H$86)</f>
        <v>0</v>
      </c>
      <c r="J507" s="284">
        <f>VLOOKUP($D507,Kütused!$C$87:$K$111,Kütused!I$86)</f>
        <v>0</v>
      </c>
      <c r="K507" s="284">
        <f>VLOOKUP($D507,Kütused!$C$87:$K$111,Kütused!J$86)</f>
        <v>0</v>
      </c>
      <c r="L507" s="284">
        <f>VLOOKUP($D507,Kütused!$C$87:$K$111,Kütused!K$86)</f>
        <v>0</v>
      </c>
      <c r="N507" s="191" t="s">
        <v>209</v>
      </c>
      <c r="O507" s="183">
        <v>2</v>
      </c>
    </row>
    <row r="508" spans="2:15" x14ac:dyDescent="0.3">
      <c r="C508" s="191" t="s">
        <v>417</v>
      </c>
      <c r="D508" s="183">
        <v>4</v>
      </c>
      <c r="E508" s="284">
        <f>VLOOKUP($D508,Kütused!$C$87:$K$111,Kütused!D$86)</f>
        <v>0</v>
      </c>
      <c r="F508" s="284">
        <f>VLOOKUP($D508,Kütused!$C$87:$K$111,Kütused!E$86)</f>
        <v>0</v>
      </c>
      <c r="G508" s="284">
        <f>VLOOKUP($D508,Kütused!$C$87:$K$111,Kütused!F$86)</f>
        <v>0</v>
      </c>
      <c r="H508" s="284">
        <f>VLOOKUP($D508,Kütused!$C$87:$K$111,Kütused!G$86)</f>
        <v>0</v>
      </c>
      <c r="I508" s="284">
        <f>VLOOKUP($D508,Kütused!$C$87:$K$111,Kütused!H$86)</f>
        <v>0</v>
      </c>
      <c r="J508" s="284">
        <f>VLOOKUP($D508,Kütused!$C$87:$K$111,Kütused!I$86)</f>
        <v>0</v>
      </c>
      <c r="K508" s="284">
        <f>VLOOKUP($D508,Kütused!$C$87:$K$111,Kütused!J$86)</f>
        <v>0</v>
      </c>
      <c r="L508" s="284">
        <f>VLOOKUP($D508,Kütused!$C$87:$K$111,Kütused!K$86)</f>
        <v>0</v>
      </c>
      <c r="N508" s="191" t="s">
        <v>133</v>
      </c>
      <c r="O508" s="183">
        <v>23</v>
      </c>
    </row>
    <row r="509" spans="2:15" x14ac:dyDescent="0.3">
      <c r="C509" s="191" t="s">
        <v>124</v>
      </c>
      <c r="D509" s="183">
        <v>10</v>
      </c>
      <c r="E509" s="284"/>
      <c r="F509" s="284"/>
      <c r="G509" s="284"/>
      <c r="H509" s="284"/>
      <c r="I509" s="284"/>
      <c r="J509" s="284"/>
      <c r="K509" s="284"/>
      <c r="L509" s="284"/>
      <c r="N509" s="191" t="s">
        <v>285</v>
      </c>
      <c r="O509" s="183">
        <v>24</v>
      </c>
    </row>
    <row r="510" spans="2:15" x14ac:dyDescent="0.3">
      <c r="C510" s="191" t="s">
        <v>133</v>
      </c>
      <c r="D510" s="183">
        <v>23</v>
      </c>
      <c r="E510" s="284">
        <f>VLOOKUP($D510,Kütused!$C$87:$K$111,Kütused!D$86)</f>
        <v>11.99446917068844</v>
      </c>
      <c r="F510" s="284">
        <f>VLOOKUP($D510,Kütused!$C$87:$K$111,Kütused!E$86)</f>
        <v>26.984851931174216</v>
      </c>
      <c r="G510" s="284">
        <f>VLOOKUP($D510,Kütused!$C$87:$K$111,Kütused!F$86)</f>
        <v>31.580084799904089</v>
      </c>
      <c r="H510" s="284">
        <f>VLOOKUP($D510,Kütused!$C$87:$K$111,Kütused!G$86)</f>
        <v>38.592960503173508</v>
      </c>
      <c r="I510" s="284">
        <f>VLOOKUP($D510,Kütused!$C$87:$K$111,Kütused!H$86)</f>
        <v>33.433934297424564</v>
      </c>
      <c r="J510" s="284">
        <f>VLOOKUP($D510,Kütused!$C$87:$K$111,Kütused!I$86)</f>
        <v>33.893360925009581</v>
      </c>
      <c r="K510" s="284">
        <f>VLOOKUP($D510,Kütused!$C$87:$K$111,Kütused!J$86)</f>
        <v>33.926134672502464</v>
      </c>
      <c r="L510" s="284">
        <f>VLOOKUP($D510,Kütused!$C$87:$K$111,Kütused!K$86)</f>
        <v>35.009153746479264</v>
      </c>
      <c r="N510" s="191" t="s">
        <v>315</v>
      </c>
      <c r="O510" s="183">
        <v>26</v>
      </c>
    </row>
    <row r="511" spans="2:15" x14ac:dyDescent="0.3">
      <c r="C511" s="191" t="s">
        <v>285</v>
      </c>
      <c r="D511" s="183">
        <v>24</v>
      </c>
      <c r="E511" s="284">
        <f>VLOOKUP($D511,Kütused!$C$87:$K$111,Kütused!D$86)</f>
        <v>1.1891456525383777</v>
      </c>
      <c r="F511" s="284">
        <f>VLOOKUP($D511,Kütused!$C$87:$K$111,Kütused!E$86)</f>
        <v>7.8976091132959336</v>
      </c>
      <c r="G511" s="284">
        <f>VLOOKUP($D511,Kütused!$C$87:$K$111,Kütused!F$86)</f>
        <v>11.404046964930638</v>
      </c>
      <c r="H511" s="284">
        <f>VLOOKUP($D511,Kütused!$C$87:$K$111,Kütused!G$86)</f>
        <v>14.910484816565342</v>
      </c>
      <c r="I511" s="284">
        <f>VLOOKUP($D511,Kütused!$C$87:$K$111,Kütused!H$86)</f>
        <v>15.140198130357852</v>
      </c>
      <c r="J511" s="284">
        <f>VLOOKUP($D511,Kütused!$C$87:$K$111,Kütused!I$86)</f>
        <v>15.369911444150363</v>
      </c>
      <c r="K511" s="284">
        <f>VLOOKUP($D511,Kütused!$C$87:$K$111,Kütused!J$86)</f>
        <v>15.484768101046619</v>
      </c>
      <c r="L511" s="284">
        <f>VLOOKUP($D511,Kütused!$C$87:$K$111,Kütused!K$86)</f>
        <v>15.82933807173538</v>
      </c>
      <c r="N511" s="191" t="s">
        <v>38</v>
      </c>
      <c r="O511" s="183">
        <v>29</v>
      </c>
    </row>
    <row r="512" spans="2:15" x14ac:dyDescent="0.3">
      <c r="C512" s="191" t="s">
        <v>315</v>
      </c>
      <c r="D512" s="183">
        <v>26</v>
      </c>
      <c r="E512" s="284">
        <f>VLOOKUP($D512,Kütused!$C$87:$K$111,Kütused!D$86)</f>
        <v>1.4534002419913505</v>
      </c>
      <c r="F512" s="284">
        <f>VLOOKUP($D512,Kütused!$C$87:$K$111,Kütused!E$86)</f>
        <v>9.652633360695031</v>
      </c>
      <c r="G512" s="284">
        <f>VLOOKUP($D512,Kütused!$C$87:$K$111,Kütused!F$86)</f>
        <v>13.938279623804114</v>
      </c>
      <c r="H512" s="284">
        <f>VLOOKUP($D512,Kütused!$C$87:$K$111,Kütused!G$86)</f>
        <v>18.223925886913197</v>
      </c>
      <c r="I512" s="284">
        <f>VLOOKUP($D512,Kütused!$C$87:$K$111,Kütused!H$86)</f>
        <v>18.504686603770711</v>
      </c>
      <c r="J512" s="284">
        <f>VLOOKUP($D512,Kütused!$C$87:$K$111,Kütused!I$86)</f>
        <v>18.785447320628222</v>
      </c>
      <c r="K512" s="284">
        <f>VLOOKUP($D512,Kütused!$C$87:$K$111,Kütused!J$86)</f>
        <v>18.925827679056979</v>
      </c>
      <c r="L512" s="284">
        <f>VLOOKUP($D512,Kütused!$C$87:$K$111,Kütused!K$86)</f>
        <v>19.346968754343244</v>
      </c>
      <c r="N512" s="191" t="s">
        <v>136</v>
      </c>
      <c r="O512" s="183">
        <v>30</v>
      </c>
    </row>
    <row r="513" spans="3:15" x14ac:dyDescent="0.3">
      <c r="C513" s="191" t="s">
        <v>38</v>
      </c>
      <c r="D513" s="183">
        <v>29</v>
      </c>
      <c r="E513" s="284">
        <f>VLOOKUP($D513,Kütused!$C$87:$K$111,Kütused!D$86)</f>
        <v>17.383016306567747</v>
      </c>
      <c r="F513" s="284">
        <f>VLOOKUP($D513,Kütused!$C$87:$K$111,Kütused!E$86)</f>
        <v>30.292687951208915</v>
      </c>
      <c r="G513" s="284">
        <f>VLOOKUP($D513,Kütused!$C$87:$K$111,Kütused!F$86)</f>
        <v>18.895323535973326</v>
      </c>
      <c r="H513" s="284">
        <f>VLOOKUP($D513,Kütused!$C$87:$K$111,Kütused!G$86)</f>
        <v>21.232948770396469</v>
      </c>
      <c r="I513" s="284">
        <f>VLOOKUP($D513,Kütused!$C$87:$K$111,Kütused!H$86)</f>
        <v>11.59079450002341</v>
      </c>
      <c r="J513" s="284">
        <f>VLOOKUP($D513,Kütused!$C$87:$K$111,Kütused!I$86)</f>
        <v>11.743936709218412</v>
      </c>
      <c r="K513" s="284">
        <f>VLOOKUP($D513,Kütused!$C$87:$K$111,Kütused!J$86)</f>
        <v>11.531786424608432</v>
      </c>
      <c r="L513" s="284">
        <f>VLOOKUP($D513,Kütused!$C$87:$K$111,Kütused!K$86)</f>
        <v>12.33894251681591</v>
      </c>
      <c r="N513" s="191" t="s">
        <v>360</v>
      </c>
      <c r="O513" s="183">
        <v>31</v>
      </c>
    </row>
    <row r="514" spans="3:15" x14ac:dyDescent="0.3">
      <c r="C514" s="191" t="s">
        <v>136</v>
      </c>
      <c r="D514" s="183">
        <v>30</v>
      </c>
      <c r="E514" s="284">
        <f>VLOOKUP($D514,Kütused!$C$87:$K$111,Kütused!D$86)</f>
        <v>0</v>
      </c>
      <c r="F514" s="284">
        <f>VLOOKUP($D514,Kütused!$C$87:$K$111,Kütused!E$86)</f>
        <v>0</v>
      </c>
      <c r="G514" s="284">
        <f>VLOOKUP($D514,Kütused!$C$87:$K$111,Kütused!F$86)</f>
        <v>0</v>
      </c>
      <c r="H514" s="284">
        <f>VLOOKUP($D514,Kütused!$C$87:$K$111,Kütused!G$86)</f>
        <v>0</v>
      </c>
      <c r="I514" s="284">
        <f>VLOOKUP($D514,Kütused!$C$87:$K$111,Kütused!H$86)</f>
        <v>0</v>
      </c>
      <c r="J514" s="284">
        <f>VLOOKUP($D514,Kütused!$C$87:$K$111,Kütused!I$86)</f>
        <v>0</v>
      </c>
      <c r="K514" s="284">
        <f>VLOOKUP($D514,Kütused!$C$87:$K$111,Kütused!J$86)</f>
        <v>0</v>
      </c>
      <c r="L514" s="284">
        <f>VLOOKUP($D514,Kütused!$C$87:$K$111,Kütused!K$86)</f>
        <v>0</v>
      </c>
      <c r="N514" s="191" t="s">
        <v>361</v>
      </c>
      <c r="O514" s="183">
        <v>32</v>
      </c>
    </row>
    <row r="515" spans="3:15" x14ac:dyDescent="0.3">
      <c r="C515" s="191" t="s">
        <v>360</v>
      </c>
      <c r="D515" s="183">
        <v>31</v>
      </c>
      <c r="E515" s="284">
        <f>VLOOKUP($D515,Kütused!$C$87:$K$111,Kütused!D$86)</f>
        <v>0</v>
      </c>
      <c r="F515" s="284">
        <f>VLOOKUP($D515,Kütused!$C$87:$K$111,Kütused!E$86)</f>
        <v>0</v>
      </c>
      <c r="G515" s="284">
        <f>VLOOKUP($D515,Kütused!$C$87:$K$111,Kütused!F$86)</f>
        <v>0</v>
      </c>
      <c r="H515" s="284">
        <f>VLOOKUP($D515,Kütused!$C$87:$K$111,Kütused!G$86)</f>
        <v>0</v>
      </c>
      <c r="I515" s="284">
        <f>VLOOKUP($D515,Kütused!$C$87:$K$111,Kütused!H$86)</f>
        <v>0</v>
      </c>
      <c r="J515" s="284">
        <f>VLOOKUP($D515,Kütused!$C$87:$K$111,Kütused!I$86)</f>
        <v>0</v>
      </c>
      <c r="K515" s="284">
        <f>VLOOKUP($D515,Kütused!$C$87:$K$111,Kütused!J$86)</f>
        <v>0</v>
      </c>
      <c r="L515" s="284">
        <f>VLOOKUP($D515,Kütused!$C$87:$K$111,Kütused!K$86)</f>
        <v>0</v>
      </c>
      <c r="N515" s="191" t="s">
        <v>362</v>
      </c>
      <c r="O515" s="183">
        <v>33</v>
      </c>
    </row>
    <row r="516" spans="3:15" x14ac:dyDescent="0.3">
      <c r="C516" s="191" t="s">
        <v>361</v>
      </c>
      <c r="D516" s="183">
        <v>32</v>
      </c>
      <c r="E516" s="284">
        <f>VLOOKUP($D516,Kütused!$C$87:$K$111,Kütused!D$86)</f>
        <v>0</v>
      </c>
      <c r="F516" s="284">
        <f>VLOOKUP($D516,Kütused!$C$87:$K$111,Kütused!E$86)</f>
        <v>0</v>
      </c>
      <c r="G516" s="284">
        <f>VLOOKUP($D516,Kütused!$C$87:$K$111,Kütused!F$86)</f>
        <v>0</v>
      </c>
      <c r="H516" s="284">
        <f>VLOOKUP($D516,Kütused!$C$87:$K$111,Kütused!G$86)</f>
        <v>0</v>
      </c>
      <c r="I516" s="284">
        <f>VLOOKUP($D516,Kütused!$C$87:$K$111,Kütused!H$86)</f>
        <v>0</v>
      </c>
      <c r="J516" s="284">
        <f>VLOOKUP($D516,Kütused!$C$87:$K$111,Kütused!I$86)</f>
        <v>0</v>
      </c>
      <c r="K516" s="284">
        <f>VLOOKUP($D516,Kütused!$C$87:$K$111,Kütused!J$86)</f>
        <v>0</v>
      </c>
      <c r="L516" s="284">
        <f>VLOOKUP($D516,Kütused!$C$87:$K$111,Kütused!K$86)</f>
        <v>0</v>
      </c>
      <c r="N516" s="191" t="s">
        <v>363</v>
      </c>
      <c r="O516" s="183">
        <v>55</v>
      </c>
    </row>
    <row r="517" spans="3:15" x14ac:dyDescent="0.3">
      <c r="C517" s="191" t="s">
        <v>362</v>
      </c>
      <c r="D517" s="183">
        <v>33</v>
      </c>
      <c r="E517" s="284">
        <f>VLOOKUP($D517,Kütused!$C$87:$K$111,Kütused!D$86)</f>
        <v>1.3565068925252604</v>
      </c>
      <c r="F517" s="284">
        <f>VLOOKUP($D517,Kütused!$C$87:$K$111,Kütused!E$86)</f>
        <v>3.6421918672423015</v>
      </c>
      <c r="G517" s="284">
        <f>VLOOKUP($D517,Kütused!$C$87:$K$111,Kütused!F$86)</f>
        <v>7.6421283794774446</v>
      </c>
      <c r="H517" s="284">
        <f>VLOOKUP($D517,Kütused!$C$87:$K$111,Kütused!G$86)</f>
        <v>11.642064891712593</v>
      </c>
      <c r="I517" s="284">
        <f>VLOOKUP($D517,Kütused!$C$87:$K$111,Kütused!H$86)</f>
        <v>11.904108227446271</v>
      </c>
      <c r="J517" s="284">
        <f>VLOOKUP($D517,Kütused!$C$87:$K$111,Kütused!I$86)</f>
        <v>12.166151563179946</v>
      </c>
      <c r="K517" s="284">
        <f>VLOOKUP($D517,Kütused!$C$87:$K$111,Kütused!J$86)</f>
        <v>12.297173231046788</v>
      </c>
      <c r="L517" s="284">
        <f>VLOOKUP($D517,Kütused!$C$87:$K$111,Kütused!K$86)</f>
        <v>12.690238234647301</v>
      </c>
      <c r="N517" s="259" t="s">
        <v>204</v>
      </c>
      <c r="O517" s="251">
        <v>101</v>
      </c>
    </row>
    <row r="518" spans="3:15" x14ac:dyDescent="0.3">
      <c r="C518" s="191" t="s">
        <v>363</v>
      </c>
      <c r="D518" s="183">
        <v>55</v>
      </c>
      <c r="E518" s="284">
        <f>VLOOKUP($D518,Kütused!$C$87:$K$111,Kütused!D$86)</f>
        <v>0</v>
      </c>
      <c r="F518" s="284">
        <f>VLOOKUP($D518,Kütused!$C$87:$K$111,Kütused!E$86)</f>
        <v>0</v>
      </c>
      <c r="G518" s="284">
        <f>VLOOKUP($D518,Kütused!$C$87:$K$111,Kütused!F$86)</f>
        <v>0</v>
      </c>
      <c r="H518" s="284">
        <f>VLOOKUP($D518,Kütused!$C$87:$K$111,Kütused!G$86)</f>
        <v>0</v>
      </c>
      <c r="I518" s="284">
        <f>VLOOKUP($D518,Kütused!$C$87:$K$111,Kütused!H$86)</f>
        <v>0</v>
      </c>
      <c r="J518" s="284">
        <f>VLOOKUP($D518,Kütused!$C$87:$K$111,Kütused!I$86)</f>
        <v>0</v>
      </c>
      <c r="K518" s="284">
        <f>VLOOKUP($D518,Kütused!$C$87:$K$111,Kütused!J$86)</f>
        <v>0</v>
      </c>
      <c r="L518" s="284">
        <f>VLOOKUP($D518,Kütused!$C$87:$K$111,Kütused!K$86)</f>
        <v>0</v>
      </c>
      <c r="N518" s="259" t="s">
        <v>364</v>
      </c>
      <c r="O518" s="251">
        <v>102</v>
      </c>
    </row>
    <row r="519" spans="3:15" x14ac:dyDescent="0.3">
      <c r="C519" s="259" t="s">
        <v>204</v>
      </c>
      <c r="D519" s="251">
        <v>101</v>
      </c>
      <c r="E519" s="284">
        <f>VLOOKUP($D519,Kütused!$C$87:$K$111,Kütused!D$86)</f>
        <v>2.869215810844592</v>
      </c>
      <c r="F519" s="284">
        <f>VLOOKUP($D519,Kütused!$C$87:$K$111,Kütused!E$86)</f>
        <v>60.258806673041818</v>
      </c>
      <c r="G519" s="284">
        <f>VLOOKUP($D519,Kütused!$C$87:$K$111,Kütused!F$86)</f>
        <v>29.744632520872322</v>
      </c>
      <c r="H519" s="284">
        <f>VLOOKUP($D519,Kütused!$C$87:$K$111,Kütused!G$86)</f>
        <v>44.401208133219711</v>
      </c>
      <c r="I519" s="284">
        <f>VLOOKUP($D519,Kütused!$C$87:$K$111,Kütused!H$86)</f>
        <v>52.650510106426921</v>
      </c>
      <c r="J519" s="284">
        <f>VLOOKUP($D519,Kütused!$C$87:$K$111,Kütused!I$86)</f>
        <v>61.372785625530426</v>
      </c>
      <c r="K519" s="284">
        <f>VLOOKUP($D519,Kütused!$C$87:$K$111,Kütused!J$86)</f>
        <v>70.164925655953624</v>
      </c>
      <c r="L519" s="284">
        <f>VLOOKUP($D519,Kütused!$C$87:$K$111,Kütused!K$86)</f>
        <v>80.489802964442191</v>
      </c>
      <c r="N519" s="259" t="s">
        <v>457</v>
      </c>
      <c r="O519" s="251">
        <v>103</v>
      </c>
    </row>
    <row r="520" spans="3:15" x14ac:dyDescent="0.3">
      <c r="C520" s="259" t="s">
        <v>364</v>
      </c>
      <c r="D520" s="251">
        <v>102</v>
      </c>
      <c r="E520" s="284">
        <f>VLOOKUP($D520,Kütused!$C$87:$K$111,Kütused!D$86)</f>
        <v>7.8799836750046044</v>
      </c>
      <c r="F520" s="284">
        <f>VLOOKUP($D520,Kütused!$C$87:$K$111,Kütused!E$86)</f>
        <v>41.940424315754953</v>
      </c>
      <c r="G520" s="284">
        <f>VLOOKUP($D520,Kütused!$C$87:$K$111,Kütused!F$86)</f>
        <v>1.2986806857906308</v>
      </c>
      <c r="H520" s="284">
        <f>VLOOKUP($D520,Kütused!$C$87:$K$111,Kütused!G$86)</f>
        <v>1.2986806857906319</v>
      </c>
      <c r="I520" s="284">
        <f>VLOOKUP($D520,Kütused!$C$87:$K$111,Kütused!H$86)</f>
        <v>0</v>
      </c>
      <c r="J520" s="284">
        <f>VLOOKUP($D520,Kütused!$C$87:$K$111,Kütused!I$86)</f>
        <v>0</v>
      </c>
      <c r="K520" s="284">
        <f>VLOOKUP($D520,Kütused!$C$87:$K$111,Kütused!J$86)</f>
        <v>0</v>
      </c>
      <c r="L520" s="284">
        <f>VLOOKUP($D520,Kütused!$C$87:$K$111,Kütused!K$86)</f>
        <v>0</v>
      </c>
      <c r="N520" s="260" t="s">
        <v>110</v>
      </c>
      <c r="O520" s="252">
        <v>104</v>
      </c>
    </row>
    <row r="521" spans="3:15" x14ac:dyDescent="0.3">
      <c r="C521" s="259" t="s">
        <v>457</v>
      </c>
      <c r="D521" s="251">
        <v>103</v>
      </c>
      <c r="E521" s="284">
        <f>VLOOKUP($D521,Kütused!$C$87:$K$111,Kütused!D$86)</f>
        <v>-35.514082535325691</v>
      </c>
      <c r="F521" s="284">
        <f>VLOOKUP($D521,Kütused!$C$87:$K$111,Kütused!E$86)</f>
        <v>-48.159268032216815</v>
      </c>
      <c r="G521" s="284">
        <f>VLOOKUP($D521,Kütused!$C$87:$K$111,Kütused!F$86)</f>
        <v>-1.2370117685154014</v>
      </c>
      <c r="H521" s="284">
        <f>VLOOKUP($D521,Kütused!$C$87:$K$111,Kütused!G$86)</f>
        <v>5.7314791231720363</v>
      </c>
      <c r="I521" s="284">
        <f>VLOOKUP($D521,Kütused!$C$87:$K$111,Kütused!H$86)</f>
        <v>39.656218086636443</v>
      </c>
      <c r="J521" s="284">
        <f>VLOOKUP($D521,Kütused!$C$87:$K$111,Kütused!I$86)</f>
        <v>44.932657116679721</v>
      </c>
      <c r="K521" s="284">
        <f>VLOOKUP($D521,Kütused!$C$87:$K$111,Kütused!J$86)</f>
        <v>50.06058708080873</v>
      </c>
      <c r="L521" s="284">
        <f>VLOOKUP($D521,Kütused!$C$87:$K$111,Kütused!K$86)</f>
        <v>55.944451363675412</v>
      </c>
      <c r="N521" s="260" t="s">
        <v>53</v>
      </c>
      <c r="O521" s="252">
        <v>105</v>
      </c>
    </row>
    <row r="522" spans="3:15" x14ac:dyDescent="0.3">
      <c r="C522" s="260" t="s">
        <v>110</v>
      </c>
      <c r="D522" s="252">
        <v>104</v>
      </c>
      <c r="E522" s="284">
        <f>VLOOKUP($D522,Kütused!$C$87:$K$111,Kütused!D$86)</f>
        <v>0</v>
      </c>
      <c r="F522" s="284">
        <f>VLOOKUP($D522,Kütused!$C$87:$K$111,Kütused!E$86)</f>
        <v>0</v>
      </c>
      <c r="G522" s="284">
        <f>VLOOKUP($D522,Kütused!$C$87:$K$111,Kütused!F$86)</f>
        <v>0</v>
      </c>
      <c r="H522" s="284">
        <f>VLOOKUP($D522,Kütused!$C$87:$K$111,Kütused!G$86)</f>
        <v>0</v>
      </c>
      <c r="I522" s="284">
        <f>VLOOKUP($D522,Kütused!$C$87:$K$111,Kütused!H$86)</f>
        <v>0</v>
      </c>
      <c r="J522" s="284">
        <f>VLOOKUP($D522,Kütused!$C$87:$K$111,Kütused!I$86)</f>
        <v>0</v>
      </c>
      <c r="K522" s="284">
        <f>VLOOKUP($D522,Kütused!$C$87:$K$111,Kütused!J$86)</f>
        <v>0</v>
      </c>
      <c r="L522" s="284">
        <f>VLOOKUP($D522,Kütused!$C$87:$K$111,Kütused!K$86)</f>
        <v>0</v>
      </c>
      <c r="N522" s="259" t="s">
        <v>666</v>
      </c>
      <c r="O522" s="251">
        <v>106</v>
      </c>
    </row>
    <row r="523" spans="3:15" x14ac:dyDescent="0.3">
      <c r="C523" s="259" t="s">
        <v>53</v>
      </c>
      <c r="D523" s="251">
        <v>105</v>
      </c>
      <c r="E523" s="284">
        <f>VLOOKUP($D523,Kütused!$C$87:$K$111,Kütused!D$86)</f>
        <v>0</v>
      </c>
      <c r="F523" s="284">
        <f>VLOOKUP($D523,Kütused!$C$87:$K$111,Kütused!E$86)</f>
        <v>0</v>
      </c>
      <c r="G523" s="284">
        <f>VLOOKUP($D523,Kütused!$C$87:$K$111,Kütused!F$86)</f>
        <v>0</v>
      </c>
      <c r="H523" s="284">
        <f>VLOOKUP($D523,Kütused!$C$87:$K$111,Kütused!G$86)</f>
        <v>0</v>
      </c>
      <c r="I523" s="284">
        <f>VLOOKUP($D523,Kütused!$C$87:$K$111,Kütused!H$86)</f>
        <v>0</v>
      </c>
      <c r="J523" s="284">
        <f>VLOOKUP($D523,Kütused!$C$87:$K$111,Kütused!I$86)</f>
        <v>0</v>
      </c>
      <c r="K523" s="284">
        <f>VLOOKUP($D523,Kütused!$C$87:$K$111,Kütused!J$86)</f>
        <v>0</v>
      </c>
      <c r="L523" s="284">
        <f>VLOOKUP($D523,Kütused!$C$87:$K$111,Kütused!K$86)</f>
        <v>0</v>
      </c>
      <c r="N523" s="183" t="s">
        <v>321</v>
      </c>
      <c r="O523" s="253" t="s">
        <v>293</v>
      </c>
    </row>
    <row r="524" spans="3:15" x14ac:dyDescent="0.3">
      <c r="C524" s="259" t="s">
        <v>672</v>
      </c>
      <c r="D524" s="251">
        <v>106</v>
      </c>
      <c r="E524" s="284">
        <f>Kütused!D103</f>
        <v>2.8187156208317101</v>
      </c>
      <c r="F524" s="284">
        <f>Kütused!E103</f>
        <v>10.03743124166342</v>
      </c>
      <c r="G524" s="284">
        <f>Kütused!F103</f>
        <v>18.348987630723457</v>
      </c>
      <c r="H524" s="284">
        <f>Kütused!G103</f>
        <v>26.660544019783501</v>
      </c>
      <c r="I524" s="284">
        <f>Kütused!H103</f>
        <v>27.205049652476859</v>
      </c>
      <c r="J524" s="284">
        <f>Kütused!I103</f>
        <v>27.749555285170217</v>
      </c>
      <c r="K524" s="284">
        <f>Kütused!J103</f>
        <v>28.021808101516896</v>
      </c>
      <c r="L524" s="284">
        <f>Kütused!K103</f>
        <v>28.838566550556926</v>
      </c>
      <c r="N524" s="183"/>
      <c r="O524" s="253"/>
    </row>
    <row r="525" spans="3:15" x14ac:dyDescent="0.3">
      <c r="C525" s="183" t="s">
        <v>321</v>
      </c>
      <c r="D525" s="253" t="s">
        <v>293</v>
      </c>
      <c r="E525" s="284"/>
      <c r="F525" s="284"/>
      <c r="G525" s="284"/>
      <c r="H525" s="284"/>
      <c r="I525" s="284"/>
      <c r="J525" s="284"/>
      <c r="K525" s="284"/>
      <c r="L525" s="284"/>
      <c r="N525" s="183"/>
      <c r="O525" s="253"/>
    </row>
    <row r="526" spans="3:15" x14ac:dyDescent="0.3">
      <c r="C526" s="191" t="s">
        <v>650</v>
      </c>
      <c r="D526" s="253" t="s">
        <v>75</v>
      </c>
      <c r="E526" s="284">
        <f>Kütused!D105</f>
        <v>224.18225798315322</v>
      </c>
      <c r="F526" s="284">
        <f>Kütused!E105</f>
        <v>1277.2645159663064</v>
      </c>
      <c r="G526" s="284">
        <f>Kütused!F105</f>
        <v>1938.3115066180212</v>
      </c>
      <c r="H526" s="284">
        <f>Kütused!G105</f>
        <v>2599.3584972697372</v>
      </c>
      <c r="I526" s="284">
        <f>Kütused!H105</f>
        <v>2642.6649242535718</v>
      </c>
      <c r="J526" s="284">
        <f>Kütused!I105</f>
        <v>2685.971351237406</v>
      </c>
      <c r="K526" s="284">
        <f>Kütused!J105</f>
        <v>2707.6245647293235</v>
      </c>
      <c r="L526" s="284">
        <f>Kütused!K105</f>
        <v>2772.5842052050748</v>
      </c>
      <c r="N526" s="191" t="s">
        <v>322</v>
      </c>
      <c r="O526" s="253" t="s">
        <v>75</v>
      </c>
    </row>
    <row r="527" spans="3:15" x14ac:dyDescent="0.3">
      <c r="C527" s="279" t="s">
        <v>323</v>
      </c>
      <c r="D527" s="253" t="s">
        <v>75</v>
      </c>
      <c r="E527" s="284">
        <f>Kütused!D106</f>
        <v>85.749713678556091</v>
      </c>
      <c r="F527" s="284">
        <f>Kütused!E106</f>
        <v>413.83370317308322</v>
      </c>
      <c r="G527" s="284">
        <f>Kütused!F106</f>
        <v>532.0665085666468</v>
      </c>
      <c r="H527" s="284">
        <f>Kütused!G106</f>
        <v>526.37009569712177</v>
      </c>
      <c r="I527" s="284">
        <f>Kütused!H106</f>
        <v>392.43574125165537</v>
      </c>
      <c r="J527" s="284">
        <f>Kütused!I106</f>
        <v>302.17177701420815</v>
      </c>
      <c r="K527" s="284">
        <f>Kütused!J106</f>
        <v>158.3960370366654</v>
      </c>
      <c r="L527" s="284">
        <f>Kütused!K106</f>
        <v>124.76628923422837</v>
      </c>
      <c r="N527" s="279" t="s">
        <v>323</v>
      </c>
      <c r="O527" s="253" t="s">
        <v>75</v>
      </c>
    </row>
    <row r="528" spans="3:15" x14ac:dyDescent="0.3">
      <c r="C528" s="279" t="s">
        <v>324</v>
      </c>
      <c r="D528" s="253" t="s">
        <v>75</v>
      </c>
      <c r="E528" s="284">
        <f>Kütused!D107</f>
        <v>138.43254430459712</v>
      </c>
      <c r="F528" s="284">
        <f>Kütused!E107</f>
        <v>863.43081279322314</v>
      </c>
      <c r="G528" s="284">
        <f>Kütused!F107</f>
        <v>1406.2449980513743</v>
      </c>
      <c r="H528" s="284">
        <f>Kütused!G107</f>
        <v>2072.9884015726157</v>
      </c>
      <c r="I528" s="284">
        <f>Kütused!H107</f>
        <v>2250.2291830019167</v>
      </c>
      <c r="J528" s="284">
        <f>Kütused!I107</f>
        <v>2383.7995742231979</v>
      </c>
      <c r="K528" s="284">
        <f>Kütused!J107</f>
        <v>2549.2285276926582</v>
      </c>
      <c r="L528" s="284">
        <f>Kütused!K107</f>
        <v>2647.8179159708466</v>
      </c>
      <c r="N528" s="279" t="s">
        <v>324</v>
      </c>
      <c r="O528" s="253" t="s">
        <v>75</v>
      </c>
    </row>
    <row r="529" spans="2:15" x14ac:dyDescent="0.3">
      <c r="C529" s="280" t="s">
        <v>325</v>
      </c>
      <c r="D529" s="253" t="s">
        <v>75</v>
      </c>
      <c r="E529" s="284">
        <f>Kütused!D108</f>
        <v>0</v>
      </c>
      <c r="F529" s="284">
        <f>Kütused!E108</f>
        <v>0</v>
      </c>
      <c r="G529" s="284">
        <f>Kütused!F108</f>
        <v>0</v>
      </c>
      <c r="H529" s="284">
        <f>Kütused!G108</f>
        <v>0</v>
      </c>
      <c r="I529" s="284">
        <f>Kütused!H108</f>
        <v>0</v>
      </c>
      <c r="J529" s="284">
        <f>Kütused!I108</f>
        <v>0</v>
      </c>
      <c r="K529" s="284">
        <f>Kütused!J108</f>
        <v>0</v>
      </c>
      <c r="L529" s="284">
        <f>Kütused!K108</f>
        <v>0</v>
      </c>
      <c r="N529" s="280" t="s">
        <v>325</v>
      </c>
      <c r="O529" s="253" t="s">
        <v>75</v>
      </c>
    </row>
    <row r="530" spans="2:15" x14ac:dyDescent="0.3">
      <c r="C530" s="280" t="s">
        <v>541</v>
      </c>
      <c r="D530" s="253" t="s">
        <v>75</v>
      </c>
      <c r="E530" s="284">
        <f>Kütused!D109</f>
        <v>0</v>
      </c>
      <c r="F530" s="284">
        <f>Kütused!E109</f>
        <v>0</v>
      </c>
      <c r="G530" s="284">
        <f>Kütused!F109</f>
        <v>0</v>
      </c>
      <c r="H530" s="284">
        <f>Kütused!G109</f>
        <v>0</v>
      </c>
      <c r="I530" s="284">
        <f>Kütused!H109</f>
        <v>0</v>
      </c>
      <c r="J530" s="284">
        <f>Kütused!I109</f>
        <v>0</v>
      </c>
      <c r="K530" s="284">
        <f>Kütused!J109</f>
        <v>0</v>
      </c>
      <c r="L530" s="284">
        <f>Kütused!K109</f>
        <v>0</v>
      </c>
      <c r="N530" s="280" t="s">
        <v>327</v>
      </c>
      <c r="O530" s="253" t="s">
        <v>75</v>
      </c>
    </row>
    <row r="531" spans="2:15" x14ac:dyDescent="0.3">
      <c r="C531" s="191" t="s">
        <v>326</v>
      </c>
      <c r="D531" s="253" t="s">
        <v>306</v>
      </c>
      <c r="E531" s="284">
        <f>Kütused!D110</f>
        <v>5053.0941017154537</v>
      </c>
      <c r="F531" s="284">
        <f>Kütused!E110</f>
        <v>10106.188203430907</v>
      </c>
      <c r="G531" s="284">
        <f>Kütused!F110</f>
        <v>25006.264058987457</v>
      </c>
      <c r="H531" s="284">
        <f>Kütused!G110</f>
        <v>39906.339914544027</v>
      </c>
      <c r="I531" s="284">
        <f>Kütused!H110</f>
        <v>40882.471802620697</v>
      </c>
      <c r="J531" s="284">
        <f>Kütused!I110</f>
        <v>41858.603690697353</v>
      </c>
      <c r="K531" s="284">
        <f>Kütused!J110</f>
        <v>42346.669634735685</v>
      </c>
      <c r="L531" s="284">
        <f>Kütused!K110</f>
        <v>43810.867466850672</v>
      </c>
      <c r="N531" s="191" t="s">
        <v>326</v>
      </c>
      <c r="O531" s="253" t="s">
        <v>306</v>
      </c>
    </row>
    <row r="532" spans="2:15" x14ac:dyDescent="0.3">
      <c r="C532" s="301" t="s">
        <v>387</v>
      </c>
      <c r="D532" s="253" t="s">
        <v>388</v>
      </c>
      <c r="E532" s="284">
        <f>Kütused!D111</f>
        <v>11.415798264368426</v>
      </c>
      <c r="F532" s="284">
        <f>Kütused!E111</f>
        <v>211.83159652873684</v>
      </c>
      <c r="G532" s="284">
        <f>Kütused!F111</f>
        <v>245.49339990442999</v>
      </c>
      <c r="H532" s="284">
        <f>Kütused!G111</f>
        <v>279.1552032801232</v>
      </c>
      <c r="I532" s="284">
        <f>Kütused!H111</f>
        <v>281.36045109253132</v>
      </c>
      <c r="J532" s="284">
        <f>Kütused!I111</f>
        <v>283.56569890493938</v>
      </c>
      <c r="K532" s="284">
        <f>Kütused!J111</f>
        <v>284.66832281114341</v>
      </c>
      <c r="L532" s="284">
        <f>Kütused!K111</f>
        <v>287.97619452975556</v>
      </c>
      <c r="N532" s="307" t="s">
        <v>387</v>
      </c>
      <c r="O532" s="308" t="s">
        <v>388</v>
      </c>
    </row>
    <row r="533" spans="2:15" x14ac:dyDescent="0.3">
      <c r="H533" s="113"/>
    </row>
    <row r="534" spans="2:15" ht="11.25" customHeight="1" x14ac:dyDescent="0.3">
      <c r="B534" s="106"/>
      <c r="C534" s="283" t="s">
        <v>356</v>
      </c>
      <c r="D534" s="119"/>
      <c r="E534" s="195"/>
      <c r="F534" s="106"/>
      <c r="G534" s="112"/>
    </row>
    <row r="535" spans="2:15" x14ac:dyDescent="0.3">
      <c r="C535" s="282" t="s">
        <v>259</v>
      </c>
      <c r="D535" s="253" t="s">
        <v>318</v>
      </c>
      <c r="E535" s="183">
        <v>2015</v>
      </c>
      <c r="F535" s="183">
        <v>2020</v>
      </c>
      <c r="G535" s="183">
        <v>2025</v>
      </c>
      <c r="H535" s="183">
        <v>2030</v>
      </c>
      <c r="I535" s="183">
        <v>2035</v>
      </c>
      <c r="J535" s="183">
        <v>2040</v>
      </c>
      <c r="K535" s="183">
        <v>2045</v>
      </c>
      <c r="L535" s="183">
        <v>2050</v>
      </c>
    </row>
    <row r="536" spans="2:15" x14ac:dyDescent="0.3">
      <c r="C536" s="191" t="s">
        <v>231</v>
      </c>
      <c r="D536" s="183">
        <v>1</v>
      </c>
      <c r="E536" s="284">
        <f>VLOOKUP($D536,Kütused!$C$116:$K$130,Kütused!D$115)</f>
        <v>3.9899999999999998</v>
      </c>
      <c r="F536" s="284">
        <f>VLOOKUP($D536,Kütused!$C$116:$K$130,Kütused!E$115)</f>
        <v>20.615000000000002</v>
      </c>
      <c r="G536" s="284">
        <f>VLOOKUP($D536,Kütused!$C$116:$K$130,Kütused!F$115)</f>
        <v>26.6</v>
      </c>
      <c r="H536" s="284">
        <f>VLOOKUP($D536,Kütused!$C$116:$K$130,Kütused!G$115)</f>
        <v>34.978999999999999</v>
      </c>
      <c r="I536" s="284">
        <f>VLOOKUP($D536,Kütused!$C$116:$K$130,Kütused!H$115)</f>
        <v>39.900000000000006</v>
      </c>
      <c r="J536" s="284">
        <f>VLOOKUP($D536,Kütused!$C$116:$K$130,Kütused!I$115)</f>
        <v>43.092000000000006</v>
      </c>
      <c r="K536" s="284">
        <f>VLOOKUP($D536,Kütused!$C$116:$K$130,Kütused!J$115)</f>
        <v>46.550000000000004</v>
      </c>
      <c r="L536" s="284">
        <f>VLOOKUP($D536,Kütused!$C$116:$K$130,Kütused!K$115)</f>
        <v>49.316400000000002</v>
      </c>
    </row>
    <row r="537" spans="2:15" x14ac:dyDescent="0.3">
      <c r="C537" s="191" t="s">
        <v>209</v>
      </c>
      <c r="D537" s="183">
        <v>2</v>
      </c>
      <c r="E537" s="284">
        <f>VLOOKUP($D537,Kütused!$C$116:$K$130,Kütused!D$115)</f>
        <v>0</v>
      </c>
      <c r="F537" s="284">
        <f>VLOOKUP($D537,Kütused!$C$116:$K$130,Kütused!E$115)</f>
        <v>0</v>
      </c>
      <c r="G537" s="284">
        <f>VLOOKUP($D537,Kütused!$C$116:$K$130,Kütused!F$115)</f>
        <v>0</v>
      </c>
      <c r="H537" s="284">
        <f>VLOOKUP($D537,Kütused!$C$116:$K$130,Kütused!G$115)</f>
        <v>0</v>
      </c>
      <c r="I537" s="284">
        <f>VLOOKUP($D537,Kütused!$C$116:$K$130,Kütused!H$115)</f>
        <v>0</v>
      </c>
      <c r="J537" s="284">
        <f>VLOOKUP($D537,Kütused!$C$116:$K$130,Kütused!I$115)</f>
        <v>0</v>
      </c>
      <c r="K537" s="284">
        <f>VLOOKUP($D537,Kütused!$C$116:$K$130,Kütused!J$115)</f>
        <v>0</v>
      </c>
      <c r="L537" s="284">
        <f>VLOOKUP($D537,Kütused!$C$116:$K$130,Kütused!K$115)</f>
        <v>0</v>
      </c>
    </row>
    <row r="538" spans="2:15" x14ac:dyDescent="0.3">
      <c r="C538" s="191" t="s">
        <v>417</v>
      </c>
      <c r="D538" s="183">
        <v>4</v>
      </c>
      <c r="E538" s="284">
        <f>VLOOKUP($D538,Kütused!$C$116:$K$130,Kütused!D$115)</f>
        <v>0</v>
      </c>
      <c r="F538" s="284">
        <f>VLOOKUP($D538,Kütused!$C$116:$K$130,Kütused!E$115)</f>
        <v>0</v>
      </c>
      <c r="G538" s="284">
        <f>VLOOKUP($D538,Kütused!$C$116:$K$130,Kütused!F$115)</f>
        <v>0</v>
      </c>
      <c r="H538" s="284">
        <f>VLOOKUP($D538,Kütused!$C$116:$K$130,Kütused!G$115)</f>
        <v>0</v>
      </c>
      <c r="I538" s="284">
        <f>VLOOKUP($D538,Kütused!$C$116:$K$130,Kütused!H$115)</f>
        <v>0</v>
      </c>
      <c r="J538" s="284">
        <f>VLOOKUP($D538,Kütused!$C$116:$K$130,Kütused!I$115)</f>
        <v>0</v>
      </c>
      <c r="K538" s="284">
        <f>VLOOKUP($D538,Kütused!$C$116:$K$130,Kütused!J$115)</f>
        <v>0</v>
      </c>
      <c r="L538" s="284">
        <f>VLOOKUP($D538,Kütused!$C$116:$K$130,Kütused!K$115)</f>
        <v>0</v>
      </c>
    </row>
    <row r="539" spans="2:15" x14ac:dyDescent="0.3">
      <c r="C539" s="191" t="s">
        <v>124</v>
      </c>
      <c r="D539" s="183">
        <v>10</v>
      </c>
      <c r="E539" s="284">
        <f>VLOOKUP($D539,Kütused!$C$116:$K$130,Kütused!D$115)</f>
        <v>0</v>
      </c>
      <c r="F539" s="284">
        <f>VLOOKUP($D539,Kütused!$C$116:$K$130,Kütused!E$115)</f>
        <v>0</v>
      </c>
      <c r="G539" s="284">
        <f>VLOOKUP($D539,Kütused!$C$116:$K$130,Kütused!F$115)</f>
        <v>0</v>
      </c>
      <c r="H539" s="284">
        <f>VLOOKUP($D539,Kütused!$C$116:$K$130,Kütused!G$115)</f>
        <v>0</v>
      </c>
      <c r="I539" s="284">
        <f>VLOOKUP($D539,Kütused!$C$116:$K$130,Kütused!H$115)</f>
        <v>0</v>
      </c>
      <c r="J539" s="284">
        <f>VLOOKUP($D539,Kütused!$C$116:$K$130,Kütused!I$115)</f>
        <v>0</v>
      </c>
      <c r="K539" s="284">
        <f>VLOOKUP($D539,Kütused!$C$116:$K$130,Kütused!J$115)</f>
        <v>0</v>
      </c>
      <c r="L539" s="284">
        <f>VLOOKUP($D539,Kütused!$C$116:$K$130,Kütused!K$115)</f>
        <v>0</v>
      </c>
    </row>
    <row r="540" spans="2:15" x14ac:dyDescent="0.3">
      <c r="C540" s="191" t="s">
        <v>133</v>
      </c>
      <c r="D540" s="183">
        <v>23</v>
      </c>
      <c r="E540" s="284">
        <f>VLOOKUP($D540,Kütused!$C$116:$K$130,Kütused!D$115)</f>
        <v>19.927708316706074</v>
      </c>
      <c r="F540" s="284">
        <f>VLOOKUP($D540,Kütused!$C$116:$K$130,Kütused!E$115)</f>
        <v>56.156978974006158</v>
      </c>
      <c r="G540" s="284">
        <f>VLOOKUP($D540,Kütused!$C$116:$K$130,Kütused!F$115)</f>
        <v>60.033246254543961</v>
      </c>
      <c r="H540" s="284">
        <f>VLOOKUP($D540,Kütused!$C$116:$K$130,Kütused!G$115)</f>
        <v>93.78327807920148</v>
      </c>
      <c r="I540" s="284">
        <f>VLOOKUP($D540,Kütused!$C$116:$K$130,Kütused!H$115)</f>
        <v>72.948553545205471</v>
      </c>
      <c r="J540" s="284">
        <f>VLOOKUP($D540,Kütused!$C$116:$K$130,Kütused!I$115)</f>
        <v>75.453419145205473</v>
      </c>
      <c r="K540" s="284">
        <f>VLOOKUP($D540,Kütused!$C$116:$K$130,Kütused!J$115)</f>
        <v>79.076516745205467</v>
      </c>
      <c r="L540" s="284">
        <f>VLOOKUP($D540,Kütused!$C$116:$K$130,Kütused!K$115)</f>
        <v>81.590462985205477</v>
      </c>
    </row>
    <row r="541" spans="2:15" x14ac:dyDescent="0.3">
      <c r="C541" s="191" t="s">
        <v>285</v>
      </c>
      <c r="D541" s="183">
        <v>24</v>
      </c>
      <c r="E541" s="284">
        <f>VLOOKUP($D541,Kütused!$C$116:$K$130,Kütused!D$115)</f>
        <v>2.0249999999999999</v>
      </c>
      <c r="F541" s="284">
        <f>VLOOKUP($D541,Kütused!$C$116:$K$130,Kütused!E$115)</f>
        <v>15.981817808219178</v>
      </c>
      <c r="G541" s="284">
        <f>VLOOKUP($D541,Kütused!$C$116:$K$130,Kütused!F$115)</f>
        <v>19.019317808219178</v>
      </c>
      <c r="H541" s="284">
        <f>VLOOKUP($D541,Kütused!$C$116:$K$130,Kütused!G$115)</f>
        <v>29.894999178082191</v>
      </c>
      <c r="I541" s="284">
        <f>VLOOKUP($D541,Kütused!$C$116:$K$130,Kütused!H$115)</f>
        <v>32.39249917808219</v>
      </c>
      <c r="J541" s="284">
        <f>VLOOKUP($D541,Kütused!$C$116:$K$130,Kütused!I$115)</f>
        <v>34.012499178082194</v>
      </c>
      <c r="K541" s="284">
        <f>VLOOKUP($D541,Kütused!$C$116:$K$130,Kütused!J$115)</f>
        <v>35.76749917808219</v>
      </c>
      <c r="L541" s="284">
        <f>VLOOKUP($D541,Kütused!$C$116:$K$130,Kütused!K$115)</f>
        <v>37.171499178082193</v>
      </c>
    </row>
    <row r="542" spans="2:15" x14ac:dyDescent="0.3">
      <c r="C542" s="191" t="s">
        <v>315</v>
      </c>
      <c r="D542" s="183">
        <v>26</v>
      </c>
      <c r="E542" s="284">
        <f>VLOOKUP($D542,Kütused!$C$116:$K$130,Kütused!D$115)</f>
        <v>2.4750000000000001</v>
      </c>
      <c r="F542" s="284">
        <f>VLOOKUP($D542,Kütused!$C$116:$K$130,Kütused!E$115)</f>
        <v>19.533332876712329</v>
      </c>
      <c r="G542" s="284">
        <f>VLOOKUP($D542,Kütused!$C$116:$K$130,Kütused!F$115)</f>
        <v>23.245832876712331</v>
      </c>
      <c r="H542" s="284">
        <f>VLOOKUP($D542,Kütused!$C$116:$K$130,Kütused!G$115)</f>
        <v>36.538332328767126</v>
      </c>
      <c r="I542" s="284">
        <f>VLOOKUP($D542,Kütused!$C$116:$K$130,Kütused!H$115)</f>
        <v>39.590832328767121</v>
      </c>
      <c r="J542" s="284">
        <f>VLOOKUP($D542,Kütused!$C$116:$K$130,Kütused!I$115)</f>
        <v>41.570832328767132</v>
      </c>
      <c r="K542" s="284">
        <f>VLOOKUP($D542,Kütused!$C$116:$K$130,Kütused!J$115)</f>
        <v>43.715832328767121</v>
      </c>
      <c r="L542" s="284">
        <f>VLOOKUP($D542,Kütused!$C$116:$K$130,Kütused!K$115)</f>
        <v>45.431832328767129</v>
      </c>
    </row>
    <row r="543" spans="2:15" x14ac:dyDescent="0.3">
      <c r="C543" s="191" t="s">
        <v>38</v>
      </c>
      <c r="D543" s="183">
        <v>29</v>
      </c>
      <c r="E543" s="284">
        <f>VLOOKUP($D543,Kütused!$C$116:$K$130,Kütused!D$115)</f>
        <v>29.844942699021313</v>
      </c>
      <c r="F543" s="284">
        <f>VLOOKUP($D543,Kütused!$C$116:$K$130,Kütused!E$115)</f>
        <v>57.415806205870631</v>
      </c>
      <c r="G543" s="284">
        <f>VLOOKUP($D543,Kütused!$C$116:$K$130,Kütused!F$115)</f>
        <v>29.69422723700983</v>
      </c>
      <c r="H543" s="284">
        <f>VLOOKUP($D543,Kütused!$C$116:$K$130,Kütused!G$115)</f>
        <v>65.810756245229001</v>
      </c>
      <c r="I543" s="284">
        <f>VLOOKUP($D543,Kütused!$C$116:$K$130,Kütused!H$115)</f>
        <v>29.896850115068492</v>
      </c>
      <c r="J543" s="284">
        <f>VLOOKUP($D543,Kütused!$C$116:$K$130,Kütused!I$115)</f>
        <v>28.771030915068494</v>
      </c>
      <c r="K543" s="284">
        <f>VLOOKUP($D543,Kütused!$C$116:$K$130,Kütused!J$115)</f>
        <v>30.280387715068493</v>
      </c>
      <c r="L543" s="284">
        <f>VLOOKUP($D543,Kütused!$C$116:$K$130,Kütused!K$115)</f>
        <v>30.334060035068493</v>
      </c>
    </row>
    <row r="544" spans="2:15" x14ac:dyDescent="0.3">
      <c r="C544" s="191" t="s">
        <v>136</v>
      </c>
      <c r="D544" s="183">
        <v>30</v>
      </c>
      <c r="E544" s="284">
        <f>VLOOKUP($D544,Kütused!$C$116:$K$130,Kütused!D$115)</f>
        <v>0</v>
      </c>
      <c r="F544" s="284">
        <f>VLOOKUP($D544,Kütused!$C$116:$K$130,Kütused!E$115)</f>
        <v>0</v>
      </c>
      <c r="G544" s="284">
        <f>VLOOKUP($D544,Kütused!$C$116:$K$130,Kütused!F$115)</f>
        <v>0</v>
      </c>
      <c r="H544" s="284">
        <f>VLOOKUP($D544,Kütused!$C$116:$K$130,Kütused!G$115)</f>
        <v>0</v>
      </c>
      <c r="I544" s="284">
        <f>VLOOKUP($D544,Kütused!$C$116:$K$130,Kütused!H$115)</f>
        <v>0</v>
      </c>
      <c r="J544" s="284">
        <f>VLOOKUP($D544,Kütused!$C$116:$K$130,Kütused!I$115)</f>
        <v>0</v>
      </c>
      <c r="K544" s="284">
        <f>VLOOKUP($D544,Kütused!$C$116:$K$130,Kütused!J$115)</f>
        <v>0</v>
      </c>
      <c r="L544" s="284">
        <f>VLOOKUP($D544,Kütused!$C$116:$K$130,Kütused!K$115)</f>
        <v>0</v>
      </c>
    </row>
    <row r="545" spans="3:12" x14ac:dyDescent="0.3">
      <c r="C545" s="191" t="s">
        <v>360</v>
      </c>
      <c r="D545" s="183">
        <v>31</v>
      </c>
      <c r="E545" s="284">
        <f>VLOOKUP($D545,Kütused!$C$116:$K$130,Kütused!D$115)</f>
        <v>0</v>
      </c>
      <c r="F545" s="284">
        <f>VLOOKUP($D545,Kütused!$C$116:$K$130,Kütused!E$115)</f>
        <v>0</v>
      </c>
      <c r="G545" s="284">
        <f>VLOOKUP($D545,Kütused!$C$116:$K$130,Kütused!F$115)</f>
        <v>0</v>
      </c>
      <c r="H545" s="284">
        <f>VLOOKUP($D545,Kütused!$C$116:$K$130,Kütused!G$115)</f>
        <v>0</v>
      </c>
      <c r="I545" s="284">
        <f>VLOOKUP($D545,Kütused!$C$116:$K$130,Kütused!H$115)</f>
        <v>0</v>
      </c>
      <c r="J545" s="284">
        <f>VLOOKUP($D545,Kütused!$C$116:$K$130,Kütused!I$115)</f>
        <v>0</v>
      </c>
      <c r="K545" s="284">
        <f>VLOOKUP($D545,Kütused!$C$116:$K$130,Kütused!J$115)</f>
        <v>0</v>
      </c>
      <c r="L545" s="284">
        <f>VLOOKUP($D545,Kütused!$C$116:$K$130,Kütused!K$115)</f>
        <v>0</v>
      </c>
    </row>
    <row r="546" spans="3:12" x14ac:dyDescent="0.3">
      <c r="C546" s="191" t="s">
        <v>361</v>
      </c>
      <c r="D546" s="183">
        <v>32</v>
      </c>
      <c r="E546" s="284">
        <f>VLOOKUP($D546,Kütused!$C$116:$K$130,Kütused!D$115)</f>
        <v>0</v>
      </c>
      <c r="F546" s="284">
        <f>VLOOKUP($D546,Kütused!$C$116:$K$130,Kütused!E$115)</f>
        <v>0</v>
      </c>
      <c r="G546" s="284">
        <f>VLOOKUP($D546,Kütused!$C$116:$K$130,Kütused!F$115)</f>
        <v>0</v>
      </c>
      <c r="H546" s="284">
        <f>VLOOKUP($D546,Kütused!$C$116:$K$130,Kütused!G$115)</f>
        <v>0</v>
      </c>
      <c r="I546" s="284">
        <f>VLOOKUP($D546,Kütused!$C$116:$K$130,Kütused!H$115)</f>
        <v>0</v>
      </c>
      <c r="J546" s="284">
        <f>VLOOKUP($D546,Kütused!$C$116:$K$130,Kütused!I$115)</f>
        <v>0</v>
      </c>
      <c r="K546" s="284">
        <f>VLOOKUP($D546,Kütused!$C$116:$K$130,Kütused!J$115)</f>
        <v>0</v>
      </c>
      <c r="L546" s="284">
        <f>VLOOKUP($D546,Kütused!$C$116:$K$130,Kütused!K$115)</f>
        <v>0</v>
      </c>
    </row>
    <row r="547" spans="3:12" x14ac:dyDescent="0.3">
      <c r="C547" s="191" t="s">
        <v>362</v>
      </c>
      <c r="D547" s="183">
        <v>33</v>
      </c>
      <c r="E547" s="284">
        <f>VLOOKUP($D547,Kütused!$C$116:$K$130,Kütused!D$115)</f>
        <v>2.31</v>
      </c>
      <c r="F547" s="284">
        <f>VLOOKUP($D547,Kütused!$C$116:$K$130,Kütused!E$115)</f>
        <v>12.864178082191783</v>
      </c>
      <c r="G547" s="284">
        <f>VLOOKUP($D547,Kütused!$C$116:$K$130,Kütused!F$115)</f>
        <v>16.329178082191781</v>
      </c>
      <c r="H547" s="284">
        <f>VLOOKUP($D547,Kütused!$C$116:$K$130,Kütused!G$115)</f>
        <v>22.29519178082192</v>
      </c>
      <c r="I547" s="284">
        <f>VLOOKUP($D547,Kütused!$C$116:$K$130,Kütused!H$115)</f>
        <v>25.144191780821924</v>
      </c>
      <c r="J547" s="284">
        <f>VLOOKUP($D547,Kütused!$C$116:$K$130,Kütused!I$115)</f>
        <v>26.992191780821923</v>
      </c>
      <c r="K547" s="284">
        <f>VLOOKUP($D547,Kütused!$C$116:$K$130,Kütused!J$115)</f>
        <v>28.994191780821922</v>
      </c>
      <c r="L547" s="284">
        <f>VLOOKUP($D547,Kütused!$C$116:$K$130,Kütused!K$115)</f>
        <v>30.595791780821923</v>
      </c>
    </row>
    <row r="548" spans="3:12" x14ac:dyDescent="0.3">
      <c r="C548" s="191" t="s">
        <v>363</v>
      </c>
      <c r="D548" s="183">
        <v>55</v>
      </c>
      <c r="E548" s="284">
        <f>VLOOKUP($D548,Kütused!$C$116:$K$130,Kütused!D$115)</f>
        <v>0</v>
      </c>
      <c r="F548" s="284">
        <f>VLOOKUP($D548,Kütused!$C$116:$K$130,Kütused!E$115)</f>
        <v>0</v>
      </c>
      <c r="G548" s="284">
        <f>VLOOKUP($D548,Kütused!$C$116:$K$130,Kütused!F$115)</f>
        <v>0</v>
      </c>
      <c r="H548" s="284">
        <f>VLOOKUP($D548,Kütused!$C$116:$K$130,Kütused!G$115)</f>
        <v>0</v>
      </c>
      <c r="I548" s="284">
        <f>VLOOKUP($D548,Kütused!$C$116:$K$130,Kütused!H$115)</f>
        <v>0</v>
      </c>
      <c r="J548" s="284">
        <f>VLOOKUP($D548,Kütused!$C$116:$K$130,Kütused!I$115)</f>
        <v>0</v>
      </c>
      <c r="K548" s="284">
        <f>VLOOKUP($D548,Kütused!$C$116:$K$130,Kütused!J$115)</f>
        <v>0</v>
      </c>
      <c r="L548" s="284">
        <f>VLOOKUP($D548,Kütused!$C$116:$K$130,Kütused!K$115)</f>
        <v>0</v>
      </c>
    </row>
    <row r="549" spans="3:12" x14ac:dyDescent="0.3">
      <c r="C549" s="259" t="s">
        <v>204</v>
      </c>
      <c r="D549" s="251">
        <v>101</v>
      </c>
      <c r="E549" s="284">
        <f>VLOOKUP($D549,Kütused!$C$116:$K$130,Kütused!D$115)</f>
        <v>10.728092290413976</v>
      </c>
      <c r="F549" s="284">
        <f>VLOOKUP($D549,Kütused!$C$116:$K$130,Kütused!E$115)</f>
        <v>62.433289959889294</v>
      </c>
      <c r="G549" s="284">
        <f>VLOOKUP($D549,Kütused!$C$116:$K$130,Kütused!F$115)</f>
        <v>24.870852596551487</v>
      </c>
      <c r="H549" s="284">
        <f>VLOOKUP($D549,Kütused!$C$116:$K$130,Kütused!G$115)</f>
        <v>100.96032108466125</v>
      </c>
      <c r="I549" s="284">
        <f>VLOOKUP($D549,Kütused!$C$116:$K$130,Kütused!H$115)</f>
        <v>61.166425796926006</v>
      </c>
      <c r="J549" s="284">
        <f>VLOOKUP($D549,Kütused!$C$116:$K$130,Kütused!I$115)</f>
        <v>70.976748436173409</v>
      </c>
      <c r="K549" s="284">
        <f>VLOOKUP($D549,Kütused!$C$116:$K$130,Kütused!J$115)</f>
        <v>81.388057849466946</v>
      </c>
      <c r="L549" s="284">
        <f>VLOOKUP($D549,Kütused!$C$116:$K$130,Kütused!K$115)</f>
        <v>92.050302299215957</v>
      </c>
    </row>
    <row r="550" spans="3:12" x14ac:dyDescent="0.3">
      <c r="C550" s="259" t="s">
        <v>364</v>
      </c>
      <c r="D550" s="251">
        <v>102</v>
      </c>
      <c r="E550" s="284">
        <f>VLOOKUP($D550,Kütused!$C$116:$K$130,Kütused!D$115)</f>
        <v>15.360997874935169</v>
      </c>
      <c r="F550" s="284">
        <f>VLOOKUP($D550,Kütused!$C$116:$K$130,Kütused!E$115)</f>
        <v>48.235957831702187</v>
      </c>
      <c r="G550" s="284">
        <f>VLOOKUP($D550,Kütused!$C$116:$K$130,Kütused!F$115)</f>
        <v>14.098779550267528</v>
      </c>
      <c r="H550" s="284">
        <f>VLOOKUP($D550,Kütused!$C$116:$K$130,Kütused!G$115)</f>
        <v>63.89877955026752</v>
      </c>
      <c r="I550" s="284">
        <f>VLOOKUP($D550,Kütused!$C$116:$K$130,Kütused!H$115)</f>
        <v>0</v>
      </c>
      <c r="J550" s="284">
        <f>VLOOKUP($D550,Kütused!$C$116:$K$130,Kütused!I$115)</f>
        <v>0</v>
      </c>
      <c r="K550" s="284">
        <f>VLOOKUP($D550,Kütused!$C$116:$K$130,Kütused!J$115)</f>
        <v>0</v>
      </c>
      <c r="L550" s="284">
        <f>VLOOKUP($D550,Kütused!$C$116:$K$130,Kütused!K$115)</f>
        <v>0</v>
      </c>
    </row>
    <row r="551" spans="3:12" x14ac:dyDescent="0.3">
      <c r="C551" s="259" t="s">
        <v>457</v>
      </c>
      <c r="D551" s="251">
        <v>103</v>
      </c>
      <c r="E551" s="284">
        <f>VLOOKUP($D551,Kütused!$C$116:$K$130,Kütused!D$115)</f>
        <v>-67.851829318842121</v>
      </c>
      <c r="F551" s="284">
        <f>VLOOKUP($D551,Kütused!$C$116:$K$130,Kütused!E$115)</f>
        <v>4.7586588144570641</v>
      </c>
      <c r="G551" s="284">
        <f>VLOOKUP($D551,Kütused!$C$116:$K$130,Kütused!F$115)</f>
        <v>84.111649329905205</v>
      </c>
      <c r="H551" s="284">
        <f>VLOOKUP($D551,Kütused!$C$116:$K$130,Kütused!G$115)</f>
        <v>72.546872528803263</v>
      </c>
      <c r="I551" s="284">
        <f>VLOOKUP($D551,Kütused!$C$116:$K$130,Kütused!H$115)</f>
        <v>239.4421549322571</v>
      </c>
      <c r="J551" s="284">
        <f>VLOOKUP($D551,Kütused!$C$116:$K$130,Kütused!I$115)</f>
        <v>293.93105258034319</v>
      </c>
      <c r="K551" s="284">
        <f>VLOOKUP($D551,Kütused!$C$116:$K$130,Kütused!J$115)</f>
        <v>338.40314748732027</v>
      </c>
      <c r="L551" s="284">
        <f>VLOOKUP($D551,Kütused!$C$116:$K$130,Kütused!K$115)</f>
        <v>399.94602131198513</v>
      </c>
    </row>
    <row r="552" spans="3:12" x14ac:dyDescent="0.3">
      <c r="C552" s="260" t="s">
        <v>110</v>
      </c>
      <c r="D552" s="252">
        <v>104</v>
      </c>
      <c r="E552" s="284">
        <f>VLOOKUP($D552,Kütused!$C$116:$K$130,Kütused!D$115)</f>
        <v>0</v>
      </c>
      <c r="F552" s="284">
        <f>VLOOKUP($D552,Kütused!$C$116:$K$130,Kütused!E$115)</f>
        <v>0</v>
      </c>
      <c r="G552" s="284">
        <f>VLOOKUP($D552,Kütused!$C$116:$K$130,Kütused!F$115)</f>
        <v>0</v>
      </c>
      <c r="H552" s="284">
        <f>VLOOKUP($D552,Kütused!$C$116:$K$130,Kütused!G$115)</f>
        <v>0</v>
      </c>
      <c r="I552" s="284">
        <f>VLOOKUP($D552,Kütused!$C$116:$K$130,Kütused!H$115)</f>
        <v>0</v>
      </c>
      <c r="J552" s="284">
        <f>VLOOKUP($D552,Kütused!$C$116:$K$130,Kütused!I$115)</f>
        <v>0</v>
      </c>
      <c r="K552" s="284">
        <f>VLOOKUP($D552,Kütused!$C$116:$K$130,Kütused!J$115)</f>
        <v>0</v>
      </c>
      <c r="L552" s="284">
        <f>VLOOKUP($D552,Kütused!$C$116:$K$130,Kütused!K$115)</f>
        <v>0</v>
      </c>
    </row>
    <row r="553" spans="3:12" x14ac:dyDescent="0.3">
      <c r="C553" s="259" t="s">
        <v>53</v>
      </c>
      <c r="D553" s="251">
        <v>105</v>
      </c>
      <c r="E553" s="284">
        <f>VLOOKUP($D553,Kütused!$C$116:$K$130,Kütused!D$115)</f>
        <v>0</v>
      </c>
      <c r="F553" s="284">
        <f>VLOOKUP($D553,Kütused!$C$116:$K$130,Kütused!E$115)</f>
        <v>0</v>
      </c>
      <c r="G553" s="284">
        <f>VLOOKUP($D553,Kütused!$C$116:$K$130,Kütused!F$115)</f>
        <v>0</v>
      </c>
      <c r="H553" s="284">
        <f>VLOOKUP($D553,Kütused!$C$116:$K$130,Kütused!G$115)</f>
        <v>0</v>
      </c>
      <c r="I553" s="284">
        <f>VLOOKUP($D553,Kütused!$C$116:$K$130,Kütused!H$115)</f>
        <v>0</v>
      </c>
      <c r="J553" s="284">
        <f>VLOOKUP($D553,Kütused!$C$116:$K$130,Kütused!I$115)</f>
        <v>0</v>
      </c>
      <c r="K553" s="284">
        <f>VLOOKUP($D553,Kütused!$C$116:$K$130,Kütused!J$115)</f>
        <v>0</v>
      </c>
      <c r="L553" s="284">
        <f>VLOOKUP($D553,Kütused!$C$116:$K$130,Kütused!K$115)</f>
        <v>0</v>
      </c>
    </row>
    <row r="554" spans="3:12" x14ac:dyDescent="0.3">
      <c r="C554" s="259" t="s">
        <v>672</v>
      </c>
      <c r="D554" s="251">
        <v>106</v>
      </c>
      <c r="E554" s="284">
        <f>Kütused!D132</f>
        <v>4.8</v>
      </c>
      <c r="F554" s="284">
        <f>Kütused!E132</f>
        <v>29.200000000000003</v>
      </c>
      <c r="G554" s="284">
        <f>Kütused!F132</f>
        <v>36.4</v>
      </c>
      <c r="H554" s="284">
        <f>Kütused!G132</f>
        <v>51.76</v>
      </c>
      <c r="I554" s="284">
        <f>Kütused!H132</f>
        <v>57.68</v>
      </c>
      <c r="J554" s="284">
        <f>Kütused!I132</f>
        <v>61.52</v>
      </c>
      <c r="K554" s="284">
        <f>Kütused!J132</f>
        <v>65.680000000000007</v>
      </c>
      <c r="L554" s="284">
        <f>Kütused!K132</f>
        <v>69.00800000000001</v>
      </c>
    </row>
    <row r="555" spans="3:12" x14ac:dyDescent="0.3">
      <c r="C555" s="183" t="s">
        <v>321</v>
      </c>
      <c r="D555" s="253" t="s">
        <v>293</v>
      </c>
      <c r="E555" s="284">
        <f>Kütused!D133</f>
        <v>0</v>
      </c>
      <c r="F555" s="284">
        <f>Kütused!E133</f>
        <v>0</v>
      </c>
      <c r="G555" s="284">
        <f>Kütused!F133</f>
        <v>0</v>
      </c>
      <c r="H555" s="284">
        <f>Kütused!G133</f>
        <v>0</v>
      </c>
      <c r="I555" s="284">
        <f>Kütused!H133</f>
        <v>0</v>
      </c>
      <c r="J555" s="284">
        <f>Kütused!I133</f>
        <v>0</v>
      </c>
      <c r="K555" s="284">
        <f>Kütused!J133</f>
        <v>0</v>
      </c>
      <c r="L555" s="284">
        <f>Kütused!K133</f>
        <v>0</v>
      </c>
    </row>
    <row r="556" spans="3:12" x14ac:dyDescent="0.3">
      <c r="C556" s="191" t="s">
        <v>650</v>
      </c>
      <c r="D556" s="253" t="s">
        <v>75</v>
      </c>
      <c r="E556" s="284">
        <f>Kütused!D134</f>
        <v>381.76069638469636</v>
      </c>
      <c r="F556" s="284">
        <f>Kütused!E134</f>
        <v>2801.3302646542647</v>
      </c>
      <c r="G556" s="284">
        <f>Kütused!F134</f>
        <v>3373.9713092313091</v>
      </c>
      <c r="H556" s="284">
        <f>Kütused!G134</f>
        <v>5170.3487716391719</v>
      </c>
      <c r="I556" s="284">
        <f>Kütused!H134</f>
        <v>5641.1869638469634</v>
      </c>
      <c r="J556" s="284">
        <f>Kütused!I134</f>
        <v>5946.595520954721</v>
      </c>
      <c r="K556" s="284">
        <f>Kütused!J134</f>
        <v>6277.4547911547907</v>
      </c>
      <c r="L556" s="284">
        <f>Kütused!K134</f>
        <v>6542.1422073148478</v>
      </c>
    </row>
    <row r="557" spans="3:12" x14ac:dyDescent="0.3">
      <c r="C557" s="279" t="s">
        <v>323</v>
      </c>
      <c r="D557" s="253" t="s">
        <v>75</v>
      </c>
      <c r="E557" s="284">
        <f>Kütused!D135</f>
        <v>146.02346636714634</v>
      </c>
      <c r="F557" s="284">
        <f>Kütused!E135</f>
        <v>907.6310057479817</v>
      </c>
      <c r="G557" s="284">
        <f>Kütused!F135</f>
        <v>926.15512438399423</v>
      </c>
      <c r="H557" s="284">
        <f>Kütused!G135</f>
        <v>1046.9956262569322</v>
      </c>
      <c r="I557" s="284">
        <f>Kütused!H135</f>
        <v>837.71626413127399</v>
      </c>
      <c r="J557" s="284">
        <f>Kütused!I135</f>
        <v>668.99199610740607</v>
      </c>
      <c r="K557" s="284">
        <f>Kütused!J135</f>
        <v>367.23110528255523</v>
      </c>
      <c r="L557" s="284">
        <f>Kütused!K135</f>
        <v>294.39639932916816</v>
      </c>
    </row>
    <row r="558" spans="3:12" x14ac:dyDescent="0.3">
      <c r="C558" s="279" t="s">
        <v>324</v>
      </c>
      <c r="D558" s="253" t="s">
        <v>75</v>
      </c>
      <c r="E558" s="284">
        <f>Kütused!D136</f>
        <v>235.73723001755002</v>
      </c>
      <c r="F558" s="284">
        <f>Kütused!E136</f>
        <v>1893.6992589062829</v>
      </c>
      <c r="G558" s="284">
        <f>Kütused!F136</f>
        <v>2447.8161848473146</v>
      </c>
      <c r="H558" s="284">
        <f>Kütused!G136</f>
        <v>4123.3531453822397</v>
      </c>
      <c r="I558" s="284">
        <f>Kütused!H136</f>
        <v>4803.4706997156891</v>
      </c>
      <c r="J558" s="284">
        <f>Kütused!I136</f>
        <v>5277.6035248473145</v>
      </c>
      <c r="K558" s="284">
        <f>Kütused!J136</f>
        <v>5910.2236858722354</v>
      </c>
      <c r="L558" s="284">
        <f>Kütused!K136</f>
        <v>6247.7458079856797</v>
      </c>
    </row>
    <row r="559" spans="3:12" x14ac:dyDescent="0.3">
      <c r="C559" s="280" t="s">
        <v>325</v>
      </c>
      <c r="D559" s="253" t="s">
        <v>75</v>
      </c>
      <c r="E559" s="284">
        <f>Kütused!D137</f>
        <v>0</v>
      </c>
      <c r="F559" s="284">
        <f>Kütused!E137</f>
        <v>0</v>
      </c>
      <c r="G559" s="284">
        <f>Kütused!F137</f>
        <v>0</v>
      </c>
      <c r="H559" s="284">
        <f>Kütused!G137</f>
        <v>0</v>
      </c>
      <c r="I559" s="284">
        <f>Kütused!H137</f>
        <v>0</v>
      </c>
      <c r="J559" s="284">
        <f>Kütused!I137</f>
        <v>0</v>
      </c>
      <c r="K559" s="284">
        <f>Kütused!J137</f>
        <v>0</v>
      </c>
      <c r="L559" s="284">
        <f>Kütused!K137</f>
        <v>0</v>
      </c>
    </row>
    <row r="560" spans="3:12" x14ac:dyDescent="0.3">
      <c r="C560" s="280" t="s">
        <v>541</v>
      </c>
      <c r="D560" s="253" t="s">
        <v>75</v>
      </c>
      <c r="E560" s="284">
        <f>Kütused!D138</f>
        <v>0</v>
      </c>
      <c r="F560" s="284">
        <f>Kütused!E138</f>
        <v>0</v>
      </c>
      <c r="G560" s="284">
        <f>Kütused!F138</f>
        <v>0</v>
      </c>
      <c r="H560" s="284">
        <f>Kütused!G138</f>
        <v>0</v>
      </c>
      <c r="I560" s="284">
        <f>Kütused!H138</f>
        <v>0</v>
      </c>
      <c r="J560" s="284">
        <f>Kütused!I138</f>
        <v>0</v>
      </c>
      <c r="K560" s="284">
        <f>Kütused!J138</f>
        <v>0</v>
      </c>
      <c r="L560" s="284">
        <f>Kütused!K138</f>
        <v>0</v>
      </c>
    </row>
    <row r="561" spans="2:12" x14ac:dyDescent="0.3">
      <c r="C561" s="191" t="s">
        <v>326</v>
      </c>
      <c r="D561" s="253" t="s">
        <v>306</v>
      </c>
      <c r="E561" s="284">
        <f>Kütused!D139</f>
        <v>8604.9303835331102</v>
      </c>
      <c r="F561" s="284">
        <f>Kütused!E139</f>
        <v>44458.806981587739</v>
      </c>
      <c r="G561" s="284">
        <f>Kütused!F139</f>
        <v>57366.202556887394</v>
      </c>
      <c r="H561" s="284">
        <f>Kütused!G139</f>
        <v>75436.556362306932</v>
      </c>
      <c r="I561" s="284">
        <f>Kütused!H139</f>
        <v>86049.303835331099</v>
      </c>
      <c r="J561" s="284">
        <f>Kütused!I139</f>
        <v>92933.248142157594</v>
      </c>
      <c r="K561" s="284">
        <f>Kütused!J139</f>
        <v>100390.85447455297</v>
      </c>
      <c r="L561" s="284">
        <f>Kütused!K139</f>
        <v>106356.93954046923</v>
      </c>
    </row>
    <row r="562" spans="2:12" x14ac:dyDescent="0.3">
      <c r="C562" s="307" t="s">
        <v>387</v>
      </c>
      <c r="D562" s="308" t="s">
        <v>388</v>
      </c>
      <c r="E562" s="284">
        <f>Kütused!D140</f>
        <v>19.440000000000001</v>
      </c>
      <c r="F562" s="284">
        <f>Kütused!E140</f>
        <v>289.44</v>
      </c>
      <c r="G562" s="284">
        <f>Kütused!F140</f>
        <v>318.60000000000002</v>
      </c>
      <c r="H562" s="284">
        <f>Kütused!G140</f>
        <v>586.22400000000005</v>
      </c>
      <c r="I562" s="284">
        <f>Kütused!H140</f>
        <v>610.20000000000005</v>
      </c>
      <c r="J562" s="284">
        <f>Kütused!I140</f>
        <v>625.75199999999995</v>
      </c>
      <c r="K562" s="284">
        <f>Kütused!J140</f>
        <v>642.6</v>
      </c>
      <c r="L562" s="284">
        <f>Kütused!K140</f>
        <v>656.0784000000001</v>
      </c>
    </row>
    <row r="564" spans="2:12" ht="15.6" x14ac:dyDescent="0.3">
      <c r="B564" s="353">
        <v>6</v>
      </c>
      <c r="C564" s="352" t="s">
        <v>402</v>
      </c>
      <c r="D564" s="201"/>
      <c r="E564" s="201"/>
      <c r="F564" s="202"/>
      <c r="G564" s="118"/>
    </row>
    <row r="565" spans="2:12" ht="27.6" x14ac:dyDescent="0.3">
      <c r="B565" s="118"/>
      <c r="C565" s="200"/>
      <c r="D565" s="273" t="s">
        <v>316</v>
      </c>
      <c r="E565" s="273" t="s">
        <v>256</v>
      </c>
      <c r="F565" s="273" t="s">
        <v>452</v>
      </c>
    </row>
    <row r="566" spans="2:12" x14ac:dyDescent="0.3">
      <c r="B566" s="118"/>
      <c r="C566" s="206" t="s">
        <v>251</v>
      </c>
      <c r="D566" s="200">
        <v>1</v>
      </c>
      <c r="E566" s="200">
        <v>2</v>
      </c>
      <c r="F566" s="200">
        <v>3</v>
      </c>
    </row>
    <row r="567" spans="2:12" x14ac:dyDescent="0.3">
      <c r="B567" s="118"/>
      <c r="C567" s="204" t="s">
        <v>389</v>
      </c>
      <c r="D567" s="278">
        <f>TULEMUSED!M11</f>
        <v>1</v>
      </c>
      <c r="E567" s="205" t="str">
        <f>IF(D567=1," Liberaal"," Liberaal+")</f>
        <v xml:space="preserve"> Liberaal</v>
      </c>
      <c r="F567" s="106"/>
    </row>
    <row r="568" spans="2:12" x14ac:dyDescent="0.3">
      <c r="B568" s="106"/>
      <c r="C568" s="111"/>
      <c r="D568" s="194"/>
      <c r="E568" s="195"/>
      <c r="G568" s="112"/>
    </row>
    <row r="569" spans="2:12" ht="11.25" customHeight="1" x14ac:dyDescent="0.3">
      <c r="B569" s="106"/>
      <c r="C569" s="281" t="s">
        <v>384</v>
      </c>
      <c r="D569" s="119"/>
      <c r="E569" s="195"/>
      <c r="F569" s="106"/>
      <c r="G569" s="112"/>
    </row>
    <row r="570" spans="2:12" x14ac:dyDescent="0.3">
      <c r="C570" s="282" t="s">
        <v>259</v>
      </c>
      <c r="D570" s="253" t="s">
        <v>318</v>
      </c>
      <c r="E570" s="183">
        <v>2015</v>
      </c>
      <c r="F570" s="183">
        <v>2020</v>
      </c>
      <c r="G570" s="183">
        <v>2025</v>
      </c>
      <c r="H570" s="183">
        <v>2030</v>
      </c>
      <c r="I570" s="183">
        <v>2035</v>
      </c>
      <c r="J570" s="183">
        <v>2040</v>
      </c>
      <c r="K570" s="183">
        <v>2045</v>
      </c>
      <c r="L570" s="183">
        <v>2050</v>
      </c>
    </row>
    <row r="571" spans="2:12" x14ac:dyDescent="0.3">
      <c r="C571" s="191" t="s">
        <v>231</v>
      </c>
      <c r="D571" s="183">
        <v>1</v>
      </c>
      <c r="E571" s="284">
        <f>IF($D$567=2,E601,IF($D$567=3,E630,0))</f>
        <v>0</v>
      </c>
      <c r="F571" s="284">
        <f t="shared" ref="F571:K571" si="114">IF($D$567=2,F601,IF($D$567=3,F630,0))</f>
        <v>0</v>
      </c>
      <c r="G571" s="284">
        <f t="shared" si="114"/>
        <v>0</v>
      </c>
      <c r="H571" s="284">
        <f t="shared" si="114"/>
        <v>0</v>
      </c>
      <c r="I571" s="284">
        <f t="shared" si="114"/>
        <v>0</v>
      </c>
      <c r="J571" s="284">
        <f t="shared" si="114"/>
        <v>0</v>
      </c>
      <c r="K571" s="284">
        <f t="shared" si="114"/>
        <v>0</v>
      </c>
      <c r="L571" s="284">
        <f>IF($D$567=2,L601,IF($D$567=3,L630,0))</f>
        <v>0</v>
      </c>
    </row>
    <row r="572" spans="2:12" x14ac:dyDescent="0.3">
      <c r="C572" s="191" t="s">
        <v>209</v>
      </c>
      <c r="D572" s="183">
        <v>2</v>
      </c>
      <c r="E572" s="284">
        <f t="shared" ref="E572:L572" si="115">IF($D$567=2,E602,IF($D$567=3,E631,0))</f>
        <v>0</v>
      </c>
      <c r="F572" s="284">
        <f t="shared" si="115"/>
        <v>0</v>
      </c>
      <c r="G572" s="284">
        <f t="shared" si="115"/>
        <v>0</v>
      </c>
      <c r="H572" s="284">
        <f t="shared" si="115"/>
        <v>0</v>
      </c>
      <c r="I572" s="284">
        <f t="shared" si="115"/>
        <v>0</v>
      </c>
      <c r="J572" s="284">
        <f t="shared" si="115"/>
        <v>0</v>
      </c>
      <c r="K572" s="284">
        <f t="shared" si="115"/>
        <v>0</v>
      </c>
      <c r="L572" s="284">
        <f t="shared" si="115"/>
        <v>0</v>
      </c>
    </row>
    <row r="573" spans="2:12" x14ac:dyDescent="0.3">
      <c r="C573" s="191" t="s">
        <v>417</v>
      </c>
      <c r="D573" s="183">
        <v>4</v>
      </c>
      <c r="E573" s="284">
        <f t="shared" ref="E573:L573" si="116">IF($D$567=2,E603,IF($D$567=3,E632,0))</f>
        <v>0</v>
      </c>
      <c r="F573" s="284">
        <f t="shared" si="116"/>
        <v>0</v>
      </c>
      <c r="G573" s="284">
        <f t="shared" si="116"/>
        <v>0</v>
      </c>
      <c r="H573" s="284">
        <f t="shared" si="116"/>
        <v>0</v>
      </c>
      <c r="I573" s="284">
        <f t="shared" si="116"/>
        <v>0</v>
      </c>
      <c r="J573" s="284">
        <f t="shared" si="116"/>
        <v>0</v>
      </c>
      <c r="K573" s="284">
        <f t="shared" si="116"/>
        <v>0</v>
      </c>
      <c r="L573" s="284">
        <f t="shared" si="116"/>
        <v>0</v>
      </c>
    </row>
    <row r="574" spans="2:12" x14ac:dyDescent="0.3">
      <c r="C574" s="191" t="s">
        <v>124</v>
      </c>
      <c r="D574" s="183">
        <v>10</v>
      </c>
      <c r="E574" s="284">
        <f t="shared" ref="E574:L574" si="117">IF($D$567=2,E604,IF($D$567=3,E633,0))</f>
        <v>0</v>
      </c>
      <c r="F574" s="284">
        <f t="shared" si="117"/>
        <v>0</v>
      </c>
      <c r="G574" s="284">
        <f t="shared" si="117"/>
        <v>0</v>
      </c>
      <c r="H574" s="284">
        <f t="shared" si="117"/>
        <v>0</v>
      </c>
      <c r="I574" s="284">
        <f t="shared" si="117"/>
        <v>0</v>
      </c>
      <c r="J574" s="284">
        <f t="shared" si="117"/>
        <v>0</v>
      </c>
      <c r="K574" s="284">
        <f t="shared" si="117"/>
        <v>0</v>
      </c>
      <c r="L574" s="284">
        <f t="shared" si="117"/>
        <v>0</v>
      </c>
    </row>
    <row r="575" spans="2:12" x14ac:dyDescent="0.3">
      <c r="C575" s="191" t="s">
        <v>133</v>
      </c>
      <c r="D575" s="183">
        <v>23</v>
      </c>
      <c r="E575" s="284">
        <f t="shared" ref="E575:L575" si="118">IF($D$567=2,E605,IF($D$567=3,E634,0))</f>
        <v>0</v>
      </c>
      <c r="F575" s="284">
        <f t="shared" si="118"/>
        <v>0</v>
      </c>
      <c r="G575" s="284">
        <f t="shared" si="118"/>
        <v>0</v>
      </c>
      <c r="H575" s="284">
        <f t="shared" si="118"/>
        <v>0</v>
      </c>
      <c r="I575" s="284">
        <f t="shared" si="118"/>
        <v>0</v>
      </c>
      <c r="J575" s="284">
        <f t="shared" si="118"/>
        <v>0</v>
      </c>
      <c r="K575" s="284">
        <f t="shared" si="118"/>
        <v>0</v>
      </c>
      <c r="L575" s="284">
        <f t="shared" si="118"/>
        <v>0</v>
      </c>
    </row>
    <row r="576" spans="2:12" x14ac:dyDescent="0.3">
      <c r="C576" s="191" t="s">
        <v>285</v>
      </c>
      <c r="D576" s="183">
        <v>24</v>
      </c>
      <c r="E576" s="284">
        <f t="shared" ref="E576:L576" si="119">IF($D$567=2,E606,IF($D$567=3,E635,0))</f>
        <v>0</v>
      </c>
      <c r="F576" s="284">
        <f t="shared" si="119"/>
        <v>0</v>
      </c>
      <c r="G576" s="284">
        <f t="shared" si="119"/>
        <v>0</v>
      </c>
      <c r="H576" s="284">
        <f t="shared" si="119"/>
        <v>0</v>
      </c>
      <c r="I576" s="284">
        <f t="shared" si="119"/>
        <v>0</v>
      </c>
      <c r="J576" s="284">
        <f t="shared" si="119"/>
        <v>0</v>
      </c>
      <c r="K576" s="284">
        <f t="shared" si="119"/>
        <v>0</v>
      </c>
      <c r="L576" s="284">
        <f t="shared" si="119"/>
        <v>0</v>
      </c>
    </row>
    <row r="577" spans="3:12" x14ac:dyDescent="0.3">
      <c r="C577" s="191" t="s">
        <v>315</v>
      </c>
      <c r="D577" s="183">
        <v>26</v>
      </c>
      <c r="E577" s="284">
        <f t="shared" ref="E577:L577" si="120">IF($D$567=2,E607,IF($D$567=3,E636,0))</f>
        <v>0</v>
      </c>
      <c r="F577" s="284">
        <f t="shared" si="120"/>
        <v>0</v>
      </c>
      <c r="G577" s="284">
        <f t="shared" si="120"/>
        <v>0</v>
      </c>
      <c r="H577" s="284">
        <f t="shared" si="120"/>
        <v>0</v>
      </c>
      <c r="I577" s="284">
        <f t="shared" si="120"/>
        <v>0</v>
      </c>
      <c r="J577" s="284">
        <f t="shared" si="120"/>
        <v>0</v>
      </c>
      <c r="K577" s="284">
        <f t="shared" si="120"/>
        <v>0</v>
      </c>
      <c r="L577" s="284">
        <f t="shared" si="120"/>
        <v>0</v>
      </c>
    </row>
    <row r="578" spans="3:12" x14ac:dyDescent="0.3">
      <c r="C578" s="191" t="s">
        <v>38</v>
      </c>
      <c r="D578" s="183">
        <v>29</v>
      </c>
      <c r="E578" s="284">
        <f t="shared" ref="E578:L578" si="121">IF($D$567=2,E608,IF($D$567=3,E637,0))</f>
        <v>0</v>
      </c>
      <c r="F578" s="284">
        <f t="shared" si="121"/>
        <v>0</v>
      </c>
      <c r="G578" s="284">
        <f t="shared" si="121"/>
        <v>0</v>
      </c>
      <c r="H578" s="284">
        <f t="shared" si="121"/>
        <v>0</v>
      </c>
      <c r="I578" s="284">
        <f t="shared" si="121"/>
        <v>0</v>
      </c>
      <c r="J578" s="284">
        <f t="shared" si="121"/>
        <v>0</v>
      </c>
      <c r="K578" s="284">
        <f t="shared" si="121"/>
        <v>0</v>
      </c>
      <c r="L578" s="284">
        <f t="shared" si="121"/>
        <v>0</v>
      </c>
    </row>
    <row r="579" spans="3:12" x14ac:dyDescent="0.3">
      <c r="C579" s="191" t="s">
        <v>136</v>
      </c>
      <c r="D579" s="183">
        <v>30</v>
      </c>
      <c r="E579" s="284">
        <f t="shared" ref="E579:L579" si="122">IF($D$567=2,E609,IF($D$567=3,E638,0))</f>
        <v>0</v>
      </c>
      <c r="F579" s="284">
        <f t="shared" si="122"/>
        <v>0</v>
      </c>
      <c r="G579" s="284">
        <f t="shared" si="122"/>
        <v>0</v>
      </c>
      <c r="H579" s="284">
        <f t="shared" si="122"/>
        <v>0</v>
      </c>
      <c r="I579" s="284">
        <f t="shared" si="122"/>
        <v>0</v>
      </c>
      <c r="J579" s="284">
        <f t="shared" si="122"/>
        <v>0</v>
      </c>
      <c r="K579" s="284">
        <f t="shared" si="122"/>
        <v>0</v>
      </c>
      <c r="L579" s="284">
        <f t="shared" si="122"/>
        <v>0</v>
      </c>
    </row>
    <row r="580" spans="3:12" x14ac:dyDescent="0.3">
      <c r="C580" s="191" t="s">
        <v>360</v>
      </c>
      <c r="D580" s="183">
        <v>31</v>
      </c>
      <c r="E580" s="284">
        <f t="shared" ref="E580:L580" si="123">IF($D$567=2,E610,IF($D$567=3,E639,0))</f>
        <v>0</v>
      </c>
      <c r="F580" s="284">
        <f t="shared" si="123"/>
        <v>0</v>
      </c>
      <c r="G580" s="284">
        <f t="shared" si="123"/>
        <v>0</v>
      </c>
      <c r="H580" s="284">
        <f t="shared" si="123"/>
        <v>0</v>
      </c>
      <c r="I580" s="284">
        <f t="shared" si="123"/>
        <v>0</v>
      </c>
      <c r="J580" s="284">
        <f t="shared" si="123"/>
        <v>0</v>
      </c>
      <c r="K580" s="284">
        <f t="shared" si="123"/>
        <v>0</v>
      </c>
      <c r="L580" s="284">
        <f t="shared" si="123"/>
        <v>0</v>
      </c>
    </row>
    <row r="581" spans="3:12" x14ac:dyDescent="0.3">
      <c r="C581" s="191" t="s">
        <v>361</v>
      </c>
      <c r="D581" s="183">
        <v>32</v>
      </c>
      <c r="E581" s="284">
        <f t="shared" ref="E581:L581" si="124">IF($D$567=2,E611,IF($D$567=3,E640,0))</f>
        <v>0</v>
      </c>
      <c r="F581" s="284">
        <f t="shared" si="124"/>
        <v>0</v>
      </c>
      <c r="G581" s="284">
        <f t="shared" si="124"/>
        <v>0</v>
      </c>
      <c r="H581" s="284">
        <f t="shared" si="124"/>
        <v>0</v>
      </c>
      <c r="I581" s="284">
        <f t="shared" si="124"/>
        <v>0</v>
      </c>
      <c r="J581" s="284">
        <f t="shared" si="124"/>
        <v>0</v>
      </c>
      <c r="K581" s="284">
        <f t="shared" si="124"/>
        <v>0</v>
      </c>
      <c r="L581" s="284">
        <f t="shared" si="124"/>
        <v>0</v>
      </c>
    </row>
    <row r="582" spans="3:12" x14ac:dyDescent="0.3">
      <c r="C582" s="191" t="s">
        <v>362</v>
      </c>
      <c r="D582" s="183">
        <v>33</v>
      </c>
      <c r="E582" s="284">
        <f t="shared" ref="E582:L582" si="125">IF($D$567=2,E612,IF($D$567=3,E641,0))</f>
        <v>0</v>
      </c>
      <c r="F582" s="284">
        <f t="shared" si="125"/>
        <v>0</v>
      </c>
      <c r="G582" s="284">
        <f t="shared" si="125"/>
        <v>0</v>
      </c>
      <c r="H582" s="284">
        <f t="shared" si="125"/>
        <v>0</v>
      </c>
      <c r="I582" s="284">
        <f t="shared" si="125"/>
        <v>0</v>
      </c>
      <c r="J582" s="284">
        <f t="shared" si="125"/>
        <v>0</v>
      </c>
      <c r="K582" s="284">
        <f t="shared" si="125"/>
        <v>0</v>
      </c>
      <c r="L582" s="284">
        <f t="shared" si="125"/>
        <v>0</v>
      </c>
    </row>
    <row r="583" spans="3:12" x14ac:dyDescent="0.3">
      <c r="C583" s="191" t="s">
        <v>363</v>
      </c>
      <c r="D583" s="183">
        <v>55</v>
      </c>
      <c r="E583" s="284">
        <f t="shared" ref="E583:L583" si="126">IF($D$567=2,E613,IF($D$567=3,E642,0))</f>
        <v>0</v>
      </c>
      <c r="F583" s="284">
        <f t="shared" si="126"/>
        <v>0</v>
      </c>
      <c r="G583" s="284">
        <f t="shared" si="126"/>
        <v>0</v>
      </c>
      <c r="H583" s="284">
        <f t="shared" si="126"/>
        <v>0</v>
      </c>
      <c r="I583" s="284">
        <f t="shared" si="126"/>
        <v>0</v>
      </c>
      <c r="J583" s="284">
        <f t="shared" si="126"/>
        <v>0</v>
      </c>
      <c r="K583" s="284">
        <f t="shared" si="126"/>
        <v>0</v>
      </c>
      <c r="L583" s="284">
        <f t="shared" si="126"/>
        <v>0</v>
      </c>
    </row>
    <row r="584" spans="3:12" x14ac:dyDescent="0.3">
      <c r="C584" s="259" t="s">
        <v>204</v>
      </c>
      <c r="D584" s="251">
        <v>101</v>
      </c>
      <c r="E584" s="284">
        <f t="shared" ref="E584:L584" si="127">IF($D$567=2,E614,IF($D$567=3,E643,0))</f>
        <v>0</v>
      </c>
      <c r="F584" s="284">
        <f t="shared" si="127"/>
        <v>0</v>
      </c>
      <c r="G584" s="284">
        <f t="shared" si="127"/>
        <v>0</v>
      </c>
      <c r="H584" s="284">
        <f t="shared" si="127"/>
        <v>0</v>
      </c>
      <c r="I584" s="284">
        <f t="shared" si="127"/>
        <v>0</v>
      </c>
      <c r="J584" s="284">
        <f t="shared" si="127"/>
        <v>0</v>
      </c>
      <c r="K584" s="284">
        <f t="shared" si="127"/>
        <v>0</v>
      </c>
      <c r="L584" s="284">
        <f t="shared" si="127"/>
        <v>0</v>
      </c>
    </row>
    <row r="585" spans="3:12" x14ac:dyDescent="0.3">
      <c r="C585" s="259" t="s">
        <v>364</v>
      </c>
      <c r="D585" s="251">
        <v>102</v>
      </c>
      <c r="E585" s="284">
        <f t="shared" ref="E585:L585" si="128">IF($D$567=2,E615,IF($D$567=3,E644,0))</f>
        <v>0</v>
      </c>
      <c r="F585" s="284">
        <f t="shared" si="128"/>
        <v>0</v>
      </c>
      <c r="G585" s="284">
        <f t="shared" si="128"/>
        <v>0</v>
      </c>
      <c r="H585" s="284">
        <f t="shared" si="128"/>
        <v>0</v>
      </c>
      <c r="I585" s="284">
        <f t="shared" si="128"/>
        <v>0</v>
      </c>
      <c r="J585" s="284">
        <f t="shared" si="128"/>
        <v>0</v>
      </c>
      <c r="K585" s="284">
        <f t="shared" si="128"/>
        <v>0</v>
      </c>
      <c r="L585" s="284">
        <f t="shared" si="128"/>
        <v>0</v>
      </c>
    </row>
    <row r="586" spans="3:12" x14ac:dyDescent="0.3">
      <c r="C586" s="259" t="s">
        <v>457</v>
      </c>
      <c r="D586" s="251">
        <v>103</v>
      </c>
      <c r="E586" s="284">
        <f t="shared" ref="E586:L586" si="129">IF($D$567=2,E616,IF($D$567=3,E645,0))</f>
        <v>0</v>
      </c>
      <c r="F586" s="284">
        <f t="shared" si="129"/>
        <v>0</v>
      </c>
      <c r="G586" s="284">
        <f t="shared" si="129"/>
        <v>0</v>
      </c>
      <c r="H586" s="284">
        <f t="shared" si="129"/>
        <v>0</v>
      </c>
      <c r="I586" s="284">
        <f t="shared" si="129"/>
        <v>0</v>
      </c>
      <c r="J586" s="284">
        <f t="shared" si="129"/>
        <v>0</v>
      </c>
      <c r="K586" s="284">
        <f t="shared" si="129"/>
        <v>0</v>
      </c>
      <c r="L586" s="284">
        <f t="shared" si="129"/>
        <v>0</v>
      </c>
    </row>
    <row r="587" spans="3:12" x14ac:dyDescent="0.3">
      <c r="C587" s="260" t="s">
        <v>110</v>
      </c>
      <c r="D587" s="252">
        <v>104</v>
      </c>
      <c r="E587" s="284">
        <f t="shared" ref="E587:L587" si="130">IF($D$567=2,E617,IF($D$567=3,E646,0))</f>
        <v>0</v>
      </c>
      <c r="F587" s="284">
        <f t="shared" si="130"/>
        <v>0</v>
      </c>
      <c r="G587" s="284">
        <f t="shared" si="130"/>
        <v>0</v>
      </c>
      <c r="H587" s="284">
        <f t="shared" si="130"/>
        <v>0</v>
      </c>
      <c r="I587" s="284">
        <f t="shared" si="130"/>
        <v>0</v>
      </c>
      <c r="J587" s="284">
        <f t="shared" si="130"/>
        <v>0</v>
      </c>
      <c r="K587" s="284">
        <f t="shared" si="130"/>
        <v>0</v>
      </c>
      <c r="L587" s="284">
        <f t="shared" si="130"/>
        <v>0</v>
      </c>
    </row>
    <row r="588" spans="3:12" x14ac:dyDescent="0.3">
      <c r="C588" s="259" t="s">
        <v>53</v>
      </c>
      <c r="D588" s="251">
        <v>105</v>
      </c>
      <c r="E588" s="284">
        <f t="shared" ref="E588:L588" si="131">IF($D$567=2,E618,IF($D$567=3,E647,0))</f>
        <v>0</v>
      </c>
      <c r="F588" s="284">
        <f t="shared" si="131"/>
        <v>0</v>
      </c>
      <c r="G588" s="284">
        <f t="shared" si="131"/>
        <v>0</v>
      </c>
      <c r="H588" s="284">
        <f t="shared" si="131"/>
        <v>0</v>
      </c>
      <c r="I588" s="284">
        <f t="shared" si="131"/>
        <v>0</v>
      </c>
      <c r="J588" s="284">
        <f t="shared" si="131"/>
        <v>0</v>
      </c>
      <c r="K588" s="284">
        <f t="shared" si="131"/>
        <v>0</v>
      </c>
      <c r="L588" s="284">
        <f t="shared" si="131"/>
        <v>0</v>
      </c>
    </row>
    <row r="589" spans="3:12" x14ac:dyDescent="0.3">
      <c r="C589" s="259" t="s">
        <v>666</v>
      </c>
      <c r="D589" s="251">
        <v>106</v>
      </c>
      <c r="E589" s="284"/>
      <c r="F589" s="284"/>
      <c r="G589" s="284"/>
      <c r="H589" s="284"/>
      <c r="I589" s="284"/>
      <c r="J589" s="284"/>
      <c r="K589" s="284"/>
      <c r="L589" s="284"/>
    </row>
    <row r="590" spans="3:12" x14ac:dyDescent="0.3">
      <c r="C590" s="183" t="s">
        <v>321</v>
      </c>
      <c r="D590" s="253" t="s">
        <v>293</v>
      </c>
      <c r="E590" s="284">
        <f t="shared" ref="E590:L590" si="132">IF($D$567=2,E619,IF($D$567=3,E648,0))</f>
        <v>0</v>
      </c>
      <c r="F590" s="284">
        <f t="shared" si="132"/>
        <v>0</v>
      </c>
      <c r="G590" s="284">
        <f t="shared" si="132"/>
        <v>0</v>
      </c>
      <c r="H590" s="284">
        <f t="shared" si="132"/>
        <v>0</v>
      </c>
      <c r="I590" s="284">
        <f t="shared" si="132"/>
        <v>0</v>
      </c>
      <c r="J590" s="284">
        <f t="shared" si="132"/>
        <v>0</v>
      </c>
      <c r="K590" s="284">
        <f t="shared" si="132"/>
        <v>0</v>
      </c>
      <c r="L590" s="284">
        <f t="shared" si="132"/>
        <v>0</v>
      </c>
    </row>
    <row r="591" spans="3:12" x14ac:dyDescent="0.3">
      <c r="C591" s="191" t="s">
        <v>650</v>
      </c>
      <c r="D591" s="253" t="s">
        <v>75</v>
      </c>
      <c r="E591" s="284">
        <f t="shared" ref="E591:L591" si="133">IF($D$567=2,E620,IF($D$567=3,E649,0))</f>
        <v>0</v>
      </c>
      <c r="F591" s="284">
        <f t="shared" si="133"/>
        <v>0</v>
      </c>
      <c r="G591" s="284">
        <f t="shared" si="133"/>
        <v>0</v>
      </c>
      <c r="H591" s="284">
        <f t="shared" si="133"/>
        <v>0</v>
      </c>
      <c r="I591" s="284">
        <f t="shared" si="133"/>
        <v>0</v>
      </c>
      <c r="J591" s="284">
        <f t="shared" si="133"/>
        <v>0</v>
      </c>
      <c r="K591" s="284">
        <f t="shared" si="133"/>
        <v>0</v>
      </c>
      <c r="L591" s="284">
        <f t="shared" si="133"/>
        <v>0</v>
      </c>
    </row>
    <row r="592" spans="3:12" x14ac:dyDescent="0.3">
      <c r="C592" s="279" t="s">
        <v>323</v>
      </c>
      <c r="D592" s="253" t="s">
        <v>75</v>
      </c>
      <c r="E592" s="284">
        <f t="shared" ref="E592:L592" si="134">IF($D$567=2,E621,IF($D$567=3,E650,0))</f>
        <v>0</v>
      </c>
      <c r="F592" s="284">
        <f t="shared" si="134"/>
        <v>0</v>
      </c>
      <c r="G592" s="284">
        <f t="shared" si="134"/>
        <v>0</v>
      </c>
      <c r="H592" s="284">
        <f t="shared" si="134"/>
        <v>0</v>
      </c>
      <c r="I592" s="284">
        <f t="shared" si="134"/>
        <v>0</v>
      </c>
      <c r="J592" s="284">
        <f t="shared" si="134"/>
        <v>0</v>
      </c>
      <c r="K592" s="284">
        <f t="shared" si="134"/>
        <v>0</v>
      </c>
      <c r="L592" s="284">
        <f t="shared" si="134"/>
        <v>0</v>
      </c>
    </row>
    <row r="593" spans="2:12" x14ac:dyDescent="0.3">
      <c r="C593" s="279" t="s">
        <v>324</v>
      </c>
      <c r="D593" s="253" t="s">
        <v>75</v>
      </c>
      <c r="E593" s="284">
        <f t="shared" ref="E593:L593" si="135">IF($D$567=2,E622,IF($D$567=3,E651,0))</f>
        <v>0</v>
      </c>
      <c r="F593" s="284">
        <f t="shared" si="135"/>
        <v>0</v>
      </c>
      <c r="G593" s="284">
        <f t="shared" si="135"/>
        <v>0</v>
      </c>
      <c r="H593" s="284">
        <f t="shared" si="135"/>
        <v>0</v>
      </c>
      <c r="I593" s="284">
        <f t="shared" si="135"/>
        <v>0</v>
      </c>
      <c r="J593" s="284">
        <f t="shared" si="135"/>
        <v>0</v>
      </c>
      <c r="K593" s="284">
        <f t="shared" si="135"/>
        <v>0</v>
      </c>
      <c r="L593" s="284">
        <f t="shared" si="135"/>
        <v>0</v>
      </c>
    </row>
    <row r="594" spans="2:12" x14ac:dyDescent="0.3">
      <c r="C594" s="280" t="s">
        <v>325</v>
      </c>
      <c r="D594" s="253" t="s">
        <v>75</v>
      </c>
      <c r="E594" s="284">
        <f t="shared" ref="E594:L594" si="136">IF($D$567=2,E623,IF($D$567=3,E652,0))</f>
        <v>0</v>
      </c>
      <c r="F594" s="284">
        <f t="shared" si="136"/>
        <v>0</v>
      </c>
      <c r="G594" s="284">
        <f t="shared" si="136"/>
        <v>0</v>
      </c>
      <c r="H594" s="284">
        <f t="shared" si="136"/>
        <v>0</v>
      </c>
      <c r="I594" s="284">
        <f t="shared" si="136"/>
        <v>0</v>
      </c>
      <c r="J594" s="284">
        <f t="shared" si="136"/>
        <v>0</v>
      </c>
      <c r="K594" s="284">
        <f t="shared" si="136"/>
        <v>0</v>
      </c>
      <c r="L594" s="284">
        <f t="shared" si="136"/>
        <v>0</v>
      </c>
    </row>
    <row r="595" spans="2:12" x14ac:dyDescent="0.3">
      <c r="C595" s="280" t="s">
        <v>541</v>
      </c>
      <c r="D595" s="253" t="s">
        <v>75</v>
      </c>
      <c r="E595" s="284">
        <f t="shared" ref="E595:L595" si="137">IF($D$567=2,E624,IF($D$567=3,E653,0))</f>
        <v>0</v>
      </c>
      <c r="F595" s="284">
        <f t="shared" si="137"/>
        <v>0</v>
      </c>
      <c r="G595" s="284">
        <f t="shared" si="137"/>
        <v>0</v>
      </c>
      <c r="H595" s="284">
        <f t="shared" si="137"/>
        <v>0</v>
      </c>
      <c r="I595" s="284">
        <f t="shared" si="137"/>
        <v>0</v>
      </c>
      <c r="J595" s="284">
        <f t="shared" si="137"/>
        <v>0</v>
      </c>
      <c r="K595" s="284">
        <f t="shared" si="137"/>
        <v>0</v>
      </c>
      <c r="L595" s="284">
        <f t="shared" si="137"/>
        <v>0</v>
      </c>
    </row>
    <row r="596" spans="2:12" x14ac:dyDescent="0.3">
      <c r="C596" s="301" t="s">
        <v>326</v>
      </c>
      <c r="D596" s="253" t="s">
        <v>306</v>
      </c>
      <c r="E596" s="284">
        <f t="shared" ref="E596:L596" si="138">IF($D$567=2,E625,IF($D$567=3,E654,0))</f>
        <v>0</v>
      </c>
      <c r="F596" s="284">
        <f t="shared" si="138"/>
        <v>0</v>
      </c>
      <c r="G596" s="284">
        <f t="shared" si="138"/>
        <v>0</v>
      </c>
      <c r="H596" s="284">
        <f t="shared" si="138"/>
        <v>0</v>
      </c>
      <c r="I596" s="284">
        <f t="shared" si="138"/>
        <v>0</v>
      </c>
      <c r="J596" s="284">
        <f t="shared" si="138"/>
        <v>0</v>
      </c>
      <c r="K596" s="284">
        <f t="shared" si="138"/>
        <v>0</v>
      </c>
      <c r="L596" s="284">
        <f t="shared" si="138"/>
        <v>0</v>
      </c>
    </row>
    <row r="597" spans="2:12" x14ac:dyDescent="0.3">
      <c r="C597" s="301" t="s">
        <v>387</v>
      </c>
      <c r="D597" s="253" t="s">
        <v>388</v>
      </c>
      <c r="E597" s="284">
        <f t="shared" ref="E597:L597" si="139">IF($D$567=2,E626,IF($D$567=3,E655,0))</f>
        <v>0</v>
      </c>
      <c r="F597" s="284">
        <f t="shared" si="139"/>
        <v>0</v>
      </c>
      <c r="G597" s="284">
        <f t="shared" si="139"/>
        <v>0</v>
      </c>
      <c r="H597" s="284">
        <f t="shared" si="139"/>
        <v>0</v>
      </c>
      <c r="I597" s="284">
        <f t="shared" si="139"/>
        <v>0</v>
      </c>
      <c r="J597" s="284">
        <f t="shared" si="139"/>
        <v>0</v>
      </c>
      <c r="K597" s="284">
        <f t="shared" si="139"/>
        <v>0</v>
      </c>
      <c r="L597" s="284">
        <f t="shared" si="139"/>
        <v>0</v>
      </c>
    </row>
    <row r="598" spans="2:12" x14ac:dyDescent="0.3">
      <c r="H598" s="113"/>
    </row>
    <row r="599" spans="2:12" ht="11.25" customHeight="1" x14ac:dyDescent="0.3">
      <c r="B599" s="106"/>
      <c r="C599" s="283" t="s">
        <v>630</v>
      </c>
      <c r="D599" s="119"/>
      <c r="E599" s="195"/>
      <c r="F599" s="106"/>
      <c r="G599" s="112"/>
    </row>
    <row r="600" spans="2:12" x14ac:dyDescent="0.3">
      <c r="C600" s="282" t="s">
        <v>259</v>
      </c>
      <c r="D600" s="253" t="s">
        <v>318</v>
      </c>
      <c r="E600" s="183">
        <v>2015</v>
      </c>
      <c r="F600" s="183">
        <v>2020</v>
      </c>
      <c r="G600" s="183">
        <v>2025</v>
      </c>
      <c r="H600" s="183">
        <v>2030</v>
      </c>
      <c r="I600" s="183">
        <v>2035</v>
      </c>
      <c r="J600" s="183">
        <v>2040</v>
      </c>
      <c r="K600" s="183">
        <v>2045</v>
      </c>
      <c r="L600" s="183">
        <v>2050</v>
      </c>
    </row>
    <row r="601" spans="2:12" x14ac:dyDescent="0.3">
      <c r="C601" s="191" t="s">
        <v>231</v>
      </c>
      <c r="D601" s="183">
        <v>1</v>
      </c>
      <c r="E601" s="284">
        <f>VLOOKUP($D601,Elektrivõrgud!$C$60:$K$68,Elektrivõrgud!D$59)</f>
        <v>0</v>
      </c>
      <c r="F601" s="284">
        <f>VLOOKUP($D601,Elektrivõrgud!$C$60:$K$68,Elektrivõrgud!E$59)</f>
        <v>-1.268999999999999</v>
      </c>
      <c r="G601" s="284">
        <f>VLOOKUP($D601,Elektrivõrgud!$C$60:$K$68,Elektrivõrgud!F$59)</f>
        <v>-1.7474999999999998</v>
      </c>
      <c r="H601" s="284">
        <f>VLOOKUP($D601,Elektrivõrgud!$C$60:$K$68,Elektrivõrgud!G$59)</f>
        <v>-1.2150000000000001</v>
      </c>
      <c r="I601" s="284">
        <f>VLOOKUP($D601,Elektrivõrgud!$C$60:$K$68,Elektrivõrgud!H$59)</f>
        <v>-1.2149999999999996</v>
      </c>
      <c r="J601" s="284">
        <f>VLOOKUP($D601,Elektrivõrgud!$C$60:$K$68,Elektrivõrgud!I$59)</f>
        <v>-1.2149999999999996</v>
      </c>
      <c r="K601" s="284">
        <f>VLOOKUP($D601,Elektrivõrgud!$C$60:$K$68,Elektrivõrgud!J$59)</f>
        <v>-1.2149999999999996</v>
      </c>
      <c r="L601" s="284">
        <f>VLOOKUP($D601,Elektrivõrgud!$C$60:$K$68,Elektrivõrgud!K$59)</f>
        <v>-1.2149999999999999</v>
      </c>
    </row>
    <row r="602" spans="2:12" x14ac:dyDescent="0.3">
      <c r="C602" s="191" t="s">
        <v>209</v>
      </c>
      <c r="D602" s="183">
        <v>2</v>
      </c>
      <c r="E602" s="284"/>
      <c r="F602" s="284"/>
      <c r="G602" s="284"/>
      <c r="H602" s="284"/>
      <c r="I602" s="284"/>
      <c r="J602" s="284"/>
      <c r="K602" s="284"/>
      <c r="L602" s="284"/>
    </row>
    <row r="603" spans="2:12" x14ac:dyDescent="0.3">
      <c r="C603" s="191" t="s">
        <v>417</v>
      </c>
      <c r="D603" s="183">
        <v>4</v>
      </c>
      <c r="E603" s="284"/>
      <c r="F603" s="284"/>
      <c r="G603" s="284"/>
      <c r="H603" s="284"/>
      <c r="I603" s="284"/>
      <c r="J603" s="284"/>
      <c r="K603" s="284"/>
      <c r="L603" s="284"/>
    </row>
    <row r="604" spans="2:12" x14ac:dyDescent="0.3">
      <c r="C604" s="191" t="s">
        <v>124</v>
      </c>
      <c r="D604" s="183">
        <v>10</v>
      </c>
      <c r="E604" s="284"/>
      <c r="F604" s="284"/>
      <c r="G604" s="284"/>
      <c r="H604" s="284"/>
      <c r="I604" s="284"/>
      <c r="J604" s="284"/>
      <c r="K604" s="284"/>
      <c r="L604" s="284"/>
    </row>
    <row r="605" spans="2:12" x14ac:dyDescent="0.3">
      <c r="C605" s="191" t="s">
        <v>133</v>
      </c>
      <c r="D605" s="183">
        <v>23</v>
      </c>
      <c r="E605" s="284">
        <f>VLOOKUP($D605,Elektrivõrgud!$C$60:$K$68,Elektrivõrgud!D$59)</f>
        <v>0</v>
      </c>
      <c r="F605" s="284">
        <f>VLOOKUP($D605,Elektrivõrgud!$C$60:$K$68,Elektrivõrgud!E$59)</f>
        <v>0</v>
      </c>
      <c r="G605" s="284">
        <f>VLOOKUP($D605,Elektrivõrgud!$C$60:$K$68,Elektrivõrgud!F$59)</f>
        <v>0</v>
      </c>
      <c r="H605" s="284">
        <f>VLOOKUP($D605,Elektrivõrgud!$C$60:$K$68,Elektrivõrgud!G$59)</f>
        <v>0</v>
      </c>
      <c r="I605" s="284">
        <f>VLOOKUP($D605,Elektrivõrgud!$C$60:$K$68,Elektrivõrgud!H$59)</f>
        <v>0</v>
      </c>
      <c r="J605" s="284">
        <f>VLOOKUP($D605,Elektrivõrgud!$C$60:$K$68,Elektrivõrgud!I$59)</f>
        <v>0</v>
      </c>
      <c r="K605" s="284">
        <f>VLOOKUP($D605,Elektrivõrgud!$C$60:$K$68,Elektrivõrgud!J$59)</f>
        <v>0</v>
      </c>
      <c r="L605" s="284">
        <f>VLOOKUP($D605,Elektrivõrgud!$C$60:$K$68,Elektrivõrgud!K$59)</f>
        <v>0</v>
      </c>
    </row>
    <row r="606" spans="2:12" x14ac:dyDescent="0.3">
      <c r="C606" s="191" t="s">
        <v>285</v>
      </c>
      <c r="D606" s="183">
        <v>24</v>
      </c>
      <c r="E606" s="284">
        <f>VLOOKUP($D606,Elektrivõrgud!$C$60:$K$68,Elektrivõrgud!D$59)</f>
        <v>0</v>
      </c>
      <c r="F606" s="284">
        <f>VLOOKUP($D606,Elektrivõrgud!$C$60:$K$68,Elektrivõrgud!E$59)</f>
        <v>-0.42299999999999971</v>
      </c>
      <c r="G606" s="284">
        <f>VLOOKUP($D606,Elektrivõrgud!$C$60:$K$68,Elektrivõrgud!F$59)</f>
        <v>-0.58249999999999991</v>
      </c>
      <c r="H606" s="284">
        <f>VLOOKUP($D606,Elektrivõrgud!$C$60:$K$68,Elektrivõrgud!G$59)</f>
        <v>-0.40500000000000008</v>
      </c>
      <c r="I606" s="284">
        <f>VLOOKUP($D606,Elektrivõrgud!$C$60:$K$68,Elektrivõrgud!H$59)</f>
        <v>-0.40499999999999992</v>
      </c>
      <c r="J606" s="284">
        <f>VLOOKUP($D606,Elektrivõrgud!$C$60:$K$68,Elektrivõrgud!I$59)</f>
        <v>-0.40499999999999992</v>
      </c>
      <c r="K606" s="284">
        <f>VLOOKUP($D606,Elektrivõrgud!$C$60:$K$68,Elektrivõrgud!J$59)</f>
        <v>-0.40499999999999992</v>
      </c>
      <c r="L606" s="284">
        <f>VLOOKUP($D606,Elektrivõrgud!$C$60:$K$68,Elektrivõrgud!K$59)</f>
        <v>-0.40500000000000003</v>
      </c>
    </row>
    <row r="607" spans="2:12" x14ac:dyDescent="0.3">
      <c r="C607" s="191" t="s">
        <v>315</v>
      </c>
      <c r="D607" s="183">
        <v>26</v>
      </c>
      <c r="E607" s="284">
        <f>VLOOKUP($D607,Elektrivõrgud!$C$60:$K$68,Elektrivõrgud!D$59)</f>
        <v>0</v>
      </c>
      <c r="F607" s="284">
        <f>VLOOKUP($D607,Elektrivõrgud!$C$60:$K$68,Elektrivõrgud!E$59)</f>
        <v>0</v>
      </c>
      <c r="G607" s="284">
        <f>VLOOKUP($D607,Elektrivõrgud!$C$60:$K$68,Elektrivõrgud!F$59)</f>
        <v>0</v>
      </c>
      <c r="H607" s="284">
        <f>VLOOKUP($D607,Elektrivõrgud!$C$60:$K$68,Elektrivõrgud!G$59)</f>
        <v>0</v>
      </c>
      <c r="I607" s="284">
        <f>VLOOKUP($D607,Elektrivõrgud!$C$60:$K$68,Elektrivõrgud!H$59)</f>
        <v>0</v>
      </c>
      <c r="J607" s="284">
        <f>VLOOKUP($D607,Elektrivõrgud!$C$60:$K$68,Elektrivõrgud!I$59)</f>
        <v>0</v>
      </c>
      <c r="K607" s="284">
        <f>VLOOKUP($D607,Elektrivõrgud!$C$60:$K$68,Elektrivõrgud!J$59)</f>
        <v>0</v>
      </c>
      <c r="L607" s="284">
        <f>VLOOKUP($D607,Elektrivõrgud!$C$60:$K$68,Elektrivõrgud!K$59)</f>
        <v>0</v>
      </c>
    </row>
    <row r="608" spans="2:12" x14ac:dyDescent="0.3">
      <c r="C608" s="191" t="s">
        <v>38</v>
      </c>
      <c r="D608" s="183">
        <v>29</v>
      </c>
      <c r="E608" s="284">
        <f>VLOOKUP($D608,Elektrivõrgud!$C$60:$K$68,Elektrivõrgud!D$59)</f>
        <v>40.5</v>
      </c>
      <c r="F608" s="284">
        <f>VLOOKUP($D608,Elektrivõrgud!$C$60:$K$68,Elektrivõrgud!E$59)</f>
        <v>40.5</v>
      </c>
      <c r="G608" s="284">
        <f>VLOOKUP($D608,Elektrivõrgud!$C$60:$K$68,Elektrivõrgud!F$59)</f>
        <v>40.5</v>
      </c>
      <c r="H608" s="284">
        <f>VLOOKUP($D608,Elektrivõrgud!$C$60:$K$68,Elektrivõrgud!G$59)</f>
        <v>40.5</v>
      </c>
      <c r="I608" s="284">
        <f>VLOOKUP($D608,Elektrivõrgud!$C$60:$K$68,Elektrivõrgud!H$59)</f>
        <v>40.5</v>
      </c>
      <c r="J608" s="284">
        <f>VLOOKUP($D608,Elektrivõrgud!$C$60:$K$68,Elektrivõrgud!I$59)</f>
        <v>0</v>
      </c>
      <c r="K608" s="284">
        <f>VLOOKUP($D608,Elektrivõrgud!$C$60:$K$68,Elektrivõrgud!J$59)</f>
        <v>0</v>
      </c>
      <c r="L608" s="284">
        <f>VLOOKUP($D608,Elektrivõrgud!$C$60:$K$68,Elektrivõrgud!K$59)</f>
        <v>0</v>
      </c>
    </row>
    <row r="609" spans="3:12" x14ac:dyDescent="0.3">
      <c r="C609" s="191" t="s">
        <v>136</v>
      </c>
      <c r="D609" s="183">
        <v>30</v>
      </c>
      <c r="E609" s="284"/>
      <c r="F609" s="284"/>
      <c r="G609" s="284"/>
      <c r="H609" s="284"/>
      <c r="I609" s="284"/>
      <c r="J609" s="284"/>
      <c r="K609" s="284"/>
      <c r="L609" s="284"/>
    </row>
    <row r="610" spans="3:12" x14ac:dyDescent="0.3">
      <c r="C610" s="191" t="s">
        <v>360</v>
      </c>
      <c r="D610" s="183">
        <v>31</v>
      </c>
      <c r="E610" s="284"/>
      <c r="F610" s="284"/>
      <c r="G610" s="284"/>
      <c r="H610" s="284"/>
      <c r="I610" s="284"/>
      <c r="J610" s="284"/>
      <c r="K610" s="284"/>
      <c r="L610" s="284"/>
    </row>
    <row r="611" spans="3:12" x14ac:dyDescent="0.3">
      <c r="C611" s="191" t="s">
        <v>361</v>
      </c>
      <c r="D611" s="183">
        <v>32</v>
      </c>
      <c r="E611" s="284"/>
      <c r="F611" s="284"/>
      <c r="G611" s="284"/>
      <c r="H611" s="284"/>
      <c r="I611" s="284"/>
      <c r="J611" s="284"/>
      <c r="K611" s="284"/>
      <c r="L611" s="284"/>
    </row>
    <row r="612" spans="3:12" x14ac:dyDescent="0.3">
      <c r="C612" s="191" t="s">
        <v>362</v>
      </c>
      <c r="D612" s="183">
        <v>33</v>
      </c>
      <c r="E612" s="284">
        <f>VLOOKUP($D612,Elektrivõrgud!$C$60:$K$68,Elektrivõrgud!D$59)</f>
        <v>0</v>
      </c>
      <c r="F612" s="284">
        <f>VLOOKUP($D612,Elektrivõrgud!$C$60:$K$68,Elektrivõrgud!E$59)</f>
        <v>0</v>
      </c>
      <c r="G612" s="284">
        <f>VLOOKUP($D612,Elektrivõrgud!$C$60:$K$68,Elektrivõrgud!F$59)</f>
        <v>0</v>
      </c>
      <c r="H612" s="284">
        <f>VLOOKUP($D612,Elektrivõrgud!$C$60:$K$68,Elektrivõrgud!G$59)</f>
        <v>0</v>
      </c>
      <c r="I612" s="284">
        <f>VLOOKUP($D612,Elektrivõrgud!$C$60:$K$68,Elektrivõrgud!H$59)</f>
        <v>0</v>
      </c>
      <c r="J612" s="284">
        <f>VLOOKUP($D612,Elektrivõrgud!$C$60:$K$68,Elektrivõrgud!I$59)</f>
        <v>0</v>
      </c>
      <c r="K612" s="284">
        <f>VLOOKUP($D612,Elektrivõrgud!$C$60:$K$68,Elektrivõrgud!J$59)</f>
        <v>0</v>
      </c>
      <c r="L612" s="284">
        <f>VLOOKUP($D612,Elektrivõrgud!$C$60:$K$68,Elektrivõrgud!K$59)</f>
        <v>0</v>
      </c>
    </row>
    <row r="613" spans="3:12" x14ac:dyDescent="0.3">
      <c r="C613" s="191" t="s">
        <v>363</v>
      </c>
      <c r="D613" s="183">
        <v>55</v>
      </c>
      <c r="E613" s="284">
        <f>VLOOKUP($D613,Elektrivõrgud!$C$60:$K$68,Elektrivõrgud!D$59)</f>
        <v>0</v>
      </c>
      <c r="F613" s="284">
        <f>VLOOKUP($D613,Elektrivõrgud!$C$60:$K$68,Elektrivõrgud!E$59)</f>
        <v>0</v>
      </c>
      <c r="G613" s="284">
        <f>VLOOKUP($D613,Elektrivõrgud!$C$60:$K$68,Elektrivõrgud!F$59)</f>
        <v>0</v>
      </c>
      <c r="H613" s="284">
        <f>VLOOKUP($D613,Elektrivõrgud!$C$60:$K$68,Elektrivõrgud!G$59)</f>
        <v>0</v>
      </c>
      <c r="I613" s="284">
        <f>VLOOKUP($D613,Elektrivõrgud!$C$60:$K$68,Elektrivõrgud!H$59)</f>
        <v>0</v>
      </c>
      <c r="J613" s="284">
        <f>VLOOKUP($D613,Elektrivõrgud!$C$60:$K$68,Elektrivõrgud!I$59)</f>
        <v>0</v>
      </c>
      <c r="K613" s="284">
        <f>VLOOKUP($D613,Elektrivõrgud!$C$60:$K$68,Elektrivõrgud!J$59)</f>
        <v>0</v>
      </c>
      <c r="L613" s="284">
        <f>VLOOKUP($D613,Elektrivõrgud!$C$60:$K$68,Elektrivõrgud!K$59)</f>
        <v>0</v>
      </c>
    </row>
    <row r="614" spans="3:12" x14ac:dyDescent="0.3">
      <c r="C614" s="259" t="s">
        <v>204</v>
      </c>
      <c r="D614" s="251">
        <v>101</v>
      </c>
      <c r="E614" s="284">
        <f>VLOOKUP($D614,Elektrivõrgud!$C$60:$K$68,Elektrivõrgud!D$59)</f>
        <v>0</v>
      </c>
      <c r="F614" s="284">
        <f>VLOOKUP($D614,Elektrivõrgud!$C$60:$K$68,Elektrivõrgud!E$59)</f>
        <v>0</v>
      </c>
      <c r="G614" s="284">
        <f>VLOOKUP($D614,Elektrivõrgud!$C$60:$K$68,Elektrivõrgud!F$59)</f>
        <v>0</v>
      </c>
      <c r="H614" s="284">
        <f>VLOOKUP($D614,Elektrivõrgud!$C$60:$K$68,Elektrivõrgud!G$59)</f>
        <v>0</v>
      </c>
      <c r="I614" s="284">
        <f>VLOOKUP($D614,Elektrivõrgud!$C$60:$K$68,Elektrivõrgud!H$59)</f>
        <v>0</v>
      </c>
      <c r="J614" s="284">
        <f>VLOOKUP($D614,Elektrivõrgud!$C$60:$K$68,Elektrivõrgud!I$59)</f>
        <v>0</v>
      </c>
      <c r="K614" s="284">
        <f>VLOOKUP($D614,Elektrivõrgud!$C$60:$K$68,Elektrivõrgud!J$59)</f>
        <v>0</v>
      </c>
      <c r="L614" s="284">
        <f>VLOOKUP($D614,Elektrivõrgud!$C$60:$K$68,Elektrivõrgud!K$59)</f>
        <v>0</v>
      </c>
    </row>
    <row r="615" spans="3:12" x14ac:dyDescent="0.3">
      <c r="C615" s="259" t="s">
        <v>364</v>
      </c>
      <c r="D615" s="251">
        <v>102</v>
      </c>
      <c r="E615" s="284">
        <f>VLOOKUP($D615,Elektrivõrgud!$C$60:$K$68,Elektrivõrgud!D$59)</f>
        <v>0</v>
      </c>
      <c r="F615" s="284">
        <f>VLOOKUP($D615,Elektrivõrgud!$C$60:$K$68,Elektrivõrgud!E$59)</f>
        <v>0</v>
      </c>
      <c r="G615" s="284">
        <f>VLOOKUP($D615,Elektrivõrgud!$C$60:$K$68,Elektrivõrgud!F$59)</f>
        <v>0</v>
      </c>
      <c r="H615" s="284">
        <f>VLOOKUP($D615,Elektrivõrgud!$C$60:$K$68,Elektrivõrgud!G$59)</f>
        <v>0</v>
      </c>
      <c r="I615" s="284">
        <f>VLOOKUP($D615,Elektrivõrgud!$C$60:$K$68,Elektrivõrgud!H$59)</f>
        <v>0</v>
      </c>
      <c r="J615" s="284">
        <f>VLOOKUP($D615,Elektrivõrgud!$C$60:$K$68,Elektrivõrgud!I$59)</f>
        <v>0</v>
      </c>
      <c r="K615" s="284">
        <f>VLOOKUP($D615,Elektrivõrgud!$C$60:$K$68,Elektrivõrgud!J$59)</f>
        <v>0</v>
      </c>
      <c r="L615" s="284">
        <f>VLOOKUP($D615,Elektrivõrgud!$C$60:$K$68,Elektrivõrgud!K$59)</f>
        <v>0</v>
      </c>
    </row>
    <row r="616" spans="3:12" x14ac:dyDescent="0.3">
      <c r="C616" s="259" t="s">
        <v>457</v>
      </c>
      <c r="D616" s="251">
        <v>103</v>
      </c>
      <c r="E616" s="284">
        <f>VLOOKUP($D616,Elektrivõrgud!$C$60:$K$68,Elektrivõrgud!D$59)</f>
        <v>-49.500000000000007</v>
      </c>
      <c r="F616" s="284">
        <f>VLOOKUP($D616,Elektrivõrgud!$C$60:$K$68,Elektrivõrgud!E$59)</f>
        <v>-44.147165504000007</v>
      </c>
      <c r="G616" s="284">
        <f>VLOOKUP($D616,Elektrivõrgud!$C$60:$K$68,Elektrivõrgud!F$59)</f>
        <v>-39.30026768350001</v>
      </c>
      <c r="H616" s="284">
        <f>VLOOKUP($D616,Elektrivõrgud!$C$60:$K$68,Elektrivõrgud!G$59)</f>
        <v>-42.221290275000001</v>
      </c>
      <c r="I616" s="284">
        <f>VLOOKUP($D616,Elektrivõrgud!$C$60:$K$68,Elektrivõrgud!H$59)</f>
        <v>-41.111138929500001</v>
      </c>
      <c r="J616" s="284">
        <f>VLOOKUP($D616,Elektrivõrgud!$C$60:$K$68,Elektrivõrgud!I$59)</f>
        <v>10.523893599999996</v>
      </c>
      <c r="K616" s="284">
        <f>VLOOKUP($D616,Elektrivõrgud!$C$60:$K$68,Elektrivõrgud!J$59)</f>
        <v>11.924353797750003</v>
      </c>
      <c r="L616" s="284">
        <f>VLOOKUP($D616,Elektrivõrgud!$C$60:$K$68,Elektrivõrgud!K$59)</f>
        <v>13.029321037499987</v>
      </c>
    </row>
    <row r="617" spans="3:12" x14ac:dyDescent="0.3">
      <c r="C617" s="260" t="s">
        <v>110</v>
      </c>
      <c r="D617" s="252">
        <v>104</v>
      </c>
      <c r="E617" s="284"/>
      <c r="F617" s="284"/>
      <c r="G617" s="284"/>
      <c r="H617" s="284"/>
      <c r="I617" s="284"/>
      <c r="J617" s="284"/>
      <c r="K617" s="284"/>
      <c r="L617" s="284"/>
    </row>
    <row r="618" spans="3:12" x14ac:dyDescent="0.3">
      <c r="C618" s="259" t="s">
        <v>53</v>
      </c>
      <c r="D618" s="251">
        <v>105</v>
      </c>
      <c r="E618" s="284">
        <f>VLOOKUP($D618,Elektrivõrgud!$C$60:$K$69,Elektrivõrgud!D$59)</f>
        <v>-3</v>
      </c>
      <c r="F618" s="284">
        <f>VLOOKUP($D618,Elektrivõrgud!$C$60:$K$69,Elektrivõrgud!E$59)</f>
        <v>-14.339165503999999</v>
      </c>
      <c r="G618" s="284">
        <f>VLOOKUP($D618,Elektrivõrgud!$C$60:$K$69,Elektrivõrgud!F$59)</f>
        <v>-25.130267683500001</v>
      </c>
      <c r="H618" s="284">
        <f>VLOOKUP($D618,Elektrivõrgud!$C$60:$K$69,Elektrivõrgud!G$59)</f>
        <v>-42.341290274999999</v>
      </c>
      <c r="I618" s="284">
        <f>VLOOKUP($D618,Elektrivõrgud!$C$60:$K$69,Elektrivõrgud!H$59)</f>
        <v>-56.231138929499991</v>
      </c>
      <c r="J618" s="284">
        <f>VLOOKUP($D618,Elektrivõrgud!$C$60:$K$69,Elektrivõrgud!I$59)</f>
        <v>-54.096106400000004</v>
      </c>
      <c r="K618" s="284">
        <f>VLOOKUP($D618,Elektrivõrgud!$C$60:$K$69,Elektrivõrgud!J$59)</f>
        <v>-52.695646202249996</v>
      </c>
      <c r="L618" s="284">
        <f>VLOOKUP($D618,Elektrivõrgud!$C$60:$K$69,Elektrivõrgud!K$59)</f>
        <v>-51.590678962500014</v>
      </c>
    </row>
    <row r="619" spans="3:12" x14ac:dyDescent="0.3">
      <c r="C619" s="183" t="s">
        <v>321</v>
      </c>
      <c r="D619" s="253" t="s">
        <v>293</v>
      </c>
      <c r="E619" s="284"/>
      <c r="F619" s="284"/>
      <c r="G619" s="284"/>
      <c r="H619" s="284"/>
      <c r="I619" s="284"/>
      <c r="J619" s="284"/>
      <c r="K619" s="284"/>
      <c r="L619" s="284"/>
    </row>
    <row r="620" spans="3:12" x14ac:dyDescent="0.3">
      <c r="C620" s="191" t="s">
        <v>650</v>
      </c>
      <c r="D620" s="253" t="s">
        <v>75</v>
      </c>
      <c r="E620" s="284">
        <v>0</v>
      </c>
      <c r="F620" s="284">
        <v>0</v>
      </c>
      <c r="G620" s="284">
        <v>0</v>
      </c>
      <c r="H620" s="284">
        <v>0</v>
      </c>
      <c r="I620" s="284">
        <v>0</v>
      </c>
      <c r="J620" s="284">
        <v>0</v>
      </c>
      <c r="K620" s="284">
        <v>0</v>
      </c>
      <c r="L620" s="284">
        <v>0</v>
      </c>
    </row>
    <row r="621" spans="3:12" x14ac:dyDescent="0.3">
      <c r="C621" s="279" t="s">
        <v>323</v>
      </c>
      <c r="D621" s="253" t="s">
        <v>75</v>
      </c>
      <c r="E621" s="284">
        <v>0</v>
      </c>
      <c r="F621" s="284">
        <v>0</v>
      </c>
      <c r="G621" s="284">
        <v>0</v>
      </c>
      <c r="H621" s="284">
        <v>0</v>
      </c>
      <c r="I621" s="284">
        <v>0</v>
      </c>
      <c r="J621" s="284">
        <v>0</v>
      </c>
      <c r="K621" s="284">
        <v>0</v>
      </c>
      <c r="L621" s="284">
        <v>0</v>
      </c>
    </row>
    <row r="622" spans="3:12" x14ac:dyDescent="0.3">
      <c r="C622" s="279" t="s">
        <v>324</v>
      </c>
      <c r="D622" s="253" t="s">
        <v>75</v>
      </c>
      <c r="E622" s="284">
        <v>0</v>
      </c>
      <c r="F622" s="284">
        <v>0</v>
      </c>
      <c r="G622" s="284">
        <v>0</v>
      </c>
      <c r="H622" s="284">
        <v>0</v>
      </c>
      <c r="I622" s="284">
        <v>0</v>
      </c>
      <c r="J622" s="284">
        <v>0</v>
      </c>
      <c r="K622" s="284">
        <v>0</v>
      </c>
      <c r="L622" s="284">
        <v>0</v>
      </c>
    </row>
    <row r="623" spans="3:12" x14ac:dyDescent="0.3">
      <c r="C623" s="280" t="s">
        <v>325</v>
      </c>
      <c r="D623" s="253" t="s">
        <v>75</v>
      </c>
      <c r="E623" s="284">
        <v>0</v>
      </c>
      <c r="F623" s="284">
        <v>0</v>
      </c>
      <c r="G623" s="284">
        <v>0</v>
      </c>
      <c r="H623" s="284">
        <v>0</v>
      </c>
      <c r="I623" s="284">
        <v>0</v>
      </c>
      <c r="J623" s="284">
        <v>0</v>
      </c>
      <c r="K623" s="284">
        <v>0</v>
      </c>
      <c r="L623" s="284">
        <v>0</v>
      </c>
    </row>
    <row r="624" spans="3:12" x14ac:dyDescent="0.3">
      <c r="C624" s="280" t="s">
        <v>541</v>
      </c>
      <c r="D624" s="253" t="s">
        <v>75</v>
      </c>
      <c r="E624" s="284">
        <v>0</v>
      </c>
      <c r="F624" s="284">
        <v>0</v>
      </c>
      <c r="G624" s="284">
        <v>0</v>
      </c>
      <c r="H624" s="284">
        <v>0</v>
      </c>
      <c r="I624" s="284">
        <v>0</v>
      </c>
      <c r="J624" s="284">
        <v>0</v>
      </c>
      <c r="K624" s="284">
        <v>0</v>
      </c>
      <c r="L624" s="284">
        <v>0</v>
      </c>
    </row>
    <row r="625" spans="2:12" x14ac:dyDescent="0.3">
      <c r="C625" s="191" t="s">
        <v>326</v>
      </c>
      <c r="D625" s="253" t="s">
        <v>306</v>
      </c>
      <c r="E625" s="284">
        <v>0</v>
      </c>
      <c r="F625" s="284">
        <v>0</v>
      </c>
      <c r="G625" s="284">
        <v>0</v>
      </c>
      <c r="H625" s="284">
        <v>0</v>
      </c>
      <c r="I625" s="284">
        <v>0</v>
      </c>
      <c r="J625" s="284">
        <v>0</v>
      </c>
      <c r="K625" s="284">
        <v>0</v>
      </c>
      <c r="L625" s="284">
        <v>0</v>
      </c>
    </row>
    <row r="626" spans="2:12" x14ac:dyDescent="0.3">
      <c r="C626" s="301" t="s">
        <v>387</v>
      </c>
      <c r="D626" s="253" t="s">
        <v>388</v>
      </c>
      <c r="E626" s="284">
        <v>0</v>
      </c>
      <c r="F626" s="284">
        <v>0</v>
      </c>
      <c r="G626" s="284">
        <v>0</v>
      </c>
      <c r="H626" s="284">
        <v>0</v>
      </c>
      <c r="I626" s="284">
        <v>0</v>
      </c>
      <c r="J626" s="284">
        <v>0</v>
      </c>
      <c r="K626" s="284">
        <v>0</v>
      </c>
      <c r="L626" s="284">
        <v>0</v>
      </c>
    </row>
    <row r="627" spans="2:12" x14ac:dyDescent="0.3">
      <c r="H627" s="113"/>
    </row>
    <row r="628" spans="2:12" ht="11.25" customHeight="1" x14ac:dyDescent="0.3">
      <c r="B628" s="106"/>
      <c r="C628" s="283" t="s">
        <v>631</v>
      </c>
      <c r="D628" s="119"/>
      <c r="E628" s="195"/>
      <c r="F628" s="106"/>
      <c r="G628" s="112"/>
    </row>
    <row r="629" spans="2:12" x14ac:dyDescent="0.3">
      <c r="C629" s="282" t="s">
        <v>259</v>
      </c>
      <c r="D629" s="253" t="s">
        <v>318</v>
      </c>
      <c r="E629" s="183">
        <v>2015</v>
      </c>
      <c r="F629" s="183">
        <v>2020</v>
      </c>
      <c r="G629" s="183">
        <v>2025</v>
      </c>
      <c r="H629" s="183">
        <v>2030</v>
      </c>
      <c r="I629" s="183">
        <v>2035</v>
      </c>
      <c r="J629" s="183">
        <v>2040</v>
      </c>
      <c r="K629" s="183">
        <v>2045</v>
      </c>
      <c r="L629" s="183">
        <v>2050</v>
      </c>
    </row>
    <row r="630" spans="2:12" x14ac:dyDescent="0.3">
      <c r="C630" s="191" t="s">
        <v>231</v>
      </c>
      <c r="D630" s="183">
        <v>1</v>
      </c>
      <c r="E630" s="284">
        <f>VLOOKUP($D630,Elektrivõrgud!$C$74:$K$82,Elektrivõrgud!D$73)</f>
        <v>0</v>
      </c>
      <c r="F630" s="284">
        <f>VLOOKUP($D630,Elektrivõrgud!$C$74:$K$82,Elektrivõrgud!E$73)</f>
        <v>-2.4089999999999994</v>
      </c>
      <c r="G630" s="284">
        <f>VLOOKUP($D630,Elektrivõrgud!$C$74:$K$82,Elektrivõrgud!F$73)</f>
        <v>-2.9249999999999994</v>
      </c>
      <c r="H630" s="284">
        <f>VLOOKUP($D630,Elektrivõrgud!$C$74:$K$82,Elektrivõrgud!G$73)</f>
        <v>-3.4034999999999997</v>
      </c>
      <c r="I630" s="284">
        <f>VLOOKUP($D630,Elektrivõrgud!$C$74:$K$82,Elektrivõrgud!H$73)</f>
        <v>-3.1238999999999999</v>
      </c>
      <c r="J630" s="284">
        <f>VLOOKUP($D630,Elektrivõrgud!$C$74:$K$82,Elektrivõrgud!I$73)</f>
        <v>-2.8442999999999992</v>
      </c>
      <c r="K630" s="284">
        <f>VLOOKUP($D630,Elektrivõrgud!$C$74:$K$82,Elektrivõrgud!J$73)</f>
        <v>-2.5646999999999998</v>
      </c>
      <c r="L630" s="284">
        <f>VLOOKUP($D630,Elektrivõrgud!$C$74:$K$82,Elektrivõrgud!K$73)</f>
        <v>-2.355</v>
      </c>
    </row>
    <row r="631" spans="2:12" x14ac:dyDescent="0.3">
      <c r="C631" s="191" t="s">
        <v>209</v>
      </c>
      <c r="D631" s="183">
        <v>2</v>
      </c>
      <c r="E631" s="284"/>
      <c r="F631" s="284"/>
      <c r="G631" s="284"/>
      <c r="H631" s="284"/>
      <c r="I631" s="284"/>
      <c r="J631" s="284"/>
      <c r="K631" s="284"/>
      <c r="L631" s="284"/>
    </row>
    <row r="632" spans="2:12" x14ac:dyDescent="0.3">
      <c r="C632" s="191" t="s">
        <v>417</v>
      </c>
      <c r="D632" s="183">
        <v>4</v>
      </c>
      <c r="E632" s="284"/>
      <c r="F632" s="284"/>
      <c r="G632" s="284"/>
      <c r="H632" s="284"/>
      <c r="I632" s="284"/>
      <c r="J632" s="284"/>
      <c r="K632" s="284"/>
      <c r="L632" s="284"/>
    </row>
    <row r="633" spans="2:12" x14ac:dyDescent="0.3">
      <c r="C633" s="191" t="s">
        <v>124</v>
      </c>
      <c r="D633" s="183">
        <v>10</v>
      </c>
      <c r="E633" s="284"/>
      <c r="F633" s="284"/>
      <c r="G633" s="284"/>
      <c r="H633" s="284"/>
      <c r="I633" s="284"/>
      <c r="J633" s="284"/>
      <c r="K633" s="284"/>
      <c r="L633" s="284"/>
    </row>
    <row r="634" spans="2:12" x14ac:dyDescent="0.3">
      <c r="C634" s="191" t="s">
        <v>133</v>
      </c>
      <c r="D634" s="183">
        <v>23</v>
      </c>
      <c r="E634" s="284">
        <f>VLOOKUP($D634,Elektrivõrgud!$C$74:$K$82,Elektrivõrgud!D$73)</f>
        <v>0</v>
      </c>
      <c r="F634" s="284">
        <f>VLOOKUP($D634,Elektrivõrgud!$C$74:$K$82,Elektrivõrgud!E$73)</f>
        <v>0</v>
      </c>
      <c r="G634" s="284">
        <f>VLOOKUP($D634,Elektrivõrgud!$C$74:$K$82,Elektrivõrgud!F$73)</f>
        <v>0</v>
      </c>
      <c r="H634" s="284">
        <f>VLOOKUP($D634,Elektrivõrgud!$C$74:$K$82,Elektrivõrgud!G$73)</f>
        <v>0</v>
      </c>
      <c r="I634" s="284">
        <f>VLOOKUP($D634,Elektrivõrgud!$C$74:$K$82,Elektrivõrgud!H$73)</f>
        <v>0</v>
      </c>
      <c r="J634" s="284">
        <f>VLOOKUP($D634,Elektrivõrgud!$C$74:$K$82,Elektrivõrgud!I$73)</f>
        <v>0</v>
      </c>
      <c r="K634" s="284">
        <f>VLOOKUP($D634,Elektrivõrgud!$C$74:$K$82,Elektrivõrgud!J$73)</f>
        <v>0</v>
      </c>
      <c r="L634" s="284">
        <f>VLOOKUP($D634,Elektrivõrgud!$C$74:$K$82,Elektrivõrgud!K$73)</f>
        <v>0</v>
      </c>
    </row>
    <row r="635" spans="2:12" x14ac:dyDescent="0.3">
      <c r="C635" s="191" t="s">
        <v>285</v>
      </c>
      <c r="D635" s="183">
        <v>24</v>
      </c>
      <c r="E635" s="284">
        <f>VLOOKUP($D635,Elektrivõrgud!$C$74:$K$82,Elektrivõrgud!D$73)</f>
        <v>0</v>
      </c>
      <c r="F635" s="284">
        <f>VLOOKUP($D635,Elektrivõrgud!$C$74:$K$82,Elektrivõrgud!E$73)</f>
        <v>-0.80299999999999983</v>
      </c>
      <c r="G635" s="284">
        <f>VLOOKUP($D635,Elektrivõrgud!$C$74:$K$82,Elektrivõrgud!F$73)</f>
        <v>-0.97499999999999987</v>
      </c>
      <c r="H635" s="284">
        <f>VLOOKUP($D635,Elektrivõrgud!$C$74:$K$82,Elektrivõrgud!G$73)</f>
        <v>-1.1344999999999998</v>
      </c>
      <c r="I635" s="284">
        <f>VLOOKUP($D635,Elektrivõrgud!$C$74:$K$82,Elektrivõrgud!H$73)</f>
        <v>-1.0413000000000001</v>
      </c>
      <c r="J635" s="284">
        <f>VLOOKUP($D635,Elektrivõrgud!$C$74:$K$82,Elektrivõrgud!I$73)</f>
        <v>-0.94809999999999983</v>
      </c>
      <c r="K635" s="284">
        <f>VLOOKUP($D635,Elektrivõrgud!$C$74:$K$82,Elektrivõrgud!J$73)</f>
        <v>-0.85489999999999999</v>
      </c>
      <c r="L635" s="284">
        <f>VLOOKUP($D635,Elektrivõrgud!$C$74:$K$82,Elektrivõrgud!K$73)</f>
        <v>-0.78500000000000003</v>
      </c>
    </row>
    <row r="636" spans="2:12" x14ac:dyDescent="0.3">
      <c r="C636" s="191" t="s">
        <v>315</v>
      </c>
      <c r="D636" s="183">
        <v>26</v>
      </c>
      <c r="E636" s="284">
        <f>VLOOKUP($D636,Elektrivõrgud!$C$74:$K$82,Elektrivõrgud!D$73)</f>
        <v>0</v>
      </c>
      <c r="F636" s="284">
        <f>VLOOKUP($D636,Elektrivõrgud!$C$74:$K$82,Elektrivõrgud!E$73)</f>
        <v>0</v>
      </c>
      <c r="G636" s="284">
        <f>VLOOKUP($D636,Elektrivõrgud!$C$74:$K$82,Elektrivõrgud!F$73)</f>
        <v>0</v>
      </c>
      <c r="H636" s="284">
        <f>VLOOKUP($D636,Elektrivõrgud!$C$74:$K$82,Elektrivõrgud!G$73)</f>
        <v>0</v>
      </c>
      <c r="I636" s="284">
        <f>VLOOKUP($D636,Elektrivõrgud!$C$74:$K$82,Elektrivõrgud!H$73)</f>
        <v>0</v>
      </c>
      <c r="J636" s="284">
        <f>VLOOKUP($D636,Elektrivõrgud!$C$74:$K$82,Elektrivõrgud!I$73)</f>
        <v>0</v>
      </c>
      <c r="K636" s="284">
        <f>VLOOKUP($D636,Elektrivõrgud!$C$74:$K$82,Elektrivõrgud!J$73)</f>
        <v>0</v>
      </c>
      <c r="L636" s="284">
        <f>VLOOKUP($D636,Elektrivõrgud!$C$74:$K$82,Elektrivõrgud!K$73)</f>
        <v>0</v>
      </c>
    </row>
    <row r="637" spans="2:12" x14ac:dyDescent="0.3">
      <c r="C637" s="191" t="s">
        <v>38</v>
      </c>
      <c r="D637" s="183">
        <v>29</v>
      </c>
      <c r="E637" s="284">
        <f>VLOOKUP($D637,Elektrivõrgud!$C$74:$K$82,Elektrivõrgud!D$73)</f>
        <v>91.350000000000009</v>
      </c>
      <c r="F637" s="284">
        <f>VLOOKUP($D637,Elektrivõrgud!$C$74:$K$82,Elektrivõrgud!E$73)</f>
        <v>91.350000000000009</v>
      </c>
      <c r="G637" s="284">
        <f>VLOOKUP($D637,Elektrivõrgud!$C$74:$K$82,Elektrivõrgud!F$73)</f>
        <v>91.350000000000009</v>
      </c>
      <c r="H637" s="284">
        <f>VLOOKUP($D637,Elektrivõrgud!$C$74:$K$82,Elektrivõrgud!G$73)</f>
        <v>91.350000000000009</v>
      </c>
      <c r="I637" s="284">
        <f>VLOOKUP($D637,Elektrivõrgud!$C$74:$K$82,Elektrivõrgud!H$73)</f>
        <v>0</v>
      </c>
      <c r="J637" s="284">
        <f>VLOOKUP($D637,Elektrivõrgud!$C$74:$K$82,Elektrivõrgud!I$73)</f>
        <v>0</v>
      </c>
      <c r="K637" s="284">
        <f>VLOOKUP($D637,Elektrivõrgud!$C$74:$K$82,Elektrivõrgud!J$73)</f>
        <v>0</v>
      </c>
      <c r="L637" s="284">
        <f>VLOOKUP($D637,Elektrivõrgud!$C$74:$K$82,Elektrivõrgud!K$73)</f>
        <v>0</v>
      </c>
    </row>
    <row r="638" spans="2:12" x14ac:dyDescent="0.3">
      <c r="C638" s="191" t="s">
        <v>136</v>
      </c>
      <c r="D638" s="183">
        <v>30</v>
      </c>
      <c r="E638" s="284"/>
      <c r="F638" s="284"/>
      <c r="G638" s="284"/>
      <c r="H638" s="284"/>
      <c r="I638" s="284"/>
      <c r="J638" s="284"/>
      <c r="K638" s="284"/>
      <c r="L638" s="284"/>
    </row>
    <row r="639" spans="2:12" x14ac:dyDescent="0.3">
      <c r="C639" s="191" t="s">
        <v>360</v>
      </c>
      <c r="D639" s="183">
        <v>31</v>
      </c>
      <c r="E639" s="284"/>
      <c r="F639" s="284"/>
      <c r="G639" s="284"/>
      <c r="H639" s="284"/>
      <c r="I639" s="284"/>
      <c r="J639" s="284"/>
      <c r="K639" s="284"/>
      <c r="L639" s="284"/>
    </row>
    <row r="640" spans="2:12" x14ac:dyDescent="0.3">
      <c r="C640" s="191" t="s">
        <v>361</v>
      </c>
      <c r="D640" s="183">
        <v>32</v>
      </c>
      <c r="E640" s="284"/>
      <c r="F640" s="284"/>
      <c r="G640" s="284"/>
      <c r="H640" s="284"/>
      <c r="I640" s="284"/>
      <c r="J640" s="284"/>
      <c r="K640" s="284"/>
      <c r="L640" s="284"/>
    </row>
    <row r="641" spans="3:12" x14ac:dyDescent="0.3">
      <c r="C641" s="191" t="s">
        <v>362</v>
      </c>
      <c r="D641" s="183">
        <v>33</v>
      </c>
      <c r="E641" s="284">
        <f>VLOOKUP($D641,Elektrivõrgud!$C$74:$K$82,Elektrivõrgud!D$73)</f>
        <v>0</v>
      </c>
      <c r="F641" s="284">
        <f>VLOOKUP($D641,Elektrivõrgud!$C$74:$K$82,Elektrivõrgud!E$73)</f>
        <v>0</v>
      </c>
      <c r="G641" s="284">
        <f>VLOOKUP($D641,Elektrivõrgud!$C$74:$K$82,Elektrivõrgud!F$73)</f>
        <v>0</v>
      </c>
      <c r="H641" s="284">
        <f>VLOOKUP($D641,Elektrivõrgud!$C$74:$K$82,Elektrivõrgud!G$73)</f>
        <v>0</v>
      </c>
      <c r="I641" s="284">
        <f>VLOOKUP($D641,Elektrivõrgud!$C$74:$K$82,Elektrivõrgud!H$73)</f>
        <v>0</v>
      </c>
      <c r="J641" s="284">
        <f>VLOOKUP($D641,Elektrivõrgud!$C$74:$K$82,Elektrivõrgud!I$73)</f>
        <v>0</v>
      </c>
      <c r="K641" s="284">
        <f>VLOOKUP($D641,Elektrivõrgud!$C$74:$K$82,Elektrivõrgud!J$73)</f>
        <v>0</v>
      </c>
      <c r="L641" s="284">
        <f>VLOOKUP($D641,Elektrivõrgud!$C$74:$K$82,Elektrivõrgud!K$73)</f>
        <v>0</v>
      </c>
    </row>
    <row r="642" spans="3:12" x14ac:dyDescent="0.3">
      <c r="C642" s="191" t="s">
        <v>363</v>
      </c>
      <c r="D642" s="183">
        <v>55</v>
      </c>
      <c r="E642" s="284">
        <f>VLOOKUP($D642,Elektrivõrgud!$C$74:$K$82,Elektrivõrgud!D$73)</f>
        <v>0</v>
      </c>
      <c r="F642" s="284">
        <f>VLOOKUP($D642,Elektrivõrgud!$C$74:$K$82,Elektrivõrgud!E$73)</f>
        <v>0</v>
      </c>
      <c r="G642" s="284">
        <f>VLOOKUP($D642,Elektrivõrgud!$C$74:$K$82,Elektrivõrgud!F$73)</f>
        <v>0</v>
      </c>
      <c r="H642" s="284">
        <f>VLOOKUP($D642,Elektrivõrgud!$C$74:$K$82,Elektrivõrgud!G$73)</f>
        <v>0</v>
      </c>
      <c r="I642" s="284">
        <f>VLOOKUP($D642,Elektrivõrgud!$C$74:$K$82,Elektrivõrgud!H$73)</f>
        <v>0</v>
      </c>
      <c r="J642" s="284">
        <f>VLOOKUP($D642,Elektrivõrgud!$C$74:$K$82,Elektrivõrgud!I$73)</f>
        <v>0</v>
      </c>
      <c r="K642" s="284">
        <f>VLOOKUP($D642,Elektrivõrgud!$C$74:$K$82,Elektrivõrgud!J$73)</f>
        <v>0</v>
      </c>
      <c r="L642" s="284">
        <f>VLOOKUP($D642,Elektrivõrgud!$C$74:$K$82,Elektrivõrgud!K$73)</f>
        <v>0</v>
      </c>
    </row>
    <row r="643" spans="3:12" x14ac:dyDescent="0.3">
      <c r="C643" s="259" t="s">
        <v>204</v>
      </c>
      <c r="D643" s="251">
        <v>101</v>
      </c>
      <c r="E643" s="284">
        <f>VLOOKUP($D643,Elektrivõrgud!$C$74:$K$82,Elektrivõrgud!D$73)</f>
        <v>0</v>
      </c>
      <c r="F643" s="284">
        <f>VLOOKUP($D643,Elektrivõrgud!$C$74:$K$82,Elektrivõrgud!E$73)</f>
        <v>0</v>
      </c>
      <c r="G643" s="284">
        <f>VLOOKUP($D643,Elektrivõrgud!$C$74:$K$82,Elektrivõrgud!F$73)</f>
        <v>0</v>
      </c>
      <c r="H643" s="284">
        <f>VLOOKUP($D643,Elektrivõrgud!$C$74:$K$82,Elektrivõrgud!G$73)</f>
        <v>0</v>
      </c>
      <c r="I643" s="284">
        <f>VLOOKUP($D643,Elektrivõrgud!$C$74:$K$82,Elektrivõrgud!H$73)</f>
        <v>0</v>
      </c>
      <c r="J643" s="284">
        <f>VLOOKUP($D643,Elektrivõrgud!$C$74:$K$82,Elektrivõrgud!I$73)</f>
        <v>0</v>
      </c>
      <c r="K643" s="284">
        <f>VLOOKUP($D643,Elektrivõrgud!$C$74:$K$82,Elektrivõrgud!J$73)</f>
        <v>0</v>
      </c>
      <c r="L643" s="284">
        <f>VLOOKUP($D643,Elektrivõrgud!$C$74:$K$82,Elektrivõrgud!K$73)</f>
        <v>0</v>
      </c>
    </row>
    <row r="644" spans="3:12" x14ac:dyDescent="0.3">
      <c r="C644" s="259" t="s">
        <v>364</v>
      </c>
      <c r="D644" s="251">
        <v>102</v>
      </c>
      <c r="E644" s="284">
        <f>VLOOKUP($D644,Elektrivõrgud!$C$74:$K$82,Elektrivõrgud!D$73)</f>
        <v>0</v>
      </c>
      <c r="F644" s="284">
        <f>VLOOKUP($D644,Elektrivõrgud!$C$74:$K$82,Elektrivõrgud!E$73)</f>
        <v>0</v>
      </c>
      <c r="G644" s="284">
        <f>VLOOKUP($D644,Elektrivõrgud!$C$74:$K$82,Elektrivõrgud!F$73)</f>
        <v>0</v>
      </c>
      <c r="H644" s="284">
        <f>VLOOKUP($D644,Elektrivõrgud!$C$74:$K$82,Elektrivõrgud!G$73)</f>
        <v>0</v>
      </c>
      <c r="I644" s="284">
        <f>VLOOKUP($D644,Elektrivõrgud!$C$74:$K$82,Elektrivõrgud!H$73)</f>
        <v>0</v>
      </c>
      <c r="J644" s="284">
        <f>VLOOKUP($D644,Elektrivõrgud!$C$74:$K$82,Elektrivõrgud!I$73)</f>
        <v>0</v>
      </c>
      <c r="K644" s="284">
        <f>VLOOKUP($D644,Elektrivõrgud!$C$74:$K$82,Elektrivõrgud!J$73)</f>
        <v>0</v>
      </c>
      <c r="L644" s="284">
        <f>VLOOKUP($D644,Elektrivõrgud!$C$74:$K$82,Elektrivõrgud!K$73)</f>
        <v>0</v>
      </c>
    </row>
    <row r="645" spans="3:12" x14ac:dyDescent="0.3">
      <c r="C645" s="259" t="s">
        <v>457</v>
      </c>
      <c r="D645" s="251">
        <v>103</v>
      </c>
      <c r="E645" s="284">
        <f>VLOOKUP($D645,Elektrivõrgud!$C$74:$K$82,Elektrivõrgud!D$73)</f>
        <v>-111.65</v>
      </c>
      <c r="F645" s="284">
        <f>VLOOKUP($D645,Elektrivõrgud!$C$74:$K$82,Elektrivõrgud!E$73)</f>
        <v>-103.62</v>
      </c>
      <c r="G645" s="284">
        <f>VLOOKUP($D645,Elektrivõrgud!$C$74:$K$82,Elektrivõrgud!F$73)</f>
        <v>-93.150535367000003</v>
      </c>
      <c r="H645" s="284">
        <f>VLOOKUP($D645,Elektrivõrgud!$C$74:$K$82,Elektrivõrgud!G$73)</f>
        <v>-90.618870825000002</v>
      </c>
      <c r="I645" s="284">
        <f>VLOOKUP($D645,Elektrivõrgud!$C$74:$K$82,Elektrivõrgud!H$73)</f>
        <v>21.983296188000008</v>
      </c>
      <c r="J645" s="284">
        <f>VLOOKUP($D645,Elektrivõrgud!$C$74:$K$82,Elektrivõrgud!I$73)</f>
        <v>24.047260599999991</v>
      </c>
      <c r="K645" s="284">
        <f>VLOOKUP($D645,Elektrivõrgud!$C$74:$K$82,Elektrivõrgud!J$73)</f>
        <v>26.047563994999997</v>
      </c>
      <c r="L645" s="284">
        <f>VLOOKUP($D645,Elektrivõrgud!$C$74:$K$82,Elektrivõrgud!K$73)</f>
        <v>25.808642074999987</v>
      </c>
    </row>
    <row r="646" spans="3:12" x14ac:dyDescent="0.3">
      <c r="C646" s="260" t="s">
        <v>110</v>
      </c>
      <c r="D646" s="252">
        <v>104</v>
      </c>
      <c r="E646" s="284"/>
      <c r="F646" s="284"/>
      <c r="G646" s="284"/>
      <c r="H646" s="284"/>
      <c r="I646" s="284"/>
      <c r="J646" s="284"/>
      <c r="K646" s="284"/>
      <c r="L646" s="284"/>
    </row>
    <row r="647" spans="3:12" x14ac:dyDescent="0.3">
      <c r="C647" s="259" t="s">
        <v>53</v>
      </c>
      <c r="D647" s="251">
        <v>105</v>
      </c>
      <c r="E647" s="284">
        <f>VLOOKUP($D647,Elektrivõrgud!$C$74:$K$83,Elektrivõrgud!D$73)</f>
        <v>-6.7666666666666666</v>
      </c>
      <c r="F647" s="284">
        <f>VLOOKUP($D647,Elektrivõrgud!$C$74:$K$83,Elektrivõrgud!E$73)</f>
        <v>-35.782000000000004</v>
      </c>
      <c r="G647" s="284">
        <f>VLOOKUP($D647,Elektrivõrgud!$C$74:$K$83,Elektrivõrgud!F$73)</f>
        <v>-59.83386870033334</v>
      </c>
      <c r="H647" s="284">
        <f>VLOOKUP($D647,Elektrivõrgud!$C$74:$K$83,Elektrivõrgud!G$73)</f>
        <v>-91.773537491666659</v>
      </c>
      <c r="I647" s="284">
        <f>VLOOKUP($D647,Elektrivõrgud!$C$74:$K$83,Elektrivõrgud!H$73)</f>
        <v>-90.448570478666653</v>
      </c>
      <c r="J647" s="284">
        <f>VLOOKUP($D647,Elektrivõrgud!$C$74:$K$83,Elektrivõrgud!I$73)</f>
        <v>-88.011806066666679</v>
      </c>
      <c r="K647" s="284">
        <f>VLOOKUP($D647,Elektrivõrgud!$C$74:$K$83,Elektrivõrgud!J$73)</f>
        <v>-85.638702671666664</v>
      </c>
      <c r="L647" s="284">
        <f>VLOOKUP($D647,Elektrivõrgud!$C$74:$K$83,Elektrivõrgud!K$73)</f>
        <v>-85.598024591666672</v>
      </c>
    </row>
    <row r="648" spans="3:12" x14ac:dyDescent="0.3">
      <c r="C648" s="183" t="s">
        <v>321</v>
      </c>
      <c r="D648" s="253" t="s">
        <v>293</v>
      </c>
      <c r="E648" s="284"/>
      <c r="F648" s="284"/>
      <c r="G648" s="284"/>
      <c r="H648" s="284"/>
      <c r="I648" s="284"/>
      <c r="J648" s="284"/>
      <c r="K648" s="284"/>
      <c r="L648" s="284"/>
    </row>
    <row r="649" spans="3:12" x14ac:dyDescent="0.3">
      <c r="C649" s="191" t="s">
        <v>650</v>
      </c>
      <c r="D649" s="253" t="s">
        <v>75</v>
      </c>
      <c r="E649" s="284">
        <v>0</v>
      </c>
      <c r="F649" s="284">
        <v>0</v>
      </c>
      <c r="G649" s="284">
        <v>0</v>
      </c>
      <c r="H649" s="284">
        <v>0</v>
      </c>
      <c r="I649" s="284">
        <v>0</v>
      </c>
      <c r="J649" s="284">
        <v>0</v>
      </c>
      <c r="K649" s="284">
        <v>0</v>
      </c>
      <c r="L649" s="284">
        <v>0</v>
      </c>
    </row>
    <row r="650" spans="3:12" x14ac:dyDescent="0.3">
      <c r="C650" s="279" t="s">
        <v>323</v>
      </c>
      <c r="D650" s="253" t="s">
        <v>75</v>
      </c>
      <c r="E650" s="284">
        <v>0</v>
      </c>
      <c r="F650" s="284">
        <v>0</v>
      </c>
      <c r="G650" s="284">
        <v>0</v>
      </c>
      <c r="H650" s="284">
        <v>0</v>
      </c>
      <c r="I650" s="284">
        <v>0</v>
      </c>
      <c r="J650" s="284">
        <v>0</v>
      </c>
      <c r="K650" s="284">
        <v>0</v>
      </c>
      <c r="L650" s="284">
        <v>0</v>
      </c>
    </row>
    <row r="651" spans="3:12" x14ac:dyDescent="0.3">
      <c r="C651" s="279" t="s">
        <v>324</v>
      </c>
      <c r="D651" s="253" t="s">
        <v>75</v>
      </c>
      <c r="E651" s="284">
        <v>0</v>
      </c>
      <c r="F651" s="284">
        <v>0</v>
      </c>
      <c r="G651" s="284">
        <v>0</v>
      </c>
      <c r="H651" s="284">
        <v>0</v>
      </c>
      <c r="I651" s="284">
        <v>0</v>
      </c>
      <c r="J651" s="284">
        <v>0</v>
      </c>
      <c r="K651" s="284">
        <v>0</v>
      </c>
      <c r="L651" s="284">
        <v>0</v>
      </c>
    </row>
    <row r="652" spans="3:12" x14ac:dyDescent="0.3">
      <c r="C652" s="280" t="s">
        <v>325</v>
      </c>
      <c r="D652" s="253" t="s">
        <v>75</v>
      </c>
      <c r="E652" s="284">
        <v>0</v>
      </c>
      <c r="F652" s="284">
        <v>0</v>
      </c>
      <c r="G652" s="284">
        <v>0</v>
      </c>
      <c r="H652" s="284">
        <v>0</v>
      </c>
      <c r="I652" s="284">
        <v>0</v>
      </c>
      <c r="J652" s="284">
        <v>0</v>
      </c>
      <c r="K652" s="284">
        <v>0</v>
      </c>
      <c r="L652" s="284">
        <v>0</v>
      </c>
    </row>
    <row r="653" spans="3:12" x14ac:dyDescent="0.3">
      <c r="C653" s="280" t="s">
        <v>541</v>
      </c>
      <c r="D653" s="253" t="s">
        <v>75</v>
      </c>
      <c r="E653" s="284">
        <v>0</v>
      </c>
      <c r="F653" s="284">
        <v>0</v>
      </c>
      <c r="G653" s="284">
        <v>0</v>
      </c>
      <c r="H653" s="284">
        <v>0</v>
      </c>
      <c r="I653" s="284">
        <v>0</v>
      </c>
      <c r="J653" s="284">
        <v>0</v>
      </c>
      <c r="K653" s="284">
        <v>0</v>
      </c>
      <c r="L653" s="284">
        <v>0</v>
      </c>
    </row>
    <row r="654" spans="3:12" x14ac:dyDescent="0.3">
      <c r="C654" s="191" t="s">
        <v>326</v>
      </c>
      <c r="D654" s="253" t="s">
        <v>306</v>
      </c>
      <c r="E654" s="284">
        <v>0</v>
      </c>
      <c r="F654" s="284">
        <v>0</v>
      </c>
      <c r="G654" s="284">
        <v>0</v>
      </c>
      <c r="H654" s="284">
        <v>0</v>
      </c>
      <c r="I654" s="284">
        <v>0</v>
      </c>
      <c r="J654" s="284">
        <v>0</v>
      </c>
      <c r="K654" s="284">
        <v>0</v>
      </c>
      <c r="L654" s="284">
        <v>0</v>
      </c>
    </row>
    <row r="655" spans="3:12" x14ac:dyDescent="0.3">
      <c r="C655" s="307" t="s">
        <v>387</v>
      </c>
      <c r="D655" s="308" t="s">
        <v>388</v>
      </c>
      <c r="E655" s="284">
        <v>0</v>
      </c>
      <c r="F655" s="284">
        <v>0</v>
      </c>
      <c r="G655" s="284">
        <v>0</v>
      </c>
      <c r="H655" s="284">
        <v>0</v>
      </c>
      <c r="I655" s="284">
        <v>0</v>
      </c>
      <c r="J655" s="284">
        <v>0</v>
      </c>
      <c r="K655" s="284">
        <v>0</v>
      </c>
      <c r="L655" s="284">
        <v>0</v>
      </c>
    </row>
    <row r="657" spans="2:12" ht="15.6" x14ac:dyDescent="0.3">
      <c r="B657" s="353">
        <v>7</v>
      </c>
      <c r="C657" s="352" t="s">
        <v>409</v>
      </c>
      <c r="D657" s="201"/>
      <c r="E657" s="201"/>
      <c r="F657" s="202"/>
      <c r="G657" s="118"/>
    </row>
    <row r="658" spans="2:12" ht="27.6" x14ac:dyDescent="0.3">
      <c r="B658" s="118"/>
      <c r="C658" s="200"/>
      <c r="D658" s="273" t="s">
        <v>837</v>
      </c>
      <c r="E658" s="273" t="s">
        <v>838</v>
      </c>
      <c r="F658" s="273" t="s">
        <v>839</v>
      </c>
    </row>
    <row r="659" spans="2:12" x14ac:dyDescent="0.3">
      <c r="B659" s="118"/>
      <c r="C659" s="206" t="s">
        <v>251</v>
      </c>
      <c r="D659" s="200">
        <v>1</v>
      </c>
      <c r="E659" s="200">
        <v>2</v>
      </c>
      <c r="F659" s="200">
        <v>3</v>
      </c>
    </row>
    <row r="660" spans="2:12" x14ac:dyDescent="0.3">
      <c r="B660" s="118"/>
      <c r="C660" s="204" t="s">
        <v>389</v>
      </c>
      <c r="D660" s="278">
        <f>TULEMUSED!M10</f>
        <v>1</v>
      </c>
      <c r="E660" s="205" t="str">
        <f>IF(D660=1," 15M tonni põlevkivi",IF(D660=2," 20M tonni põlevkivi"," 25M tonni põlevkivi"))</f>
        <v xml:space="preserve"> 15M tonni põlevkivi</v>
      </c>
      <c r="F660" s="106"/>
    </row>
    <row r="661" spans="2:12" x14ac:dyDescent="0.3">
      <c r="B661" s="106"/>
      <c r="C661" s="111"/>
      <c r="D661" s="194"/>
      <c r="E661" s="195"/>
      <c r="G661" s="112"/>
    </row>
    <row r="662" spans="2:12" ht="11.25" customHeight="1" x14ac:dyDescent="0.3">
      <c r="B662" s="106"/>
      <c r="C662" s="281" t="s">
        <v>384</v>
      </c>
      <c r="D662" s="119"/>
      <c r="E662" s="195"/>
      <c r="F662" s="106"/>
      <c r="G662" s="112"/>
    </row>
    <row r="663" spans="2:12" x14ac:dyDescent="0.3">
      <c r="C663" s="282" t="s">
        <v>259</v>
      </c>
      <c r="D663" s="253" t="s">
        <v>318</v>
      </c>
      <c r="E663" s="183">
        <v>2015</v>
      </c>
      <c r="F663" s="183">
        <v>2020</v>
      </c>
      <c r="G663" s="183">
        <v>2025</v>
      </c>
      <c r="H663" s="183">
        <v>2030</v>
      </c>
      <c r="I663" s="183">
        <v>2035</v>
      </c>
      <c r="J663" s="183">
        <v>2040</v>
      </c>
      <c r="K663" s="183">
        <v>2045</v>
      </c>
      <c r="L663" s="183">
        <v>2050</v>
      </c>
    </row>
    <row r="664" spans="2:12" x14ac:dyDescent="0.3">
      <c r="C664" s="191" t="s">
        <v>231</v>
      </c>
      <c r="D664" s="183">
        <v>1</v>
      </c>
      <c r="E664" s="284">
        <f>IF($D$660=2,E694,IF($D$660=3,E724,0))</f>
        <v>0</v>
      </c>
      <c r="F664" s="284">
        <f t="shared" ref="F664:L664" si="140">IF($D$660=2,F694,IF($D$660=3,F724,0))</f>
        <v>0</v>
      </c>
      <c r="G664" s="284">
        <f t="shared" si="140"/>
        <v>0</v>
      </c>
      <c r="H664" s="284">
        <f t="shared" si="140"/>
        <v>0</v>
      </c>
      <c r="I664" s="284">
        <f t="shared" si="140"/>
        <v>0</v>
      </c>
      <c r="J664" s="284">
        <f t="shared" si="140"/>
        <v>0</v>
      </c>
      <c r="K664" s="284">
        <f t="shared" si="140"/>
        <v>0</v>
      </c>
      <c r="L664" s="284">
        <f t="shared" si="140"/>
        <v>0</v>
      </c>
    </row>
    <row r="665" spans="2:12" x14ac:dyDescent="0.3">
      <c r="C665" s="191" t="s">
        <v>209</v>
      </c>
      <c r="D665" s="183">
        <v>2</v>
      </c>
      <c r="E665" s="284">
        <f t="shared" ref="E665:L665" si="141">IF($D$660=2,E695,IF($D$660=3,E725,0))</f>
        <v>0</v>
      </c>
      <c r="F665" s="284">
        <f t="shared" si="141"/>
        <v>0</v>
      </c>
      <c r="G665" s="284">
        <f t="shared" si="141"/>
        <v>0</v>
      </c>
      <c r="H665" s="284">
        <f t="shared" si="141"/>
        <v>0</v>
      </c>
      <c r="I665" s="284">
        <f t="shared" si="141"/>
        <v>0</v>
      </c>
      <c r="J665" s="284">
        <f t="shared" si="141"/>
        <v>0</v>
      </c>
      <c r="K665" s="284">
        <f t="shared" si="141"/>
        <v>0</v>
      </c>
      <c r="L665" s="284">
        <f t="shared" si="141"/>
        <v>0</v>
      </c>
    </row>
    <row r="666" spans="2:12" x14ac:dyDescent="0.3">
      <c r="C666" s="191" t="s">
        <v>417</v>
      </c>
      <c r="D666" s="183">
        <v>4</v>
      </c>
      <c r="E666" s="284">
        <f t="shared" ref="E666:L666" si="142">IF($D$660=2,E696,IF($D$660=3,E726,0))</f>
        <v>0</v>
      </c>
      <c r="F666" s="284">
        <f t="shared" si="142"/>
        <v>0</v>
      </c>
      <c r="G666" s="284">
        <f t="shared" si="142"/>
        <v>0</v>
      </c>
      <c r="H666" s="284">
        <f t="shared" si="142"/>
        <v>0</v>
      </c>
      <c r="I666" s="284">
        <f t="shared" si="142"/>
        <v>0</v>
      </c>
      <c r="J666" s="284">
        <f t="shared" si="142"/>
        <v>0</v>
      </c>
      <c r="K666" s="284">
        <f t="shared" si="142"/>
        <v>0</v>
      </c>
      <c r="L666" s="284">
        <f t="shared" si="142"/>
        <v>0</v>
      </c>
    </row>
    <row r="667" spans="2:12" x14ac:dyDescent="0.3">
      <c r="C667" s="191" t="s">
        <v>124</v>
      </c>
      <c r="D667" s="183">
        <v>10</v>
      </c>
      <c r="E667" s="284">
        <f t="shared" ref="E667:L667" si="143">IF($D$660=2,E697,IF($D$660=3,E727,0))</f>
        <v>0</v>
      </c>
      <c r="F667" s="284">
        <f t="shared" si="143"/>
        <v>0</v>
      </c>
      <c r="G667" s="284">
        <f t="shared" si="143"/>
        <v>0</v>
      </c>
      <c r="H667" s="284">
        <f t="shared" si="143"/>
        <v>0</v>
      </c>
      <c r="I667" s="284">
        <f t="shared" si="143"/>
        <v>0</v>
      </c>
      <c r="J667" s="284">
        <f t="shared" si="143"/>
        <v>0</v>
      </c>
      <c r="K667" s="284">
        <f t="shared" si="143"/>
        <v>0</v>
      </c>
      <c r="L667" s="284">
        <f t="shared" si="143"/>
        <v>0</v>
      </c>
    </row>
    <row r="668" spans="2:12" x14ac:dyDescent="0.3">
      <c r="C668" s="191" t="s">
        <v>133</v>
      </c>
      <c r="D668" s="183">
        <v>23</v>
      </c>
      <c r="E668" s="284">
        <f t="shared" ref="E668:L668" si="144">IF($D$660=2,E698,IF($D$660=3,E728,0))</f>
        <v>0</v>
      </c>
      <c r="F668" s="284">
        <f t="shared" si="144"/>
        <v>0</v>
      </c>
      <c r="G668" s="284">
        <f t="shared" si="144"/>
        <v>0</v>
      </c>
      <c r="H668" s="284">
        <f t="shared" si="144"/>
        <v>0</v>
      </c>
      <c r="I668" s="284">
        <f t="shared" si="144"/>
        <v>0</v>
      </c>
      <c r="J668" s="284">
        <f t="shared" si="144"/>
        <v>0</v>
      </c>
      <c r="K668" s="284">
        <f t="shared" si="144"/>
        <v>0</v>
      </c>
      <c r="L668" s="284">
        <f t="shared" si="144"/>
        <v>0</v>
      </c>
    </row>
    <row r="669" spans="2:12" x14ac:dyDescent="0.3">
      <c r="C669" s="191" t="s">
        <v>285</v>
      </c>
      <c r="D669" s="183">
        <v>24</v>
      </c>
      <c r="E669" s="284">
        <f t="shared" ref="E669:L669" si="145">IF($D$660=2,E699,IF($D$660=3,E729,0))</f>
        <v>0</v>
      </c>
      <c r="F669" s="284">
        <f t="shared" si="145"/>
        <v>0</v>
      </c>
      <c r="G669" s="284">
        <f t="shared" si="145"/>
        <v>0</v>
      </c>
      <c r="H669" s="284">
        <f t="shared" si="145"/>
        <v>0</v>
      </c>
      <c r="I669" s="284">
        <f t="shared" si="145"/>
        <v>0</v>
      </c>
      <c r="J669" s="284">
        <f t="shared" si="145"/>
        <v>0</v>
      </c>
      <c r="K669" s="284">
        <f t="shared" si="145"/>
        <v>0</v>
      </c>
      <c r="L669" s="284">
        <f t="shared" si="145"/>
        <v>0</v>
      </c>
    </row>
    <row r="670" spans="2:12" x14ac:dyDescent="0.3">
      <c r="C670" s="191" t="s">
        <v>315</v>
      </c>
      <c r="D670" s="183">
        <v>26</v>
      </c>
      <c r="E670" s="284">
        <f t="shared" ref="E670:L670" si="146">IF($D$660=2,E700,IF($D$660=3,E730,0))</f>
        <v>0</v>
      </c>
      <c r="F670" s="284">
        <f t="shared" si="146"/>
        <v>0</v>
      </c>
      <c r="G670" s="284">
        <f t="shared" si="146"/>
        <v>0</v>
      </c>
      <c r="H670" s="284">
        <f t="shared" si="146"/>
        <v>0</v>
      </c>
      <c r="I670" s="284">
        <f t="shared" si="146"/>
        <v>0</v>
      </c>
      <c r="J670" s="284">
        <f t="shared" si="146"/>
        <v>0</v>
      </c>
      <c r="K670" s="284">
        <f t="shared" si="146"/>
        <v>0</v>
      </c>
      <c r="L670" s="284">
        <f t="shared" si="146"/>
        <v>0</v>
      </c>
    </row>
    <row r="671" spans="2:12" x14ac:dyDescent="0.3">
      <c r="C671" s="191" t="s">
        <v>38</v>
      </c>
      <c r="D671" s="183">
        <v>29</v>
      </c>
      <c r="E671" s="284">
        <f t="shared" ref="E671:L671" si="147">IF($D$660=2,E701,IF($D$660=3,E731,0))</f>
        <v>0</v>
      </c>
      <c r="F671" s="284">
        <f t="shared" si="147"/>
        <v>0</v>
      </c>
      <c r="G671" s="284">
        <f t="shared" si="147"/>
        <v>0</v>
      </c>
      <c r="H671" s="284">
        <f t="shared" si="147"/>
        <v>0</v>
      </c>
      <c r="I671" s="284">
        <f t="shared" si="147"/>
        <v>0</v>
      </c>
      <c r="J671" s="284">
        <f t="shared" si="147"/>
        <v>0</v>
      </c>
      <c r="K671" s="284">
        <f t="shared" si="147"/>
        <v>0</v>
      </c>
      <c r="L671" s="284">
        <f t="shared" si="147"/>
        <v>0</v>
      </c>
    </row>
    <row r="672" spans="2:12" x14ac:dyDescent="0.3">
      <c r="C672" s="191" t="s">
        <v>136</v>
      </c>
      <c r="D672" s="183">
        <v>30</v>
      </c>
      <c r="E672" s="284">
        <f t="shared" ref="E672:L672" si="148">IF($D$660=2,E702,IF($D$660=3,E732,0))</f>
        <v>0</v>
      </c>
      <c r="F672" s="284">
        <f t="shared" si="148"/>
        <v>0</v>
      </c>
      <c r="G672" s="284">
        <f t="shared" si="148"/>
        <v>0</v>
      </c>
      <c r="H672" s="284">
        <f t="shared" si="148"/>
        <v>0</v>
      </c>
      <c r="I672" s="284">
        <f t="shared" si="148"/>
        <v>0</v>
      </c>
      <c r="J672" s="284">
        <f t="shared" si="148"/>
        <v>0</v>
      </c>
      <c r="K672" s="284">
        <f t="shared" si="148"/>
        <v>0</v>
      </c>
      <c r="L672" s="284">
        <f t="shared" si="148"/>
        <v>0</v>
      </c>
    </row>
    <row r="673" spans="3:12" x14ac:dyDescent="0.3">
      <c r="C673" s="191" t="s">
        <v>360</v>
      </c>
      <c r="D673" s="183">
        <v>31</v>
      </c>
      <c r="E673" s="284">
        <f t="shared" ref="E673:L673" si="149">IF($D$660=2,E703,IF($D$660=3,E733,0))</f>
        <v>0</v>
      </c>
      <c r="F673" s="284">
        <f t="shared" si="149"/>
        <v>0</v>
      </c>
      <c r="G673" s="284">
        <f t="shared" si="149"/>
        <v>0</v>
      </c>
      <c r="H673" s="284">
        <f t="shared" si="149"/>
        <v>0</v>
      </c>
      <c r="I673" s="284">
        <f t="shared" si="149"/>
        <v>0</v>
      </c>
      <c r="J673" s="284">
        <f t="shared" si="149"/>
        <v>0</v>
      </c>
      <c r="K673" s="284">
        <f t="shared" si="149"/>
        <v>0</v>
      </c>
      <c r="L673" s="284">
        <f t="shared" si="149"/>
        <v>0</v>
      </c>
    </row>
    <row r="674" spans="3:12" x14ac:dyDescent="0.3">
      <c r="C674" s="191" t="s">
        <v>361</v>
      </c>
      <c r="D674" s="183">
        <v>32</v>
      </c>
      <c r="E674" s="284">
        <f t="shared" ref="E674:L674" si="150">IF($D$660=2,E704,IF($D$660=3,E734,0))</f>
        <v>0</v>
      </c>
      <c r="F674" s="284">
        <f t="shared" si="150"/>
        <v>0</v>
      </c>
      <c r="G674" s="284">
        <f t="shared" si="150"/>
        <v>0</v>
      </c>
      <c r="H674" s="284">
        <f t="shared" si="150"/>
        <v>0</v>
      </c>
      <c r="I674" s="284">
        <f t="shared" si="150"/>
        <v>0</v>
      </c>
      <c r="J674" s="284">
        <f t="shared" si="150"/>
        <v>0</v>
      </c>
      <c r="K674" s="284">
        <f t="shared" si="150"/>
        <v>0</v>
      </c>
      <c r="L674" s="284">
        <f t="shared" si="150"/>
        <v>0</v>
      </c>
    </row>
    <row r="675" spans="3:12" x14ac:dyDescent="0.3">
      <c r="C675" s="191" t="s">
        <v>362</v>
      </c>
      <c r="D675" s="183">
        <v>33</v>
      </c>
      <c r="E675" s="284">
        <f t="shared" ref="E675:L675" si="151">IF($D$660=2,E705,IF($D$660=3,E735,0))</f>
        <v>0</v>
      </c>
      <c r="F675" s="284">
        <f t="shared" si="151"/>
        <v>0</v>
      </c>
      <c r="G675" s="284">
        <f t="shared" si="151"/>
        <v>0</v>
      </c>
      <c r="H675" s="284">
        <f t="shared" si="151"/>
        <v>0</v>
      </c>
      <c r="I675" s="284">
        <f t="shared" si="151"/>
        <v>0</v>
      </c>
      <c r="J675" s="284">
        <f t="shared" si="151"/>
        <v>0</v>
      </c>
      <c r="K675" s="284">
        <f t="shared" si="151"/>
        <v>0</v>
      </c>
      <c r="L675" s="284">
        <f t="shared" si="151"/>
        <v>0</v>
      </c>
    </row>
    <row r="676" spans="3:12" x14ac:dyDescent="0.3">
      <c r="C676" s="191" t="s">
        <v>363</v>
      </c>
      <c r="D676" s="183">
        <v>55</v>
      </c>
      <c r="E676" s="284">
        <f t="shared" ref="E676:L676" si="152">IF($D$660=2,E706,IF($D$660=3,E736,0))</f>
        <v>0</v>
      </c>
      <c r="F676" s="284">
        <f t="shared" si="152"/>
        <v>0</v>
      </c>
      <c r="G676" s="284">
        <f t="shared" si="152"/>
        <v>0</v>
      </c>
      <c r="H676" s="284">
        <f t="shared" si="152"/>
        <v>0</v>
      </c>
      <c r="I676" s="284">
        <f t="shared" si="152"/>
        <v>0</v>
      </c>
      <c r="J676" s="284">
        <f t="shared" si="152"/>
        <v>0</v>
      </c>
      <c r="K676" s="284">
        <f t="shared" si="152"/>
        <v>0</v>
      </c>
      <c r="L676" s="284">
        <f t="shared" si="152"/>
        <v>0</v>
      </c>
    </row>
    <row r="677" spans="3:12" x14ac:dyDescent="0.3">
      <c r="C677" s="259" t="s">
        <v>204</v>
      </c>
      <c r="D677" s="251">
        <v>101</v>
      </c>
      <c r="E677" s="284">
        <f t="shared" ref="E677:L677" si="153">IF($D$660=2,E707,IF($D$660=3,E737,0))</f>
        <v>0</v>
      </c>
      <c r="F677" s="284">
        <f t="shared" si="153"/>
        <v>0</v>
      </c>
      <c r="G677" s="284">
        <f t="shared" si="153"/>
        <v>0</v>
      </c>
      <c r="H677" s="284">
        <f t="shared" si="153"/>
        <v>0</v>
      </c>
      <c r="I677" s="284">
        <f t="shared" si="153"/>
        <v>0</v>
      </c>
      <c r="J677" s="284">
        <f t="shared" si="153"/>
        <v>0</v>
      </c>
      <c r="K677" s="284">
        <f t="shared" si="153"/>
        <v>0</v>
      </c>
      <c r="L677" s="284">
        <f t="shared" si="153"/>
        <v>0</v>
      </c>
    </row>
    <row r="678" spans="3:12" x14ac:dyDescent="0.3">
      <c r="C678" s="259" t="s">
        <v>364</v>
      </c>
      <c r="D678" s="251">
        <v>102</v>
      </c>
      <c r="E678" s="284">
        <f t="shared" ref="E678:L678" si="154">IF($D$660=2,E708,IF($D$660=3,E738,0))</f>
        <v>0</v>
      </c>
      <c r="F678" s="284">
        <f t="shared" si="154"/>
        <v>0</v>
      </c>
      <c r="G678" s="284">
        <f t="shared" si="154"/>
        <v>0</v>
      </c>
      <c r="H678" s="284">
        <f t="shared" si="154"/>
        <v>0</v>
      </c>
      <c r="I678" s="284">
        <f t="shared" si="154"/>
        <v>0</v>
      </c>
      <c r="J678" s="284">
        <f t="shared" si="154"/>
        <v>0</v>
      </c>
      <c r="K678" s="284">
        <f t="shared" si="154"/>
        <v>0</v>
      </c>
      <c r="L678" s="284">
        <f t="shared" si="154"/>
        <v>0</v>
      </c>
    </row>
    <row r="679" spans="3:12" x14ac:dyDescent="0.3">
      <c r="C679" s="259" t="s">
        <v>457</v>
      </c>
      <c r="D679" s="251">
        <v>103</v>
      </c>
      <c r="E679" s="284">
        <f t="shared" ref="E679:L679" si="155">IF($D$660=2,E709,IF($D$660=3,E739,0))</f>
        <v>0</v>
      </c>
      <c r="F679" s="284">
        <f t="shared" si="155"/>
        <v>0</v>
      </c>
      <c r="G679" s="284">
        <f t="shared" si="155"/>
        <v>0</v>
      </c>
      <c r="H679" s="284">
        <f t="shared" si="155"/>
        <v>0</v>
      </c>
      <c r="I679" s="284">
        <f t="shared" si="155"/>
        <v>0</v>
      </c>
      <c r="J679" s="284">
        <f t="shared" si="155"/>
        <v>0</v>
      </c>
      <c r="K679" s="284">
        <f t="shared" si="155"/>
        <v>0</v>
      </c>
      <c r="L679" s="284">
        <f t="shared" si="155"/>
        <v>0</v>
      </c>
    </row>
    <row r="680" spans="3:12" x14ac:dyDescent="0.3">
      <c r="C680" s="260" t="s">
        <v>110</v>
      </c>
      <c r="D680" s="252">
        <v>104</v>
      </c>
      <c r="E680" s="284">
        <f t="shared" ref="E680:L680" si="156">IF($D$660=2,E710,IF($D$660=3,E740,0))</f>
        <v>0</v>
      </c>
      <c r="F680" s="284">
        <f t="shared" si="156"/>
        <v>0</v>
      </c>
      <c r="G680" s="284">
        <f t="shared" si="156"/>
        <v>0</v>
      </c>
      <c r="H680" s="284">
        <f t="shared" si="156"/>
        <v>0</v>
      </c>
      <c r="I680" s="284">
        <f t="shared" si="156"/>
        <v>0</v>
      </c>
      <c r="J680" s="284">
        <f t="shared" si="156"/>
        <v>0</v>
      </c>
      <c r="K680" s="284">
        <f t="shared" si="156"/>
        <v>0</v>
      </c>
      <c r="L680" s="284">
        <f t="shared" si="156"/>
        <v>0</v>
      </c>
    </row>
    <row r="681" spans="3:12" x14ac:dyDescent="0.3">
      <c r="C681" s="259" t="s">
        <v>53</v>
      </c>
      <c r="D681" s="251">
        <v>105</v>
      </c>
      <c r="E681" s="284">
        <f t="shared" ref="E681:L681" si="157">IF($D$660=2,E711,IF($D$660=3,E741,0))</f>
        <v>0</v>
      </c>
      <c r="F681" s="284">
        <f t="shared" si="157"/>
        <v>0</v>
      </c>
      <c r="G681" s="284">
        <f t="shared" si="157"/>
        <v>0</v>
      </c>
      <c r="H681" s="284">
        <f t="shared" si="157"/>
        <v>0</v>
      </c>
      <c r="I681" s="284">
        <f t="shared" si="157"/>
        <v>0</v>
      </c>
      <c r="J681" s="284">
        <f t="shared" si="157"/>
        <v>0</v>
      </c>
      <c r="K681" s="284">
        <f t="shared" si="157"/>
        <v>0</v>
      </c>
      <c r="L681" s="284">
        <f t="shared" si="157"/>
        <v>0</v>
      </c>
    </row>
    <row r="682" spans="3:12" x14ac:dyDescent="0.3">
      <c r="C682" s="259" t="s">
        <v>666</v>
      </c>
      <c r="D682" s="251">
        <v>106</v>
      </c>
      <c r="E682" s="284">
        <f t="shared" ref="E682:L682" si="158">IF($D$660=2,E712,IF($D$660=3,E742,0))</f>
        <v>0</v>
      </c>
      <c r="F682" s="284">
        <f t="shared" si="158"/>
        <v>0</v>
      </c>
      <c r="G682" s="284">
        <f t="shared" si="158"/>
        <v>0</v>
      </c>
      <c r="H682" s="284">
        <f t="shared" si="158"/>
        <v>0</v>
      </c>
      <c r="I682" s="284">
        <f t="shared" si="158"/>
        <v>0</v>
      </c>
      <c r="J682" s="284">
        <f t="shared" si="158"/>
        <v>0</v>
      </c>
      <c r="K682" s="284">
        <f t="shared" si="158"/>
        <v>0</v>
      </c>
      <c r="L682" s="284">
        <f t="shared" si="158"/>
        <v>0</v>
      </c>
    </row>
    <row r="683" spans="3:12" x14ac:dyDescent="0.3">
      <c r="C683" s="183" t="s">
        <v>321</v>
      </c>
      <c r="D683" s="253" t="s">
        <v>293</v>
      </c>
      <c r="E683" s="284">
        <f t="shared" ref="E683:L683" si="159">IF($D$660=2,E713,IF($D$660=3,E743,0))</f>
        <v>0</v>
      </c>
      <c r="F683" s="284">
        <f t="shared" si="159"/>
        <v>0</v>
      </c>
      <c r="G683" s="284">
        <f t="shared" si="159"/>
        <v>0</v>
      </c>
      <c r="H683" s="284">
        <f t="shared" si="159"/>
        <v>0</v>
      </c>
      <c r="I683" s="284">
        <f t="shared" si="159"/>
        <v>0</v>
      </c>
      <c r="J683" s="284">
        <f t="shared" si="159"/>
        <v>0</v>
      </c>
      <c r="K683" s="284">
        <f t="shared" si="159"/>
        <v>0</v>
      </c>
      <c r="L683" s="284">
        <f t="shared" si="159"/>
        <v>0</v>
      </c>
    </row>
    <row r="684" spans="3:12" x14ac:dyDescent="0.3">
      <c r="C684" s="191" t="s">
        <v>650</v>
      </c>
      <c r="D684" s="253" t="s">
        <v>75</v>
      </c>
      <c r="E684" s="284">
        <f t="shared" ref="E684:L684" si="160">IF($D$660=2,E714,IF($D$660=3,E744,0))</f>
        <v>0</v>
      </c>
      <c r="F684" s="284">
        <f t="shared" si="160"/>
        <v>0</v>
      </c>
      <c r="G684" s="284">
        <f t="shared" si="160"/>
        <v>0</v>
      </c>
      <c r="H684" s="284">
        <f t="shared" si="160"/>
        <v>0</v>
      </c>
      <c r="I684" s="284">
        <f t="shared" si="160"/>
        <v>0</v>
      </c>
      <c r="J684" s="284">
        <f t="shared" si="160"/>
        <v>0</v>
      </c>
      <c r="K684" s="284">
        <f t="shared" si="160"/>
        <v>0</v>
      </c>
      <c r="L684" s="284">
        <f t="shared" si="160"/>
        <v>0</v>
      </c>
    </row>
    <row r="685" spans="3:12" x14ac:dyDescent="0.3">
      <c r="C685" s="279" t="s">
        <v>323</v>
      </c>
      <c r="D685" s="253" t="s">
        <v>75</v>
      </c>
      <c r="E685" s="284">
        <f t="shared" ref="E685:L685" si="161">IF($D$660=2,E715,IF($D$660=3,E745,0))</f>
        <v>0</v>
      </c>
      <c r="F685" s="284">
        <f t="shared" si="161"/>
        <v>0</v>
      </c>
      <c r="G685" s="284">
        <f t="shared" si="161"/>
        <v>0</v>
      </c>
      <c r="H685" s="284">
        <f t="shared" si="161"/>
        <v>0</v>
      </c>
      <c r="I685" s="284">
        <f t="shared" si="161"/>
        <v>0</v>
      </c>
      <c r="J685" s="284">
        <f t="shared" si="161"/>
        <v>0</v>
      </c>
      <c r="K685" s="284">
        <f t="shared" si="161"/>
        <v>0</v>
      </c>
      <c r="L685" s="284">
        <f t="shared" si="161"/>
        <v>0</v>
      </c>
    </row>
    <row r="686" spans="3:12" x14ac:dyDescent="0.3">
      <c r="C686" s="279" t="s">
        <v>324</v>
      </c>
      <c r="D686" s="253" t="s">
        <v>75</v>
      </c>
      <c r="E686" s="284">
        <f t="shared" ref="E686:L686" si="162">IF($D$660=2,E716,IF($D$660=3,E746,0))</f>
        <v>0</v>
      </c>
      <c r="F686" s="284">
        <f t="shared" si="162"/>
        <v>0</v>
      </c>
      <c r="G686" s="284">
        <f t="shared" si="162"/>
        <v>0</v>
      </c>
      <c r="H686" s="284">
        <f t="shared" si="162"/>
        <v>0</v>
      </c>
      <c r="I686" s="284">
        <f t="shared" si="162"/>
        <v>0</v>
      </c>
      <c r="J686" s="284">
        <f t="shared" si="162"/>
        <v>0</v>
      </c>
      <c r="K686" s="284">
        <f t="shared" si="162"/>
        <v>0</v>
      </c>
      <c r="L686" s="284">
        <f t="shared" si="162"/>
        <v>0</v>
      </c>
    </row>
    <row r="687" spans="3:12" x14ac:dyDescent="0.3">
      <c r="C687" s="280" t="s">
        <v>325</v>
      </c>
      <c r="D687" s="253" t="s">
        <v>75</v>
      </c>
      <c r="E687" s="284">
        <f t="shared" ref="E687:L687" si="163">IF($D$660=2,E717,IF($D$660=3,E747,0))</f>
        <v>0</v>
      </c>
      <c r="F687" s="284">
        <f t="shared" si="163"/>
        <v>0</v>
      </c>
      <c r="G687" s="284">
        <f t="shared" si="163"/>
        <v>0</v>
      </c>
      <c r="H687" s="284">
        <f t="shared" si="163"/>
        <v>0</v>
      </c>
      <c r="I687" s="284">
        <f t="shared" si="163"/>
        <v>0</v>
      </c>
      <c r="J687" s="284">
        <f t="shared" si="163"/>
        <v>0</v>
      </c>
      <c r="K687" s="284">
        <f t="shared" si="163"/>
        <v>0</v>
      </c>
      <c r="L687" s="284">
        <f t="shared" si="163"/>
        <v>0</v>
      </c>
    </row>
    <row r="688" spans="3:12" x14ac:dyDescent="0.3">
      <c r="C688" s="280" t="s">
        <v>541</v>
      </c>
      <c r="D688" s="253" t="s">
        <v>75</v>
      </c>
      <c r="E688" s="284">
        <f t="shared" ref="E688:L688" si="164">IF($D$660=2,E718,IF($D$660=3,E748,0))</f>
        <v>0</v>
      </c>
      <c r="F688" s="284">
        <f t="shared" si="164"/>
        <v>0</v>
      </c>
      <c r="G688" s="284">
        <f t="shared" si="164"/>
        <v>0</v>
      </c>
      <c r="H688" s="284">
        <f t="shared" si="164"/>
        <v>0</v>
      </c>
      <c r="I688" s="284">
        <f t="shared" si="164"/>
        <v>0</v>
      </c>
      <c r="J688" s="284">
        <f t="shared" si="164"/>
        <v>0</v>
      </c>
      <c r="K688" s="284">
        <f t="shared" si="164"/>
        <v>0</v>
      </c>
      <c r="L688" s="284">
        <f t="shared" si="164"/>
        <v>0</v>
      </c>
    </row>
    <row r="689" spans="2:12" x14ac:dyDescent="0.3">
      <c r="C689" s="301" t="s">
        <v>326</v>
      </c>
      <c r="D689" s="253" t="s">
        <v>306</v>
      </c>
      <c r="E689" s="284">
        <f t="shared" ref="E689:L689" si="165">IF($D$660=2,E719,IF($D$660=3,E749,0))</f>
        <v>0</v>
      </c>
      <c r="F689" s="284">
        <f t="shared" si="165"/>
        <v>0</v>
      </c>
      <c r="G689" s="284">
        <f t="shared" si="165"/>
        <v>0</v>
      </c>
      <c r="H689" s="284">
        <f t="shared" si="165"/>
        <v>0</v>
      </c>
      <c r="I689" s="284">
        <f t="shared" si="165"/>
        <v>0</v>
      </c>
      <c r="J689" s="284">
        <f t="shared" si="165"/>
        <v>0</v>
      </c>
      <c r="K689" s="284">
        <f t="shared" si="165"/>
        <v>0</v>
      </c>
      <c r="L689" s="284">
        <f t="shared" si="165"/>
        <v>0</v>
      </c>
    </row>
    <row r="690" spans="2:12" x14ac:dyDescent="0.3">
      <c r="C690" s="301" t="s">
        <v>387</v>
      </c>
      <c r="D690" s="253" t="s">
        <v>388</v>
      </c>
      <c r="E690" s="284">
        <f t="shared" ref="E690:L690" si="166">IF($D$660=2,E720,IF($D$660=3,E750,0))</f>
        <v>0</v>
      </c>
      <c r="F690" s="284">
        <f t="shared" si="166"/>
        <v>0</v>
      </c>
      <c r="G690" s="284">
        <f t="shared" si="166"/>
        <v>0</v>
      </c>
      <c r="H690" s="284">
        <f t="shared" si="166"/>
        <v>0</v>
      </c>
      <c r="I690" s="284">
        <f t="shared" si="166"/>
        <v>0</v>
      </c>
      <c r="J690" s="284">
        <f t="shared" si="166"/>
        <v>0</v>
      </c>
      <c r="K690" s="284">
        <f t="shared" si="166"/>
        <v>0</v>
      </c>
      <c r="L690" s="284">
        <f t="shared" si="166"/>
        <v>0</v>
      </c>
    </row>
    <row r="691" spans="2:12" x14ac:dyDescent="0.3">
      <c r="H691" s="113"/>
    </row>
    <row r="692" spans="2:12" ht="11.25" customHeight="1" x14ac:dyDescent="0.3">
      <c r="B692" s="106"/>
      <c r="C692" s="283" t="s">
        <v>840</v>
      </c>
      <c r="D692" s="119"/>
      <c r="E692" s="195"/>
      <c r="F692" s="106"/>
      <c r="G692" s="112"/>
    </row>
    <row r="693" spans="2:12" x14ac:dyDescent="0.3">
      <c r="C693" s="282" t="s">
        <v>259</v>
      </c>
      <c r="D693" s="253" t="s">
        <v>318</v>
      </c>
      <c r="E693" s="183">
        <v>2015</v>
      </c>
      <c r="F693" s="183">
        <v>2020</v>
      </c>
      <c r="G693" s="183">
        <v>2025</v>
      </c>
      <c r="H693" s="183">
        <v>2030</v>
      </c>
      <c r="I693" s="183">
        <v>2035</v>
      </c>
      <c r="J693" s="183">
        <v>2040</v>
      </c>
      <c r="K693" s="183">
        <v>2045</v>
      </c>
      <c r="L693" s="183">
        <v>2050</v>
      </c>
    </row>
    <row r="694" spans="2:12" x14ac:dyDescent="0.3">
      <c r="C694" s="191" t="s">
        <v>231</v>
      </c>
      <c r="D694" s="183">
        <v>1</v>
      </c>
      <c r="E694" s="284">
        <f>VLOOKUP($D694,Põlevkivi!$C$99:$K$117,Põlevkivi!D$98)</f>
        <v>0</v>
      </c>
      <c r="F694" s="284">
        <f>VLOOKUP($D694,Põlevkivi!$C$99:$K$117,Põlevkivi!E$98)</f>
        <v>0</v>
      </c>
      <c r="G694" s="284">
        <f>VLOOKUP($D694,Põlevkivi!$C$99:$K$117,Põlevkivi!F$98)</f>
        <v>0</v>
      </c>
      <c r="H694" s="284">
        <f>VLOOKUP($D694,Põlevkivi!$C$99:$K$117,Põlevkivi!G$98)</f>
        <v>0</v>
      </c>
      <c r="I694" s="284">
        <f>VLOOKUP($D694,Põlevkivi!$C$99:$K$117,Põlevkivi!H$98)</f>
        <v>0</v>
      </c>
      <c r="J694" s="284">
        <f>VLOOKUP($D694,Põlevkivi!$C$99:$K$117,Põlevkivi!I$98)</f>
        <v>0</v>
      </c>
      <c r="K694" s="284">
        <f>VLOOKUP($D694,Põlevkivi!$C$99:$K$117,Põlevkivi!J$98)</f>
        <v>0</v>
      </c>
      <c r="L694" s="284">
        <f>VLOOKUP($D694,Põlevkivi!$C$99:$K$117,Põlevkivi!K$98)</f>
        <v>0</v>
      </c>
    </row>
    <row r="695" spans="2:12" x14ac:dyDescent="0.3">
      <c r="C695" s="191" t="s">
        <v>209</v>
      </c>
      <c r="D695" s="183">
        <v>2</v>
      </c>
      <c r="E695" s="284">
        <f>VLOOKUP($D695,Põlevkivi!$C$99:$K$117,Põlevkivi!D$98)</f>
        <v>0</v>
      </c>
      <c r="F695" s="284">
        <f>VLOOKUP($D695,Põlevkivi!$C$99:$K$117,Põlevkivi!E$98)</f>
        <v>0</v>
      </c>
      <c r="G695" s="284">
        <f>VLOOKUP($D695,Põlevkivi!$C$99:$K$117,Põlevkivi!F$98)</f>
        <v>0</v>
      </c>
      <c r="H695" s="284">
        <f>VLOOKUP($D695,Põlevkivi!$C$99:$K$117,Põlevkivi!G$98)</f>
        <v>0</v>
      </c>
      <c r="I695" s="284">
        <f>VLOOKUP($D695,Põlevkivi!$C$99:$K$117,Põlevkivi!H$98)</f>
        <v>0</v>
      </c>
      <c r="J695" s="284">
        <f>VLOOKUP($D695,Põlevkivi!$C$99:$K$117,Põlevkivi!I$98)</f>
        <v>0</v>
      </c>
      <c r="K695" s="284">
        <f>VLOOKUP($D695,Põlevkivi!$C$99:$K$117,Põlevkivi!J$98)</f>
        <v>0</v>
      </c>
      <c r="L695" s="284">
        <f>VLOOKUP($D695,Põlevkivi!$C$99:$K$117,Põlevkivi!K$98)</f>
        <v>0</v>
      </c>
    </row>
    <row r="696" spans="2:12" x14ac:dyDescent="0.3">
      <c r="C696" s="191" t="s">
        <v>417</v>
      </c>
      <c r="D696" s="183">
        <v>4</v>
      </c>
      <c r="E696" s="284">
        <f>VLOOKUP($D696,Põlevkivi!$C$99:$K$117,Põlevkivi!D$98)</f>
        <v>0</v>
      </c>
      <c r="F696" s="284">
        <f>VLOOKUP($D696,Põlevkivi!$C$99:$K$117,Põlevkivi!E$98)</f>
        <v>-18.090000000000003</v>
      </c>
      <c r="G696" s="284">
        <f>VLOOKUP($D696,Põlevkivi!$C$99:$K$117,Põlevkivi!F$98)</f>
        <v>-54.269999999999982</v>
      </c>
      <c r="H696" s="284">
        <f>VLOOKUP($D696,Põlevkivi!$C$99:$K$117,Põlevkivi!G$98)</f>
        <v>-126.63</v>
      </c>
      <c r="I696" s="284">
        <f>VLOOKUP($D696,Põlevkivi!$C$99:$K$117,Põlevkivi!H$98)</f>
        <v>-126.63</v>
      </c>
      <c r="J696" s="284">
        <f>VLOOKUP($D696,Põlevkivi!$C$99:$K$117,Põlevkivi!I$98)</f>
        <v>-126.63</v>
      </c>
      <c r="K696" s="284">
        <f>VLOOKUP($D696,Põlevkivi!$C$99:$K$117,Põlevkivi!J$98)</f>
        <v>-126.63</v>
      </c>
      <c r="L696" s="284">
        <f>VLOOKUP($D696,Põlevkivi!$C$99:$K$117,Põlevkivi!K$98)</f>
        <v>-126.63</v>
      </c>
    </row>
    <row r="697" spans="2:12" x14ac:dyDescent="0.3">
      <c r="C697" s="191" t="s">
        <v>124</v>
      </c>
      <c r="D697" s="183">
        <v>10</v>
      </c>
      <c r="E697" s="284">
        <f>VLOOKUP($D697,Põlevkivi!$C$99:$K$117,Põlevkivi!D$98)</f>
        <v>0</v>
      </c>
      <c r="F697" s="284">
        <f>VLOOKUP($D697,Põlevkivi!$C$99:$K$117,Põlevkivi!E$98)</f>
        <v>0</v>
      </c>
      <c r="G697" s="284">
        <f>VLOOKUP($D697,Põlevkivi!$C$99:$K$117,Põlevkivi!F$98)</f>
        <v>0</v>
      </c>
      <c r="H697" s="284">
        <f>VLOOKUP($D697,Põlevkivi!$C$99:$K$117,Põlevkivi!G$98)</f>
        <v>0</v>
      </c>
      <c r="I697" s="284">
        <f>VLOOKUP($D697,Põlevkivi!$C$99:$K$117,Põlevkivi!H$98)</f>
        <v>0</v>
      </c>
      <c r="J697" s="284">
        <f>VLOOKUP($D697,Põlevkivi!$C$99:$K$117,Põlevkivi!I$98)</f>
        <v>0</v>
      </c>
      <c r="K697" s="284">
        <f>VLOOKUP($D697,Põlevkivi!$C$99:$K$117,Põlevkivi!J$98)</f>
        <v>0</v>
      </c>
      <c r="L697" s="284">
        <f>VLOOKUP($D697,Põlevkivi!$C$99:$K$117,Põlevkivi!K$98)</f>
        <v>0</v>
      </c>
    </row>
    <row r="698" spans="2:12" x14ac:dyDescent="0.3">
      <c r="C698" s="191" t="s">
        <v>133</v>
      </c>
      <c r="D698" s="183">
        <v>23</v>
      </c>
      <c r="E698" s="284">
        <f>VLOOKUP($D698,Põlevkivi!$C$99:$K$117,Põlevkivi!D$98)</f>
        <v>0</v>
      </c>
      <c r="F698" s="284">
        <f>VLOOKUP($D698,Põlevkivi!$C$99:$K$117,Põlevkivi!E$98)</f>
        <v>-16.919289271874998</v>
      </c>
      <c r="G698" s="284">
        <f>VLOOKUP($D698,Põlevkivi!$C$99:$K$117,Põlevkivi!F$98)</f>
        <v>-36.824876043750038</v>
      </c>
      <c r="H698" s="284">
        <f>VLOOKUP($D698,Põlevkivi!$C$99:$K$117,Põlevkivi!G$98)</f>
        <v>-79.036049587499974</v>
      </c>
      <c r="I698" s="284">
        <f>VLOOKUP($D698,Põlevkivi!$C$99:$K$117,Põlevkivi!H$98)</f>
        <v>-37.704082500000013</v>
      </c>
      <c r="J698" s="284">
        <f>VLOOKUP($D698,Põlevkivi!$C$99:$K$117,Põlevkivi!I$98)</f>
        <v>-37.704082500000013</v>
      </c>
      <c r="K698" s="284">
        <f>VLOOKUP($D698,Põlevkivi!$C$99:$K$117,Põlevkivi!J$98)</f>
        <v>-37.704082500000013</v>
      </c>
      <c r="L698" s="284">
        <f>VLOOKUP($D698,Põlevkivi!$C$99:$K$117,Põlevkivi!K$98)</f>
        <v>-37.704082500000013</v>
      </c>
    </row>
    <row r="699" spans="2:12" x14ac:dyDescent="0.3">
      <c r="C699" s="191" t="s">
        <v>285</v>
      </c>
      <c r="D699" s="183">
        <v>24</v>
      </c>
      <c r="E699" s="284">
        <f>VLOOKUP($D699,Põlevkivi!$C$99:$K$117,Põlevkivi!D$98)</f>
        <v>0</v>
      </c>
      <c r="F699" s="284">
        <f>VLOOKUP($D699,Põlevkivi!$C$99:$K$117,Põlevkivi!E$98)</f>
        <v>0</v>
      </c>
      <c r="G699" s="284">
        <f>VLOOKUP($D699,Põlevkivi!$C$99:$K$117,Põlevkivi!F$98)</f>
        <v>0</v>
      </c>
      <c r="H699" s="284">
        <f>VLOOKUP($D699,Põlevkivi!$C$99:$K$117,Põlevkivi!G$98)</f>
        <v>0</v>
      </c>
      <c r="I699" s="284">
        <f>VLOOKUP($D699,Põlevkivi!$C$99:$K$117,Põlevkivi!H$98)</f>
        <v>0</v>
      </c>
      <c r="J699" s="284">
        <f>VLOOKUP($D699,Põlevkivi!$C$99:$K$117,Põlevkivi!I$98)</f>
        <v>0</v>
      </c>
      <c r="K699" s="284">
        <f>VLOOKUP($D699,Põlevkivi!$C$99:$K$117,Põlevkivi!J$98)</f>
        <v>0</v>
      </c>
      <c r="L699" s="284">
        <f>VLOOKUP($D699,Põlevkivi!$C$99:$K$117,Põlevkivi!K$98)</f>
        <v>0</v>
      </c>
    </row>
    <row r="700" spans="2:12" x14ac:dyDescent="0.3">
      <c r="C700" s="191" t="s">
        <v>315</v>
      </c>
      <c r="D700" s="183">
        <v>26</v>
      </c>
      <c r="E700" s="284">
        <f>VLOOKUP($D700,Põlevkivi!$C$99:$K$117,Põlevkivi!D$98)</f>
        <v>0</v>
      </c>
      <c r="F700" s="284">
        <f>VLOOKUP($D700,Põlevkivi!$C$99:$K$117,Põlevkivi!E$98)</f>
        <v>0</v>
      </c>
      <c r="G700" s="284">
        <f>VLOOKUP($D700,Põlevkivi!$C$99:$K$117,Põlevkivi!F$98)</f>
        <v>0</v>
      </c>
      <c r="H700" s="284">
        <f>VLOOKUP($D700,Põlevkivi!$C$99:$K$117,Põlevkivi!G$98)</f>
        <v>0</v>
      </c>
      <c r="I700" s="284">
        <f>VLOOKUP($D700,Põlevkivi!$C$99:$K$117,Põlevkivi!H$98)</f>
        <v>0</v>
      </c>
      <c r="J700" s="284">
        <f>VLOOKUP($D700,Põlevkivi!$C$99:$K$117,Põlevkivi!I$98)</f>
        <v>0</v>
      </c>
      <c r="K700" s="284">
        <f>VLOOKUP($D700,Põlevkivi!$C$99:$K$117,Põlevkivi!J$98)</f>
        <v>0</v>
      </c>
      <c r="L700" s="284">
        <f>VLOOKUP($D700,Põlevkivi!$C$99:$K$117,Põlevkivi!K$98)</f>
        <v>0</v>
      </c>
    </row>
    <row r="701" spans="2:12" x14ac:dyDescent="0.3">
      <c r="C701" s="191" t="s">
        <v>38</v>
      </c>
      <c r="D701" s="183">
        <v>29</v>
      </c>
      <c r="E701" s="284">
        <f>VLOOKUP($D701,Põlevkivi!$C$99:$K$117,Põlevkivi!D$98)</f>
        <v>0</v>
      </c>
      <c r="F701" s="284">
        <f>VLOOKUP($D701,Põlevkivi!$C$99:$K$117,Põlevkivi!E$98)</f>
        <v>-11.678181609374997</v>
      </c>
      <c r="G701" s="284">
        <f>VLOOKUP($D701,Põlevkivi!$C$99:$K$117,Põlevkivi!F$98)</f>
        <v>-22.392709218750024</v>
      </c>
      <c r="H701" s="284">
        <f>VLOOKUP($D701,Põlevkivi!$C$99:$K$117,Põlevkivi!G$98)</f>
        <v>-46.221764437499978</v>
      </c>
      <c r="I701" s="284">
        <f>VLOOKUP($D701,Põlevkivi!$C$99:$K$117,Põlevkivi!H$98)</f>
        <v>-10.054422000000002</v>
      </c>
      <c r="J701" s="284">
        <f>VLOOKUP($D701,Põlevkivi!$C$99:$K$117,Põlevkivi!I$98)</f>
        <v>-10.054422000000002</v>
      </c>
      <c r="K701" s="284">
        <f>VLOOKUP($D701,Põlevkivi!$C$99:$K$117,Põlevkivi!J$98)</f>
        <v>-10.054422000000002</v>
      </c>
      <c r="L701" s="284">
        <f>VLOOKUP($D701,Põlevkivi!$C$99:$K$117,Põlevkivi!K$98)</f>
        <v>-10.054422000000002</v>
      </c>
    </row>
    <row r="702" spans="2:12" x14ac:dyDescent="0.3">
      <c r="C702" s="191" t="s">
        <v>136</v>
      </c>
      <c r="D702" s="183">
        <v>30</v>
      </c>
      <c r="E702" s="284">
        <f>VLOOKUP($D702,Põlevkivi!$C$99:$K$117,Põlevkivi!D$98)</f>
        <v>0</v>
      </c>
      <c r="F702" s="284">
        <f>VLOOKUP($D702,Põlevkivi!$C$99:$K$117,Põlevkivi!E$98)</f>
        <v>0</v>
      </c>
      <c r="G702" s="284">
        <f>VLOOKUP($D702,Põlevkivi!$C$99:$K$117,Põlevkivi!F$98)</f>
        <v>0</v>
      </c>
      <c r="H702" s="284">
        <f>VLOOKUP($D702,Põlevkivi!$C$99:$K$117,Põlevkivi!G$98)</f>
        <v>0</v>
      </c>
      <c r="I702" s="284">
        <f>VLOOKUP($D702,Põlevkivi!$C$99:$K$117,Põlevkivi!H$98)</f>
        <v>0</v>
      </c>
      <c r="J702" s="284">
        <f>VLOOKUP($D702,Põlevkivi!$C$99:$K$117,Põlevkivi!I$98)</f>
        <v>0</v>
      </c>
      <c r="K702" s="284">
        <f>VLOOKUP($D702,Põlevkivi!$C$99:$K$117,Põlevkivi!J$98)</f>
        <v>0</v>
      </c>
      <c r="L702" s="284">
        <f>VLOOKUP($D702,Põlevkivi!$C$99:$K$117,Põlevkivi!K$98)</f>
        <v>0</v>
      </c>
    </row>
    <row r="703" spans="2:12" x14ac:dyDescent="0.3">
      <c r="C703" s="191" t="s">
        <v>360</v>
      </c>
      <c r="D703" s="183">
        <v>31</v>
      </c>
      <c r="E703" s="284">
        <f>VLOOKUP($D703,Põlevkivi!$C$99:$K$117,Põlevkivi!D$98)</f>
        <v>0</v>
      </c>
      <c r="F703" s="284">
        <f>VLOOKUP($D703,Põlevkivi!$C$99:$K$117,Põlevkivi!E$98)</f>
        <v>0</v>
      </c>
      <c r="G703" s="284">
        <f>VLOOKUP($D703,Põlevkivi!$C$99:$K$117,Põlevkivi!F$98)</f>
        <v>0</v>
      </c>
      <c r="H703" s="284">
        <f>VLOOKUP($D703,Põlevkivi!$C$99:$K$117,Põlevkivi!G$98)</f>
        <v>0</v>
      </c>
      <c r="I703" s="284">
        <f>VLOOKUP($D703,Põlevkivi!$C$99:$K$117,Põlevkivi!H$98)</f>
        <v>0</v>
      </c>
      <c r="J703" s="284">
        <f>VLOOKUP($D703,Põlevkivi!$C$99:$K$117,Põlevkivi!I$98)</f>
        <v>0</v>
      </c>
      <c r="K703" s="284">
        <f>VLOOKUP($D703,Põlevkivi!$C$99:$K$117,Põlevkivi!J$98)</f>
        <v>0</v>
      </c>
      <c r="L703" s="284">
        <f>VLOOKUP($D703,Põlevkivi!$C$99:$K$117,Põlevkivi!K$98)</f>
        <v>0</v>
      </c>
    </row>
    <row r="704" spans="2:12" x14ac:dyDescent="0.3">
      <c r="C704" s="191" t="s">
        <v>361</v>
      </c>
      <c r="D704" s="183">
        <v>32</v>
      </c>
      <c r="E704" s="284">
        <f>VLOOKUP($D704,Põlevkivi!$C$99:$K$117,Põlevkivi!D$98)</f>
        <v>0</v>
      </c>
      <c r="F704" s="284">
        <f>VLOOKUP($D704,Põlevkivi!$C$99:$K$117,Põlevkivi!E$98)</f>
        <v>0</v>
      </c>
      <c r="G704" s="284">
        <f>VLOOKUP($D704,Põlevkivi!$C$99:$K$117,Põlevkivi!F$98)</f>
        <v>0</v>
      </c>
      <c r="H704" s="284">
        <f>VLOOKUP($D704,Põlevkivi!$C$99:$K$117,Põlevkivi!G$98)</f>
        <v>0</v>
      </c>
      <c r="I704" s="284">
        <f>VLOOKUP($D704,Põlevkivi!$C$99:$K$117,Põlevkivi!H$98)</f>
        <v>0</v>
      </c>
      <c r="J704" s="284">
        <f>VLOOKUP($D704,Põlevkivi!$C$99:$K$117,Põlevkivi!I$98)</f>
        <v>0</v>
      </c>
      <c r="K704" s="284">
        <f>VLOOKUP($D704,Põlevkivi!$C$99:$K$117,Põlevkivi!J$98)</f>
        <v>0</v>
      </c>
      <c r="L704" s="284">
        <f>VLOOKUP($D704,Põlevkivi!$C$99:$K$117,Põlevkivi!K$98)</f>
        <v>0</v>
      </c>
    </row>
    <row r="705" spans="3:12" x14ac:dyDescent="0.3">
      <c r="C705" s="191" t="s">
        <v>362</v>
      </c>
      <c r="D705" s="183">
        <v>33</v>
      </c>
      <c r="E705" s="284">
        <f>VLOOKUP($D705,Põlevkivi!$C$99:$K$117,Põlevkivi!D$98)</f>
        <v>0</v>
      </c>
      <c r="F705" s="284">
        <f>VLOOKUP($D705,Põlevkivi!$C$99:$K$117,Põlevkivi!E$98)</f>
        <v>-0.35908650000000009</v>
      </c>
      <c r="G705" s="284">
        <f>VLOOKUP($D705,Põlevkivi!$C$99:$K$117,Põlevkivi!F$98)</f>
        <v>-1.0772595000000003</v>
      </c>
      <c r="H705" s="284">
        <f>VLOOKUP($D705,Põlevkivi!$C$99:$K$117,Põlevkivi!G$98)</f>
        <v>-2.5136055000000006</v>
      </c>
      <c r="I705" s="284">
        <f>VLOOKUP($D705,Põlevkivi!$C$99:$K$117,Põlevkivi!H$98)</f>
        <v>-2.5136055000000006</v>
      </c>
      <c r="J705" s="284">
        <f>VLOOKUP($D705,Põlevkivi!$C$99:$K$117,Põlevkivi!I$98)</f>
        <v>-2.5136055000000006</v>
      </c>
      <c r="K705" s="284">
        <f>VLOOKUP($D705,Põlevkivi!$C$99:$K$117,Põlevkivi!J$98)</f>
        <v>-2.5136055000000006</v>
      </c>
      <c r="L705" s="284">
        <f>VLOOKUP($D705,Põlevkivi!$C$99:$K$117,Põlevkivi!K$98)</f>
        <v>-2.5136055000000006</v>
      </c>
    </row>
    <row r="706" spans="3:12" x14ac:dyDescent="0.3">
      <c r="C706" s="191" t="s">
        <v>363</v>
      </c>
      <c r="D706" s="183">
        <v>55</v>
      </c>
      <c r="E706" s="284">
        <f>VLOOKUP($D706,Põlevkivi!$C$99:$K$117,Põlevkivi!D$98)</f>
        <v>0</v>
      </c>
      <c r="F706" s="284">
        <f>VLOOKUP($D706,Põlevkivi!$C$99:$K$117,Põlevkivi!E$98)</f>
        <v>0</v>
      </c>
      <c r="G706" s="284">
        <f>VLOOKUP($D706,Põlevkivi!$C$99:$K$117,Põlevkivi!F$98)</f>
        <v>0</v>
      </c>
      <c r="H706" s="284">
        <f>VLOOKUP($D706,Põlevkivi!$C$99:$K$117,Põlevkivi!G$98)</f>
        <v>0</v>
      </c>
      <c r="I706" s="284">
        <f>VLOOKUP($D706,Põlevkivi!$C$99:$K$117,Põlevkivi!H$98)</f>
        <v>0</v>
      </c>
      <c r="J706" s="284">
        <f>VLOOKUP($D706,Põlevkivi!$C$99:$K$117,Põlevkivi!I$98)</f>
        <v>0</v>
      </c>
      <c r="K706" s="284">
        <f>VLOOKUP($D706,Põlevkivi!$C$99:$K$117,Põlevkivi!J$98)</f>
        <v>0</v>
      </c>
      <c r="L706" s="284">
        <f>VLOOKUP($D706,Põlevkivi!$C$99:$K$117,Põlevkivi!K$98)</f>
        <v>0</v>
      </c>
    </row>
    <row r="707" spans="3:12" x14ac:dyDescent="0.3">
      <c r="C707" s="259" t="s">
        <v>204</v>
      </c>
      <c r="D707" s="251">
        <v>101</v>
      </c>
      <c r="E707" s="284">
        <f>VLOOKUP($D707,Põlevkivi!$C$99:$K$117,Põlevkivi!D$98)</f>
        <v>0</v>
      </c>
      <c r="F707" s="284">
        <f>VLOOKUP($D707,Põlevkivi!$C$99:$K$117,Põlevkivi!E$98)</f>
        <v>-31.422792982359738</v>
      </c>
      <c r="G707" s="284">
        <f>VLOOKUP($D707,Põlevkivi!$C$99:$K$117,Põlevkivi!F$98)</f>
        <v>-95.985198381343025</v>
      </c>
      <c r="H707" s="284">
        <f>VLOOKUP($D707,Põlevkivi!$C$99:$K$117,Põlevkivi!G$98)</f>
        <v>-219.875202304852</v>
      </c>
      <c r="I707" s="284">
        <f>VLOOKUP($D707,Põlevkivi!$C$99:$K$117,Põlevkivi!H$98)</f>
        <v>-219.84934482743415</v>
      </c>
      <c r="J707" s="284">
        <f>VLOOKUP($D707,Põlevkivi!$C$99:$K$117,Põlevkivi!I$98)</f>
        <v>-219.92999057149484</v>
      </c>
      <c r="K707" s="284">
        <f>VLOOKUP($D707,Põlevkivi!$C$99:$K$117,Põlevkivi!J$98)</f>
        <v>-217.22447593211405</v>
      </c>
      <c r="L707" s="284">
        <f>VLOOKUP($D707,Põlevkivi!$C$99:$K$117,Põlevkivi!K$98)</f>
        <v>-210.69869643686411</v>
      </c>
    </row>
    <row r="708" spans="3:12" x14ac:dyDescent="0.3">
      <c r="C708" s="259" t="s">
        <v>364</v>
      </c>
      <c r="D708" s="251">
        <v>102</v>
      </c>
      <c r="E708" s="284">
        <f>VLOOKUP($D708,Põlevkivi!$C$99:$K$117,Põlevkivi!D$98)</f>
        <v>0</v>
      </c>
      <c r="F708" s="284">
        <f>VLOOKUP($D708,Põlevkivi!$C$99:$K$117,Põlevkivi!E$98)</f>
        <v>0</v>
      </c>
      <c r="G708" s="284">
        <f>VLOOKUP($D708,Põlevkivi!$C$99:$K$117,Põlevkivi!F$98)</f>
        <v>0</v>
      </c>
      <c r="H708" s="284">
        <f>VLOOKUP($D708,Põlevkivi!$C$99:$K$117,Põlevkivi!G$98)</f>
        <v>0</v>
      </c>
      <c r="I708" s="284">
        <f>VLOOKUP($D708,Põlevkivi!$C$99:$K$117,Põlevkivi!H$98)</f>
        <v>0</v>
      </c>
      <c r="J708" s="284">
        <f>VLOOKUP($D708,Põlevkivi!$C$99:$K$117,Põlevkivi!I$98)</f>
        <v>0</v>
      </c>
      <c r="K708" s="284">
        <f>VLOOKUP($D708,Põlevkivi!$C$99:$K$117,Põlevkivi!J$98)</f>
        <v>0</v>
      </c>
      <c r="L708" s="284">
        <f>VLOOKUP($D708,Põlevkivi!$C$99:$K$117,Põlevkivi!K$98)</f>
        <v>0</v>
      </c>
    </row>
    <row r="709" spans="3:12" x14ac:dyDescent="0.3">
      <c r="C709" s="259" t="s">
        <v>457</v>
      </c>
      <c r="D709" s="251">
        <v>103</v>
      </c>
      <c r="E709" s="284">
        <f>VLOOKUP($D709,Põlevkivi!$C$99:$K$117,Põlevkivi!D$98)</f>
        <v>0</v>
      </c>
      <c r="F709" s="284">
        <f>VLOOKUP($D709,Põlevkivi!$C$99:$K$117,Põlevkivi!E$98)</f>
        <v>-42.364798935484657</v>
      </c>
      <c r="G709" s="284">
        <f>VLOOKUP($D709,Põlevkivi!$C$99:$K$117,Põlevkivi!F$98)</f>
        <v>-152.2124355319263</v>
      </c>
      <c r="H709" s="284">
        <f>VLOOKUP($D709,Põlevkivi!$C$99:$K$117,Põlevkivi!G$98)</f>
        <v>-364.93732895735201</v>
      </c>
      <c r="I709" s="284">
        <f>VLOOKUP($D709,Põlevkivi!$C$99:$K$117,Põlevkivi!H$98)</f>
        <v>-437.24294564930915</v>
      </c>
      <c r="J709" s="284">
        <f>VLOOKUP($D709,Põlevkivi!$C$99:$K$117,Põlevkivi!I$98)</f>
        <v>-440.60916503086992</v>
      </c>
      <c r="K709" s="284">
        <f>VLOOKUP($D709,Põlevkivi!$C$99:$K$117,Põlevkivi!J$98)</f>
        <v>-441.1892240289892</v>
      </c>
      <c r="L709" s="284">
        <f>VLOOKUP($D709,Põlevkivi!$C$99:$K$117,Põlevkivi!K$98)</f>
        <v>-437.94901817123923</v>
      </c>
    </row>
    <row r="710" spans="3:12" x14ac:dyDescent="0.3">
      <c r="C710" s="260" t="s">
        <v>110</v>
      </c>
      <c r="D710" s="252">
        <v>104</v>
      </c>
      <c r="E710" s="284">
        <f>VLOOKUP($D710,Põlevkivi!$C$99:$K$117,Põlevkivi!D$98)</f>
        <v>0</v>
      </c>
      <c r="F710" s="284">
        <f>VLOOKUP($D710,Põlevkivi!$C$99:$K$117,Põlevkivi!E$98)</f>
        <v>-3.1375069874999948</v>
      </c>
      <c r="G710" s="284">
        <f>VLOOKUP($D710,Põlevkivi!$C$99:$K$117,Põlevkivi!F$98)</f>
        <v>-11.060001457875011</v>
      </c>
      <c r="H710" s="284">
        <f>VLOOKUP($D710,Põlevkivi!$C$99:$K$117,Põlevkivi!G$98)</f>
        <v>-28.369417505625002</v>
      </c>
      <c r="I710" s="284">
        <f>VLOOKUP($D710,Põlevkivi!$C$99:$K$117,Põlevkivi!H$98)</f>
        <v>-31.819269825000006</v>
      </c>
      <c r="J710" s="284">
        <f>VLOOKUP($D710,Põlevkivi!$C$99:$K$117,Põlevkivi!I$98)</f>
        <v>-35.104843462500007</v>
      </c>
      <c r="K710" s="284">
        <f>VLOOKUP($D710,Põlevkivi!$C$99:$K$117,Põlevkivi!J$98)</f>
        <v>-38.390417100000008</v>
      </c>
      <c r="L710" s="284">
        <f>VLOOKUP($D710,Põlevkivi!$C$99:$K$117,Põlevkivi!K$98)</f>
        <v>-41.675990737500015</v>
      </c>
    </row>
    <row r="711" spans="3:12" x14ac:dyDescent="0.3">
      <c r="C711" s="259" t="s">
        <v>53</v>
      </c>
      <c r="D711" s="251">
        <v>105</v>
      </c>
      <c r="E711" s="284">
        <f>VLOOKUP($D711,Põlevkivi!$C$99:$K$117,Põlevkivi!D$98)</f>
        <v>0</v>
      </c>
      <c r="F711" s="284">
        <f>VLOOKUP($D711,Põlevkivi!$C$99:$K$117,Põlevkivi!E$98)</f>
        <v>0</v>
      </c>
      <c r="G711" s="284">
        <f>VLOOKUP($D711,Põlevkivi!$C$99:$K$117,Põlevkivi!F$98)</f>
        <v>0</v>
      </c>
      <c r="H711" s="284">
        <f>VLOOKUP($D711,Põlevkivi!$C$99:$K$117,Põlevkivi!G$98)</f>
        <v>0</v>
      </c>
      <c r="I711" s="284">
        <f>VLOOKUP($D711,Põlevkivi!$C$99:$K$117,Põlevkivi!H$98)</f>
        <v>0</v>
      </c>
      <c r="J711" s="284">
        <f>VLOOKUP($D711,Põlevkivi!$C$99:$K$117,Põlevkivi!I$98)</f>
        <v>0</v>
      </c>
      <c r="K711" s="284">
        <f>VLOOKUP($D711,Põlevkivi!$C$99:$K$117,Põlevkivi!J$98)</f>
        <v>0</v>
      </c>
      <c r="L711" s="284">
        <f>VLOOKUP($D711,Põlevkivi!$C$99:$K$117,Põlevkivi!K$98)</f>
        <v>0</v>
      </c>
    </row>
    <row r="712" spans="3:12" x14ac:dyDescent="0.3">
      <c r="C712" s="259" t="s">
        <v>666</v>
      </c>
      <c r="D712" s="251">
        <v>106</v>
      </c>
      <c r="E712" s="284">
        <f>VLOOKUP($D712,Põlevkivi!$C$99:$K$117,Põlevkivi!D$98)</f>
        <v>0</v>
      </c>
      <c r="F712" s="284">
        <f>VLOOKUP($D712,Põlevkivi!$C$99:$K$117,Põlevkivi!E$98)</f>
        <v>-1.3531744281249978</v>
      </c>
      <c r="G712" s="284">
        <f>VLOOKUP($D712,Põlevkivi!$C$99:$K$117,Põlevkivi!F$98)</f>
        <v>-3.7928566177083312</v>
      </c>
      <c r="H712" s="284">
        <f>VLOOKUP($D712,Põlevkivi!$C$99:$K$117,Põlevkivi!G$98)</f>
        <v>-8.6722209968749979</v>
      </c>
      <c r="I712" s="284">
        <f>VLOOKUP($D712,Põlevkivi!$C$99:$K$117,Põlevkivi!H$98)</f>
        <v>-8.6722209968749979</v>
      </c>
      <c r="J712" s="284">
        <f>VLOOKUP($D712,Põlevkivi!$C$99:$K$117,Põlevkivi!I$98)</f>
        <v>-8.6722209968749979</v>
      </c>
      <c r="K712" s="284">
        <f>VLOOKUP($D712,Põlevkivi!$C$99:$K$117,Põlevkivi!J$98)</f>
        <v>-8.6722209968749979</v>
      </c>
      <c r="L712" s="284">
        <f>VLOOKUP($D712,Põlevkivi!$C$99:$K$117,Põlevkivi!K$98)</f>
        <v>-8.6722209968749979</v>
      </c>
    </row>
    <row r="713" spans="3:12" x14ac:dyDescent="0.3">
      <c r="C713" s="183" t="s">
        <v>321</v>
      </c>
      <c r="D713" s="253" t="s">
        <v>293</v>
      </c>
      <c r="E713" s="284"/>
      <c r="F713" s="284"/>
      <c r="G713" s="284"/>
      <c r="H713" s="284"/>
      <c r="I713" s="284"/>
      <c r="J713" s="284"/>
      <c r="K713" s="284"/>
      <c r="L713" s="284"/>
    </row>
    <row r="714" spans="3:12" x14ac:dyDescent="0.3">
      <c r="C714" s="191" t="s">
        <v>650</v>
      </c>
      <c r="D714" s="253" t="s">
        <v>75</v>
      </c>
      <c r="E714" s="284">
        <f>Põlevkivi!D38</f>
        <v>0</v>
      </c>
      <c r="F714" s="284">
        <f>Põlevkivi!E38</f>
        <v>-8341.5</v>
      </c>
      <c r="G714" s="284">
        <f>Põlevkivi!F38</f>
        <v>-25024.5</v>
      </c>
      <c r="H714" s="284">
        <f>Põlevkivi!G38</f>
        <v>-58390.500000000029</v>
      </c>
      <c r="I714" s="284">
        <f>Põlevkivi!H38</f>
        <v>-58390.500000000029</v>
      </c>
      <c r="J714" s="284">
        <f>Põlevkivi!I38</f>
        <v>-58390.500000000029</v>
      </c>
      <c r="K714" s="284">
        <f>Põlevkivi!J38</f>
        <v>-58390.500000000029</v>
      </c>
      <c r="L714" s="284">
        <f>Põlevkivi!K38</f>
        <v>-58390.500000000029</v>
      </c>
    </row>
    <row r="715" spans="3:12" x14ac:dyDescent="0.3">
      <c r="C715" s="279" t="s">
        <v>323</v>
      </c>
      <c r="D715" s="253" t="s">
        <v>75</v>
      </c>
      <c r="E715" s="284">
        <f>Põlevkivi!D39</f>
        <v>0</v>
      </c>
      <c r="F715" s="284">
        <f>Põlevkivi!E39</f>
        <v>-8341.5</v>
      </c>
      <c r="G715" s="284">
        <f>Põlevkivi!F39</f>
        <v>-25024.5</v>
      </c>
      <c r="H715" s="284">
        <f>Põlevkivi!G39</f>
        <v>-58390.500000000029</v>
      </c>
      <c r="I715" s="284">
        <f>Põlevkivi!H39</f>
        <v>-58390.500000000029</v>
      </c>
      <c r="J715" s="284">
        <f>Põlevkivi!I39</f>
        <v>-58390.500000000029</v>
      </c>
      <c r="K715" s="284">
        <f>Põlevkivi!J39</f>
        <v>-58390.500000000029</v>
      </c>
      <c r="L715" s="284">
        <f>Põlevkivi!K39</f>
        <v>-58390.500000000029</v>
      </c>
    </row>
    <row r="716" spans="3:12" x14ac:dyDescent="0.3">
      <c r="C716" s="279" t="s">
        <v>324</v>
      </c>
      <c r="D716" s="253" t="s">
        <v>75</v>
      </c>
      <c r="E716" s="284">
        <v>0</v>
      </c>
      <c r="F716" s="284">
        <v>0</v>
      </c>
      <c r="G716" s="284">
        <v>0</v>
      </c>
      <c r="H716" s="284">
        <v>0</v>
      </c>
      <c r="I716" s="284">
        <v>0</v>
      </c>
      <c r="J716" s="284">
        <v>0</v>
      </c>
      <c r="K716" s="284">
        <v>0</v>
      </c>
      <c r="L716" s="284">
        <v>0</v>
      </c>
    </row>
    <row r="717" spans="3:12" x14ac:dyDescent="0.3">
      <c r="C717" s="280" t="s">
        <v>325</v>
      </c>
      <c r="D717" s="253" t="s">
        <v>75</v>
      </c>
      <c r="E717" s="284">
        <v>0</v>
      </c>
      <c r="F717" s="284">
        <v>0</v>
      </c>
      <c r="G717" s="284">
        <v>0</v>
      </c>
      <c r="H717" s="284">
        <v>0</v>
      </c>
      <c r="I717" s="284">
        <v>0</v>
      </c>
      <c r="J717" s="284">
        <v>0</v>
      </c>
      <c r="K717" s="284">
        <v>0</v>
      </c>
      <c r="L717" s="284">
        <v>0</v>
      </c>
    </row>
    <row r="718" spans="3:12" x14ac:dyDescent="0.3">
      <c r="C718" s="280" t="s">
        <v>541</v>
      </c>
      <c r="D718" s="253" t="s">
        <v>75</v>
      </c>
      <c r="E718" s="284">
        <v>0</v>
      </c>
      <c r="F718" s="284">
        <v>0</v>
      </c>
      <c r="G718" s="284">
        <v>0</v>
      </c>
      <c r="H718" s="284">
        <v>0</v>
      </c>
      <c r="I718" s="284">
        <v>0</v>
      </c>
      <c r="J718" s="284">
        <v>0</v>
      </c>
      <c r="K718" s="284">
        <v>0</v>
      </c>
      <c r="L718" s="284">
        <v>0</v>
      </c>
    </row>
    <row r="719" spans="3:12" x14ac:dyDescent="0.3">
      <c r="C719" s="191" t="s">
        <v>326</v>
      </c>
      <c r="D719" s="253" t="s">
        <v>306</v>
      </c>
      <c r="E719" s="284">
        <v>0</v>
      </c>
      <c r="F719" s="284">
        <v>0</v>
      </c>
      <c r="G719" s="284">
        <v>0</v>
      </c>
      <c r="H719" s="284">
        <v>0</v>
      </c>
      <c r="I719" s="284">
        <v>0</v>
      </c>
      <c r="J719" s="284">
        <v>0</v>
      </c>
      <c r="K719" s="284">
        <v>0</v>
      </c>
      <c r="L719" s="284">
        <v>0</v>
      </c>
    </row>
    <row r="720" spans="3:12" x14ac:dyDescent="0.3">
      <c r="C720" s="301" t="s">
        <v>387</v>
      </c>
      <c r="D720" s="253" t="s">
        <v>388</v>
      </c>
      <c r="E720" s="284">
        <f>Põlevkivi!D62</f>
        <v>0</v>
      </c>
      <c r="F720" s="284">
        <f>Põlevkivi!E62</f>
        <v>-93.873532499999556</v>
      </c>
      <c r="G720" s="284">
        <f>Põlevkivi!F62</f>
        <v>-281.62059750000026</v>
      </c>
      <c r="H720" s="284">
        <f>Põlevkivi!G62</f>
        <v>-657.1147275000003</v>
      </c>
      <c r="I720" s="284">
        <f>Põlevkivi!H62</f>
        <v>-657.1147275000003</v>
      </c>
      <c r="J720" s="284">
        <f>Põlevkivi!I62</f>
        <v>-657.1147275000003</v>
      </c>
      <c r="K720" s="284">
        <f>Põlevkivi!J62</f>
        <v>-657.1147275000003</v>
      </c>
      <c r="L720" s="284">
        <f>Põlevkivi!K62</f>
        <v>-657.1147275000003</v>
      </c>
    </row>
    <row r="721" spans="2:12" x14ac:dyDescent="0.3">
      <c r="H721" s="113"/>
    </row>
    <row r="722" spans="2:12" ht="11.25" customHeight="1" x14ac:dyDescent="0.3">
      <c r="B722" s="106"/>
      <c r="C722" s="283" t="s">
        <v>841</v>
      </c>
      <c r="D722" s="119"/>
      <c r="E722" s="195"/>
      <c r="F722" s="106"/>
      <c r="G722" s="112"/>
    </row>
    <row r="723" spans="2:12" x14ac:dyDescent="0.3">
      <c r="C723" s="282" t="s">
        <v>259</v>
      </c>
      <c r="D723" s="253" t="s">
        <v>318</v>
      </c>
      <c r="E723" s="183">
        <v>2015</v>
      </c>
      <c r="F723" s="183">
        <v>2020</v>
      </c>
      <c r="G723" s="183">
        <v>2025</v>
      </c>
      <c r="H723" s="183">
        <v>2030</v>
      </c>
      <c r="I723" s="183">
        <v>2035</v>
      </c>
      <c r="J723" s="183">
        <v>2040</v>
      </c>
      <c r="K723" s="183">
        <v>2045</v>
      </c>
      <c r="L723" s="183">
        <v>2050</v>
      </c>
    </row>
    <row r="724" spans="2:12" x14ac:dyDescent="0.3">
      <c r="C724" s="191" t="s">
        <v>231</v>
      </c>
      <c r="D724" s="183">
        <v>1</v>
      </c>
      <c r="E724" s="284">
        <f>VLOOKUP($D724,Põlevkivi!$C$122:$K$140,Põlevkivi!D$121)</f>
        <v>0</v>
      </c>
      <c r="F724" s="284">
        <f>VLOOKUP($D724,Põlevkivi!$C$122:$K$140,Põlevkivi!E$121)</f>
        <v>0</v>
      </c>
      <c r="G724" s="284">
        <f>VLOOKUP($D724,Põlevkivi!$C$122:$K$140,Põlevkivi!F$121)</f>
        <v>0</v>
      </c>
      <c r="H724" s="284">
        <f>VLOOKUP($D724,Põlevkivi!$C$122:$K$140,Põlevkivi!G$121)</f>
        <v>0</v>
      </c>
      <c r="I724" s="284">
        <f>VLOOKUP($D724,Põlevkivi!$C$122:$K$140,Põlevkivi!H$121)</f>
        <v>0</v>
      </c>
      <c r="J724" s="284">
        <f>VLOOKUP($D724,Põlevkivi!$C$122:$K$140,Põlevkivi!I$121)</f>
        <v>0</v>
      </c>
      <c r="K724" s="284">
        <f>VLOOKUP($D724,Põlevkivi!$C$122:$K$140,Põlevkivi!J$121)</f>
        <v>0</v>
      </c>
      <c r="L724" s="284">
        <f>VLOOKUP($D724,Põlevkivi!$C$122:$K$140,Põlevkivi!K$121)</f>
        <v>0</v>
      </c>
    </row>
    <row r="725" spans="2:12" x14ac:dyDescent="0.3">
      <c r="C725" s="191" t="s">
        <v>209</v>
      </c>
      <c r="D725" s="183">
        <v>2</v>
      </c>
      <c r="E725" s="284">
        <f>VLOOKUP($D725,Põlevkivi!$C$122:$K$140,Põlevkivi!D$121)</f>
        <v>0</v>
      </c>
      <c r="F725" s="284">
        <f>VLOOKUP($D725,Põlevkivi!$C$122:$K$140,Põlevkivi!E$121)</f>
        <v>0</v>
      </c>
      <c r="G725" s="284">
        <f>VLOOKUP($D725,Põlevkivi!$C$122:$K$140,Põlevkivi!F$121)</f>
        <v>0</v>
      </c>
      <c r="H725" s="284">
        <f>VLOOKUP($D725,Põlevkivi!$C$122:$K$140,Põlevkivi!G$121)</f>
        <v>0</v>
      </c>
      <c r="I725" s="284">
        <f>VLOOKUP($D725,Põlevkivi!$C$122:$K$140,Põlevkivi!H$121)</f>
        <v>0</v>
      </c>
      <c r="J725" s="284">
        <f>VLOOKUP($D725,Põlevkivi!$C$122:$K$140,Põlevkivi!I$121)</f>
        <v>0</v>
      </c>
      <c r="K725" s="284">
        <f>VLOOKUP($D725,Põlevkivi!$C$122:$K$140,Põlevkivi!J$121)</f>
        <v>0</v>
      </c>
      <c r="L725" s="284">
        <f>VLOOKUP($D725,Põlevkivi!$C$122:$K$140,Põlevkivi!K$121)</f>
        <v>0</v>
      </c>
    </row>
    <row r="726" spans="2:12" x14ac:dyDescent="0.3">
      <c r="C726" s="191" t="s">
        <v>417</v>
      </c>
      <c r="D726" s="183">
        <v>4</v>
      </c>
      <c r="E726" s="284">
        <f>VLOOKUP($D726,Põlevkivi!$C$122:$K$140,Põlevkivi!D$121)</f>
        <v>0</v>
      </c>
      <c r="F726" s="284">
        <f>VLOOKUP($D726,Põlevkivi!$C$122:$K$140,Põlevkivi!E$121)</f>
        <v>0</v>
      </c>
      <c r="G726" s="284">
        <f>VLOOKUP($D726,Põlevkivi!$C$122:$K$140,Põlevkivi!F$121)</f>
        <v>0</v>
      </c>
      <c r="H726" s="284">
        <f>VLOOKUP($D726,Põlevkivi!$C$122:$K$140,Põlevkivi!G$121)</f>
        <v>108.53999999999996</v>
      </c>
      <c r="I726" s="284">
        <f>VLOOKUP($D726,Põlevkivi!$C$122:$K$140,Põlevkivi!H$121)</f>
        <v>108.53999999999996</v>
      </c>
      <c r="J726" s="284">
        <f>VLOOKUP($D726,Põlevkivi!$C$122:$K$140,Põlevkivi!I$121)</f>
        <v>108.53999999999996</v>
      </c>
      <c r="K726" s="284">
        <f>VLOOKUP($D726,Põlevkivi!$C$122:$K$140,Põlevkivi!J$121)</f>
        <v>108.53999999999996</v>
      </c>
      <c r="L726" s="284">
        <f>VLOOKUP($D726,Põlevkivi!$C$122:$K$140,Põlevkivi!K$121)</f>
        <v>108.53999999999996</v>
      </c>
    </row>
    <row r="727" spans="2:12" x14ac:dyDescent="0.3">
      <c r="C727" s="191" t="s">
        <v>124</v>
      </c>
      <c r="D727" s="183">
        <v>10</v>
      </c>
      <c r="E727" s="284">
        <f>VLOOKUP($D727,Põlevkivi!$C$122:$K$140,Põlevkivi!D$121)</f>
        <v>0</v>
      </c>
      <c r="F727" s="284">
        <f>VLOOKUP($D727,Põlevkivi!$C$122:$K$140,Põlevkivi!E$121)</f>
        <v>0</v>
      </c>
      <c r="G727" s="284">
        <f>VLOOKUP($D727,Põlevkivi!$C$122:$K$140,Põlevkivi!F$121)</f>
        <v>0</v>
      </c>
      <c r="H727" s="284">
        <f>VLOOKUP($D727,Põlevkivi!$C$122:$K$140,Põlevkivi!G$121)</f>
        <v>0</v>
      </c>
      <c r="I727" s="284">
        <f>VLOOKUP($D727,Põlevkivi!$C$122:$K$140,Põlevkivi!H$121)</f>
        <v>0</v>
      </c>
      <c r="J727" s="284">
        <f>VLOOKUP($D727,Põlevkivi!$C$122:$K$140,Põlevkivi!I$121)</f>
        <v>0</v>
      </c>
      <c r="K727" s="284">
        <f>VLOOKUP($D727,Põlevkivi!$C$122:$K$140,Põlevkivi!J$121)</f>
        <v>0</v>
      </c>
      <c r="L727" s="284">
        <f>VLOOKUP($D727,Põlevkivi!$C$122:$K$140,Põlevkivi!K$121)</f>
        <v>0</v>
      </c>
    </row>
    <row r="728" spans="2:12" x14ac:dyDescent="0.3">
      <c r="C728" s="191" t="s">
        <v>133</v>
      </c>
      <c r="D728" s="183">
        <v>23</v>
      </c>
      <c r="E728" s="284">
        <f>VLOOKUP($D728,Põlevkivi!$C$122:$K$140,Põlevkivi!D$121)</f>
        <v>0</v>
      </c>
      <c r="F728" s="284">
        <f>VLOOKUP($D728,Põlevkivi!$C$122:$K$140,Põlevkivi!E$121)</f>
        <v>0</v>
      </c>
      <c r="G728" s="284">
        <f>VLOOKUP($D728,Põlevkivi!$C$122:$K$140,Põlevkivi!F$121)</f>
        <v>0</v>
      </c>
      <c r="H728" s="284">
        <f>VLOOKUP($D728,Põlevkivi!$C$122:$K$140,Põlevkivi!G$121)</f>
        <v>94.315735631249964</v>
      </c>
      <c r="I728" s="284">
        <f>VLOOKUP($D728,Põlevkivi!$C$122:$K$140,Põlevkivi!H$121)</f>
        <v>32.317784999999986</v>
      </c>
      <c r="J728" s="284">
        <f>VLOOKUP($D728,Põlevkivi!$C$122:$K$140,Põlevkivi!I$121)</f>
        <v>32.317784999999986</v>
      </c>
      <c r="K728" s="284">
        <f>VLOOKUP($D728,Põlevkivi!$C$122:$K$140,Põlevkivi!J$121)</f>
        <v>32.317784999999986</v>
      </c>
      <c r="L728" s="284">
        <f>VLOOKUP($D728,Põlevkivi!$C$122:$K$140,Põlevkivi!K$121)</f>
        <v>32.317784999999986</v>
      </c>
    </row>
    <row r="729" spans="2:12" x14ac:dyDescent="0.3">
      <c r="C729" s="191" t="s">
        <v>285</v>
      </c>
      <c r="D729" s="183">
        <v>24</v>
      </c>
      <c r="E729" s="284">
        <f>VLOOKUP($D729,Põlevkivi!$C$122:$K$140,Põlevkivi!D$121)</f>
        <v>0</v>
      </c>
      <c r="F729" s="284">
        <f>VLOOKUP($D729,Põlevkivi!$C$122:$K$140,Põlevkivi!E$121)</f>
        <v>0</v>
      </c>
      <c r="G729" s="284">
        <f>VLOOKUP($D729,Põlevkivi!$C$122:$K$140,Põlevkivi!F$121)</f>
        <v>0</v>
      </c>
      <c r="H729" s="284">
        <f>VLOOKUP($D729,Põlevkivi!$C$122:$K$140,Põlevkivi!G$121)</f>
        <v>0</v>
      </c>
      <c r="I729" s="284">
        <f>VLOOKUP($D729,Põlevkivi!$C$122:$K$140,Põlevkivi!H$121)</f>
        <v>0</v>
      </c>
      <c r="J729" s="284">
        <f>VLOOKUP($D729,Põlevkivi!$C$122:$K$140,Põlevkivi!I$121)</f>
        <v>0</v>
      </c>
      <c r="K729" s="284">
        <f>VLOOKUP($D729,Põlevkivi!$C$122:$K$140,Põlevkivi!J$121)</f>
        <v>0</v>
      </c>
      <c r="L729" s="284">
        <f>VLOOKUP($D729,Põlevkivi!$C$122:$K$140,Põlevkivi!K$121)</f>
        <v>0</v>
      </c>
    </row>
    <row r="730" spans="2:12" x14ac:dyDescent="0.3">
      <c r="C730" s="191" t="s">
        <v>315</v>
      </c>
      <c r="D730" s="183">
        <v>26</v>
      </c>
      <c r="E730" s="284">
        <f>VLOOKUP($D730,Põlevkivi!$C$122:$K$140,Põlevkivi!D$121)</f>
        <v>0</v>
      </c>
      <c r="F730" s="284">
        <f>VLOOKUP($D730,Põlevkivi!$C$122:$K$140,Põlevkivi!E$121)</f>
        <v>0</v>
      </c>
      <c r="G730" s="284">
        <f>VLOOKUP($D730,Põlevkivi!$C$122:$K$140,Põlevkivi!F$121)</f>
        <v>0</v>
      </c>
      <c r="H730" s="284">
        <f>VLOOKUP($D730,Põlevkivi!$C$122:$K$140,Põlevkivi!G$121)</f>
        <v>0</v>
      </c>
      <c r="I730" s="284">
        <f>VLOOKUP($D730,Põlevkivi!$C$122:$K$140,Põlevkivi!H$121)</f>
        <v>0</v>
      </c>
      <c r="J730" s="284">
        <f>VLOOKUP($D730,Põlevkivi!$C$122:$K$140,Põlevkivi!I$121)</f>
        <v>0</v>
      </c>
      <c r="K730" s="284">
        <f>VLOOKUP($D730,Põlevkivi!$C$122:$K$140,Põlevkivi!J$121)</f>
        <v>0</v>
      </c>
      <c r="L730" s="284">
        <f>VLOOKUP($D730,Põlevkivi!$C$122:$K$140,Põlevkivi!K$121)</f>
        <v>0</v>
      </c>
    </row>
    <row r="731" spans="2:12" x14ac:dyDescent="0.3">
      <c r="C731" s="191" t="s">
        <v>38</v>
      </c>
      <c r="D731" s="183">
        <v>29</v>
      </c>
      <c r="E731" s="284">
        <f>VLOOKUP($D731,Põlevkivi!$C$122:$K$140,Põlevkivi!D$121)</f>
        <v>0</v>
      </c>
      <c r="F731" s="284">
        <f>VLOOKUP($D731,Põlevkivi!$C$122:$K$140,Põlevkivi!E$121)</f>
        <v>0</v>
      </c>
      <c r="G731" s="284">
        <f>VLOOKUP($D731,Põlevkivi!$C$122:$K$140,Põlevkivi!F$121)</f>
        <v>0</v>
      </c>
      <c r="H731" s="284">
        <f>VLOOKUP($D731,Põlevkivi!$C$122:$K$140,Põlevkivi!G$121)</f>
        <v>62.869089656249983</v>
      </c>
      <c r="I731" s="284">
        <f>VLOOKUP($D731,Põlevkivi!$C$122:$K$140,Põlevkivi!H$121)</f>
        <v>8.6180759999999967</v>
      </c>
      <c r="J731" s="284">
        <f>VLOOKUP($D731,Põlevkivi!$C$122:$K$140,Põlevkivi!I$121)</f>
        <v>8.6180759999999967</v>
      </c>
      <c r="K731" s="284">
        <f>VLOOKUP($D731,Põlevkivi!$C$122:$K$140,Põlevkivi!J$121)</f>
        <v>8.6180759999999967</v>
      </c>
      <c r="L731" s="284">
        <f>VLOOKUP($D731,Põlevkivi!$C$122:$K$140,Põlevkivi!K$121)</f>
        <v>8.6180759999999967</v>
      </c>
    </row>
    <row r="732" spans="2:12" x14ac:dyDescent="0.3">
      <c r="C732" s="191" t="s">
        <v>136</v>
      </c>
      <c r="D732" s="183">
        <v>30</v>
      </c>
      <c r="E732" s="284">
        <f>VLOOKUP($D732,Põlevkivi!$C$122:$K$140,Põlevkivi!D$121)</f>
        <v>0</v>
      </c>
      <c r="F732" s="284">
        <f>VLOOKUP($D732,Põlevkivi!$C$122:$K$140,Põlevkivi!E$121)</f>
        <v>0</v>
      </c>
      <c r="G732" s="284">
        <f>VLOOKUP($D732,Põlevkivi!$C$122:$K$140,Põlevkivi!F$121)</f>
        <v>0</v>
      </c>
      <c r="H732" s="284">
        <f>VLOOKUP($D732,Põlevkivi!$C$122:$K$140,Põlevkivi!G$121)</f>
        <v>0</v>
      </c>
      <c r="I732" s="284">
        <f>VLOOKUP($D732,Põlevkivi!$C$122:$K$140,Põlevkivi!H$121)</f>
        <v>0</v>
      </c>
      <c r="J732" s="284">
        <f>VLOOKUP($D732,Põlevkivi!$C$122:$K$140,Põlevkivi!I$121)</f>
        <v>0</v>
      </c>
      <c r="K732" s="284">
        <f>VLOOKUP($D732,Põlevkivi!$C$122:$K$140,Põlevkivi!J$121)</f>
        <v>0</v>
      </c>
      <c r="L732" s="284">
        <f>VLOOKUP($D732,Põlevkivi!$C$122:$K$140,Põlevkivi!K$121)</f>
        <v>0</v>
      </c>
    </row>
    <row r="733" spans="2:12" x14ac:dyDescent="0.3">
      <c r="C733" s="191" t="s">
        <v>360</v>
      </c>
      <c r="D733" s="183">
        <v>31</v>
      </c>
      <c r="E733" s="284">
        <f>VLOOKUP($D733,Põlevkivi!$C$122:$K$140,Põlevkivi!D$121)</f>
        <v>0</v>
      </c>
      <c r="F733" s="284">
        <f>VLOOKUP($D733,Põlevkivi!$C$122:$K$140,Põlevkivi!E$121)</f>
        <v>0</v>
      </c>
      <c r="G733" s="284">
        <f>VLOOKUP($D733,Põlevkivi!$C$122:$K$140,Põlevkivi!F$121)</f>
        <v>0</v>
      </c>
      <c r="H733" s="284">
        <f>VLOOKUP($D733,Põlevkivi!$C$122:$K$140,Põlevkivi!G$121)</f>
        <v>0</v>
      </c>
      <c r="I733" s="284">
        <f>VLOOKUP($D733,Põlevkivi!$C$122:$K$140,Põlevkivi!H$121)</f>
        <v>0</v>
      </c>
      <c r="J733" s="284">
        <f>VLOOKUP($D733,Põlevkivi!$C$122:$K$140,Põlevkivi!I$121)</f>
        <v>0</v>
      </c>
      <c r="K733" s="284">
        <f>VLOOKUP($D733,Põlevkivi!$C$122:$K$140,Põlevkivi!J$121)</f>
        <v>0</v>
      </c>
      <c r="L733" s="284">
        <f>VLOOKUP($D733,Põlevkivi!$C$122:$K$140,Põlevkivi!K$121)</f>
        <v>0</v>
      </c>
    </row>
    <row r="734" spans="2:12" x14ac:dyDescent="0.3">
      <c r="C734" s="191" t="s">
        <v>361</v>
      </c>
      <c r="D734" s="183">
        <v>32</v>
      </c>
      <c r="E734" s="284">
        <f>VLOOKUP($D734,Põlevkivi!$C$122:$K$140,Põlevkivi!D$121)</f>
        <v>0</v>
      </c>
      <c r="F734" s="284">
        <f>VLOOKUP($D734,Põlevkivi!$C$122:$K$140,Põlevkivi!E$121)</f>
        <v>0</v>
      </c>
      <c r="G734" s="284">
        <f>VLOOKUP($D734,Põlevkivi!$C$122:$K$140,Põlevkivi!F$121)</f>
        <v>0</v>
      </c>
      <c r="H734" s="284">
        <f>VLOOKUP($D734,Põlevkivi!$C$122:$K$140,Põlevkivi!G$121)</f>
        <v>0</v>
      </c>
      <c r="I734" s="284">
        <f>VLOOKUP($D734,Põlevkivi!$C$122:$K$140,Põlevkivi!H$121)</f>
        <v>0</v>
      </c>
      <c r="J734" s="284">
        <f>VLOOKUP($D734,Põlevkivi!$C$122:$K$140,Põlevkivi!I$121)</f>
        <v>0</v>
      </c>
      <c r="K734" s="284">
        <f>VLOOKUP($D734,Põlevkivi!$C$122:$K$140,Põlevkivi!J$121)</f>
        <v>0</v>
      </c>
      <c r="L734" s="284">
        <f>VLOOKUP($D734,Põlevkivi!$C$122:$K$140,Põlevkivi!K$121)</f>
        <v>0</v>
      </c>
    </row>
    <row r="735" spans="2:12" x14ac:dyDescent="0.3">
      <c r="C735" s="191" t="s">
        <v>362</v>
      </c>
      <c r="D735" s="183">
        <v>33</v>
      </c>
      <c r="E735" s="284">
        <f>VLOOKUP($D735,Põlevkivi!$C$122:$K$140,Põlevkivi!D$121)</f>
        <v>0</v>
      </c>
      <c r="F735" s="284">
        <f>VLOOKUP($D735,Põlevkivi!$C$122:$K$140,Põlevkivi!E$121)</f>
        <v>0</v>
      </c>
      <c r="G735" s="284">
        <f>VLOOKUP($D735,Põlevkivi!$C$122:$K$140,Põlevkivi!F$121)</f>
        <v>0</v>
      </c>
      <c r="H735" s="284">
        <f>VLOOKUP($D735,Põlevkivi!$C$122:$K$140,Põlevkivi!G$121)</f>
        <v>2.1545189999999992</v>
      </c>
      <c r="I735" s="284">
        <f>VLOOKUP($D735,Põlevkivi!$C$122:$K$140,Põlevkivi!H$121)</f>
        <v>2.1545189999999992</v>
      </c>
      <c r="J735" s="284">
        <f>VLOOKUP($D735,Põlevkivi!$C$122:$K$140,Põlevkivi!I$121)</f>
        <v>2.1545189999999992</v>
      </c>
      <c r="K735" s="284">
        <f>VLOOKUP($D735,Põlevkivi!$C$122:$K$140,Põlevkivi!J$121)</f>
        <v>2.1545189999999992</v>
      </c>
      <c r="L735" s="284">
        <f>VLOOKUP($D735,Põlevkivi!$C$122:$K$140,Põlevkivi!K$121)</f>
        <v>2.1545189999999992</v>
      </c>
    </row>
    <row r="736" spans="2:12" x14ac:dyDescent="0.3">
      <c r="C736" s="191" t="s">
        <v>363</v>
      </c>
      <c r="D736" s="183">
        <v>55</v>
      </c>
      <c r="E736" s="284">
        <f>VLOOKUP($D736,Põlevkivi!$C$122:$K$140,Põlevkivi!D$121)</f>
        <v>0</v>
      </c>
      <c r="F736" s="284">
        <f>VLOOKUP($D736,Põlevkivi!$C$122:$K$140,Põlevkivi!E$121)</f>
        <v>0</v>
      </c>
      <c r="G736" s="284">
        <f>VLOOKUP($D736,Põlevkivi!$C$122:$K$140,Põlevkivi!F$121)</f>
        <v>0</v>
      </c>
      <c r="H736" s="284">
        <f>VLOOKUP($D736,Põlevkivi!$C$122:$K$140,Põlevkivi!G$121)</f>
        <v>0</v>
      </c>
      <c r="I736" s="284">
        <f>VLOOKUP($D736,Põlevkivi!$C$122:$K$140,Põlevkivi!H$121)</f>
        <v>0</v>
      </c>
      <c r="J736" s="284">
        <f>VLOOKUP($D736,Põlevkivi!$C$122:$K$140,Põlevkivi!I$121)</f>
        <v>0</v>
      </c>
      <c r="K736" s="284">
        <f>VLOOKUP($D736,Põlevkivi!$C$122:$K$140,Põlevkivi!J$121)</f>
        <v>0</v>
      </c>
      <c r="L736" s="284">
        <f>VLOOKUP($D736,Põlevkivi!$C$122:$K$140,Põlevkivi!K$121)</f>
        <v>0</v>
      </c>
    </row>
    <row r="737" spans="3:12" x14ac:dyDescent="0.3">
      <c r="C737" s="259" t="s">
        <v>204</v>
      </c>
      <c r="D737" s="251">
        <v>101</v>
      </c>
      <c r="E737" s="284">
        <f>VLOOKUP($D737,Põlevkivi!$C$122:$K$140,Põlevkivi!D$121)</f>
        <v>0</v>
      </c>
      <c r="F737" s="284">
        <f>VLOOKUP($D737,Põlevkivi!$C$122:$K$140,Põlevkivi!E$121)</f>
        <v>0</v>
      </c>
      <c r="G737" s="284">
        <f>VLOOKUP($D737,Põlevkivi!$C$122:$K$140,Põlevkivi!F$121)</f>
        <v>0</v>
      </c>
      <c r="H737" s="284">
        <f>VLOOKUP($D737,Põlevkivi!$C$122:$K$140,Põlevkivi!G$121)</f>
        <v>188.57874483273008</v>
      </c>
      <c r="I737" s="284">
        <f>VLOOKUP($D737,Põlevkivi!$C$122:$K$140,Põlevkivi!H$121)</f>
        <v>188.55658128065795</v>
      </c>
      <c r="J737" s="284">
        <f>VLOOKUP($D737,Põlevkivi!$C$122:$K$140,Põlevkivi!I$121)</f>
        <v>188.6257062041384</v>
      </c>
      <c r="K737" s="284">
        <f>VLOOKUP($D737,Põlevkivi!$C$122:$K$140,Põlevkivi!J$121)</f>
        <v>186.30669365609765</v>
      </c>
      <c r="L737" s="284">
        <f>VLOOKUP($D737,Põlevkivi!$C$122:$K$140,Põlevkivi!K$121)</f>
        <v>180.71316837445499</v>
      </c>
    </row>
    <row r="738" spans="3:12" x14ac:dyDescent="0.3">
      <c r="C738" s="259" t="s">
        <v>364</v>
      </c>
      <c r="D738" s="251">
        <v>102</v>
      </c>
      <c r="E738" s="284">
        <f>VLOOKUP($D738,Põlevkivi!$C$122:$K$140,Põlevkivi!D$121)</f>
        <v>0</v>
      </c>
      <c r="F738" s="284">
        <f>VLOOKUP($D738,Põlevkivi!$C$122:$K$140,Põlevkivi!E$121)</f>
        <v>0</v>
      </c>
      <c r="G738" s="284">
        <f>VLOOKUP($D738,Põlevkivi!$C$122:$K$140,Põlevkivi!F$121)</f>
        <v>0</v>
      </c>
      <c r="H738" s="284">
        <f>VLOOKUP($D738,Põlevkivi!$C$122:$K$140,Põlevkivi!G$121)</f>
        <v>0</v>
      </c>
      <c r="I738" s="284">
        <f>VLOOKUP($D738,Põlevkivi!$C$122:$K$140,Põlevkivi!H$121)</f>
        <v>0</v>
      </c>
      <c r="J738" s="284">
        <f>VLOOKUP($D738,Põlevkivi!$C$122:$K$140,Põlevkivi!I$121)</f>
        <v>0</v>
      </c>
      <c r="K738" s="284">
        <f>VLOOKUP($D738,Põlevkivi!$C$122:$K$140,Põlevkivi!J$121)</f>
        <v>0</v>
      </c>
      <c r="L738" s="284">
        <f>VLOOKUP($D738,Põlevkivi!$C$122:$K$140,Põlevkivi!K$121)</f>
        <v>0</v>
      </c>
    </row>
    <row r="739" spans="3:12" x14ac:dyDescent="0.3">
      <c r="C739" s="259" t="s">
        <v>457</v>
      </c>
      <c r="D739" s="251">
        <v>103</v>
      </c>
      <c r="E739" s="284">
        <f>VLOOKUP($D739,Põlevkivi!$C$122:$K$140,Põlevkivi!D$121)</f>
        <v>0</v>
      </c>
      <c r="F739" s="284">
        <f>VLOOKUP($D739,Põlevkivi!$C$122:$K$140,Põlevkivi!E$121)</f>
        <v>0</v>
      </c>
      <c r="G739" s="284">
        <f>VLOOKUP($D739,Põlevkivi!$C$122:$K$140,Põlevkivi!F$121)</f>
        <v>0</v>
      </c>
      <c r="H739" s="284">
        <f>VLOOKUP($D739,Põlevkivi!$C$122:$K$140,Põlevkivi!G$121)</f>
        <v>268.52238220273006</v>
      </c>
      <c r="I739" s="284">
        <f>VLOOKUP($D739,Põlevkivi!$C$122:$K$140,Põlevkivi!H$121)</f>
        <v>374.77966769940781</v>
      </c>
      <c r="J739" s="284">
        <f>VLOOKUP($D739,Põlevkivi!$C$122:$K$140,Põlevkivi!I$121)</f>
        <v>377.66499859788837</v>
      </c>
      <c r="K739" s="284">
        <f>VLOOKUP($D739,Põlevkivi!$C$122:$K$140,Põlevkivi!J$121)</f>
        <v>378.16219202484763</v>
      </c>
      <c r="L739" s="284">
        <f>VLOOKUP($D739,Põlevkivi!$C$122:$K$140,Põlevkivi!K$121)</f>
        <v>375.38487271820486</v>
      </c>
    </row>
    <row r="740" spans="3:12" x14ac:dyDescent="0.3">
      <c r="C740" s="260" t="s">
        <v>110</v>
      </c>
      <c r="D740" s="252">
        <v>104</v>
      </c>
      <c r="E740" s="284">
        <f>VLOOKUP($D740,Põlevkivi!$C$122:$K$140,Põlevkivi!D$121)</f>
        <v>0</v>
      </c>
      <c r="F740" s="284">
        <f>VLOOKUP($D740,Põlevkivi!$C$122:$K$140,Põlevkivi!E$121)</f>
        <v>0</v>
      </c>
      <c r="G740" s="284">
        <f>VLOOKUP($D740,Põlevkivi!$C$122:$K$140,Põlevkivi!F$121)</f>
        <v>0</v>
      </c>
      <c r="H740" s="284">
        <f>VLOOKUP($D740,Põlevkivi!$C$122:$K$140,Põlevkivi!G$121)</f>
        <v>24.316643576250002</v>
      </c>
      <c r="I740" s="284">
        <f>VLOOKUP($D740,Põlevkivi!$C$122:$K$140,Põlevkivi!H$121)</f>
        <v>27.273659850000001</v>
      </c>
      <c r="J740" s="284">
        <f>VLOOKUP($D740,Põlevkivi!$C$122:$K$140,Põlevkivi!I$121)</f>
        <v>30.089865825000018</v>
      </c>
      <c r="K740" s="284">
        <f>VLOOKUP($D740,Põlevkivi!$C$122:$K$140,Põlevkivi!J$121)</f>
        <v>32.906071800000021</v>
      </c>
      <c r="L740" s="284">
        <f>VLOOKUP($D740,Põlevkivi!$C$122:$K$140,Põlevkivi!K$121)</f>
        <v>35.722277775000009</v>
      </c>
    </row>
    <row r="741" spans="3:12" x14ac:dyDescent="0.3">
      <c r="C741" s="259" t="s">
        <v>53</v>
      </c>
      <c r="D741" s="251">
        <v>105</v>
      </c>
      <c r="E741" s="284">
        <f>VLOOKUP($D741,Põlevkivi!$C$122:$K$140,Põlevkivi!D$121)</f>
        <v>0</v>
      </c>
      <c r="F741" s="284">
        <f>VLOOKUP($D741,Põlevkivi!$C$122:$K$140,Põlevkivi!E$121)</f>
        <v>0</v>
      </c>
      <c r="G741" s="284">
        <f>VLOOKUP($D741,Põlevkivi!$C$122:$K$140,Põlevkivi!F$121)</f>
        <v>0</v>
      </c>
      <c r="H741" s="284">
        <f>VLOOKUP($D741,Põlevkivi!$C$122:$K$140,Põlevkivi!G$121)</f>
        <v>0</v>
      </c>
      <c r="I741" s="284">
        <f>VLOOKUP($D741,Põlevkivi!$C$122:$K$140,Põlevkivi!H$121)</f>
        <v>0</v>
      </c>
      <c r="J741" s="284">
        <f>VLOOKUP($D741,Põlevkivi!$C$122:$K$140,Põlevkivi!I$121)</f>
        <v>0</v>
      </c>
      <c r="K741" s="284">
        <f>VLOOKUP($D741,Põlevkivi!$C$122:$K$140,Põlevkivi!J$121)</f>
        <v>0</v>
      </c>
      <c r="L741" s="284">
        <f>VLOOKUP($D741,Põlevkivi!$C$122:$K$140,Põlevkivi!K$121)</f>
        <v>0</v>
      </c>
    </row>
    <row r="742" spans="3:12" x14ac:dyDescent="0.3">
      <c r="C742" s="259" t="s">
        <v>666</v>
      </c>
      <c r="D742" s="251">
        <v>106</v>
      </c>
      <c r="E742" s="284">
        <f>VLOOKUP($D742,Põlevkivi!$C$122:$K$140,Põlevkivi!D$121)</f>
        <v>0</v>
      </c>
      <c r="F742" s="284">
        <f>VLOOKUP($D742,Põlevkivi!$C$122:$K$140,Põlevkivi!E$121)</f>
        <v>0</v>
      </c>
      <c r="G742" s="284">
        <f>VLOOKUP($D742,Põlevkivi!$C$122:$K$140,Põlevkivi!F$121)</f>
        <v>0</v>
      </c>
      <c r="H742" s="284">
        <f>VLOOKUP($D742,Põlevkivi!$C$122:$K$140,Põlevkivi!G$121)</f>
        <v>7.3190465687499966</v>
      </c>
      <c r="I742" s="284">
        <f>VLOOKUP($D742,Põlevkivi!$C$122:$K$140,Põlevkivi!H$121)</f>
        <v>7.3190465687499966</v>
      </c>
      <c r="J742" s="284">
        <f>VLOOKUP($D742,Põlevkivi!$C$122:$K$140,Põlevkivi!I$121)</f>
        <v>7.3190465687499966</v>
      </c>
      <c r="K742" s="284">
        <f>VLOOKUP($D742,Põlevkivi!$C$122:$K$140,Põlevkivi!J$121)</f>
        <v>7.3190465687499966</v>
      </c>
      <c r="L742" s="284">
        <f>VLOOKUP($D742,Põlevkivi!$C$122:$K$140,Põlevkivi!K$121)</f>
        <v>7.3190465687499966</v>
      </c>
    </row>
    <row r="743" spans="3:12" x14ac:dyDescent="0.3">
      <c r="C743" s="183" t="s">
        <v>321</v>
      </c>
      <c r="D743" s="253" t="s">
        <v>293</v>
      </c>
      <c r="E743" s="284"/>
      <c r="F743" s="284"/>
      <c r="G743" s="284"/>
      <c r="H743" s="284"/>
      <c r="I743" s="284"/>
      <c r="J743" s="284"/>
      <c r="K743" s="284"/>
      <c r="L743" s="284"/>
    </row>
    <row r="744" spans="3:12" x14ac:dyDescent="0.3">
      <c r="C744" s="191" t="s">
        <v>650</v>
      </c>
      <c r="D744" s="253" t="s">
        <v>75</v>
      </c>
      <c r="E744" s="284">
        <f>Põlevkivi!D68</f>
        <v>0</v>
      </c>
      <c r="F744" s="284">
        <f>Põlevkivi!E68</f>
        <v>0</v>
      </c>
      <c r="G744" s="284">
        <f>Põlevkivi!F68</f>
        <v>0</v>
      </c>
      <c r="H744" s="284">
        <f>Põlevkivi!G68</f>
        <v>50049</v>
      </c>
      <c r="I744" s="284">
        <f>Põlevkivi!H68</f>
        <v>50049</v>
      </c>
      <c r="J744" s="284">
        <f>Põlevkivi!I68</f>
        <v>50049</v>
      </c>
      <c r="K744" s="284">
        <f>Põlevkivi!J68</f>
        <v>50049</v>
      </c>
      <c r="L744" s="284">
        <f>Põlevkivi!K68</f>
        <v>50049</v>
      </c>
    </row>
    <row r="745" spans="3:12" x14ac:dyDescent="0.3">
      <c r="C745" s="279" t="s">
        <v>323</v>
      </c>
      <c r="D745" s="253" t="s">
        <v>75</v>
      </c>
      <c r="E745" s="284">
        <f>Põlevkivi!D69</f>
        <v>0</v>
      </c>
      <c r="F745" s="284">
        <f>Põlevkivi!E69</f>
        <v>0</v>
      </c>
      <c r="G745" s="284">
        <f>Põlevkivi!F69</f>
        <v>0</v>
      </c>
      <c r="H745" s="284">
        <f>Põlevkivi!G69</f>
        <v>50049</v>
      </c>
      <c r="I745" s="284">
        <f>Põlevkivi!H69</f>
        <v>50049</v>
      </c>
      <c r="J745" s="284">
        <f>Põlevkivi!I69</f>
        <v>50049</v>
      </c>
      <c r="K745" s="284">
        <f>Põlevkivi!J69</f>
        <v>50049</v>
      </c>
      <c r="L745" s="284">
        <f>Põlevkivi!K69</f>
        <v>50049</v>
      </c>
    </row>
    <row r="746" spans="3:12" x14ac:dyDescent="0.3">
      <c r="C746" s="279" t="s">
        <v>324</v>
      </c>
      <c r="D746" s="253" t="s">
        <v>75</v>
      </c>
      <c r="E746" s="284">
        <v>0</v>
      </c>
      <c r="F746" s="284">
        <v>0</v>
      </c>
      <c r="G746" s="284">
        <v>0</v>
      </c>
      <c r="H746" s="284">
        <v>0</v>
      </c>
      <c r="I746" s="284">
        <v>0</v>
      </c>
      <c r="J746" s="284">
        <v>0</v>
      </c>
      <c r="K746" s="284">
        <v>0</v>
      </c>
      <c r="L746" s="284">
        <v>0</v>
      </c>
    </row>
    <row r="747" spans="3:12" x14ac:dyDescent="0.3">
      <c r="C747" s="280" t="s">
        <v>325</v>
      </c>
      <c r="D747" s="253" t="s">
        <v>75</v>
      </c>
      <c r="E747" s="284">
        <v>0</v>
      </c>
      <c r="F747" s="284">
        <v>0</v>
      </c>
      <c r="G747" s="284">
        <v>0</v>
      </c>
      <c r="H747" s="284">
        <v>0</v>
      </c>
      <c r="I747" s="284">
        <v>0</v>
      </c>
      <c r="J747" s="284">
        <v>0</v>
      </c>
      <c r="K747" s="284">
        <v>0</v>
      </c>
      <c r="L747" s="284">
        <v>0</v>
      </c>
    </row>
    <row r="748" spans="3:12" x14ac:dyDescent="0.3">
      <c r="C748" s="280" t="s">
        <v>541</v>
      </c>
      <c r="D748" s="253" t="s">
        <v>75</v>
      </c>
      <c r="E748" s="284">
        <v>0</v>
      </c>
      <c r="F748" s="284">
        <v>0</v>
      </c>
      <c r="G748" s="284">
        <v>0</v>
      </c>
      <c r="H748" s="284">
        <v>0</v>
      </c>
      <c r="I748" s="284">
        <v>0</v>
      </c>
      <c r="J748" s="284">
        <v>0</v>
      </c>
      <c r="K748" s="284">
        <v>0</v>
      </c>
      <c r="L748" s="284">
        <v>0</v>
      </c>
    </row>
    <row r="749" spans="3:12" x14ac:dyDescent="0.3">
      <c r="C749" s="191" t="s">
        <v>326</v>
      </c>
      <c r="D749" s="253" t="s">
        <v>306</v>
      </c>
      <c r="E749" s="284">
        <v>0</v>
      </c>
      <c r="F749" s="284">
        <v>0</v>
      </c>
      <c r="G749" s="284">
        <v>0</v>
      </c>
      <c r="H749" s="284">
        <v>0</v>
      </c>
      <c r="I749" s="284">
        <v>0</v>
      </c>
      <c r="J749" s="284">
        <v>0</v>
      </c>
      <c r="K749" s="284">
        <v>0</v>
      </c>
      <c r="L749" s="284">
        <v>0</v>
      </c>
    </row>
    <row r="750" spans="3:12" x14ac:dyDescent="0.3">
      <c r="C750" s="307" t="s">
        <v>387</v>
      </c>
      <c r="D750" s="308" t="s">
        <v>388</v>
      </c>
      <c r="E750" s="284">
        <f>Põlevkivi!D92</f>
        <v>0</v>
      </c>
      <c r="F750" s="284">
        <f>Põlevkivi!E92</f>
        <v>0</v>
      </c>
      <c r="G750" s="284">
        <f>Põlevkivi!F92</f>
        <v>0</v>
      </c>
      <c r="H750" s="284">
        <f>Põlevkivi!G92</f>
        <v>563.24119500000006</v>
      </c>
      <c r="I750" s="284">
        <f>Põlevkivi!H92</f>
        <v>563.24119500000006</v>
      </c>
      <c r="J750" s="284">
        <f>Põlevkivi!I92</f>
        <v>563.24119500000006</v>
      </c>
      <c r="K750" s="284">
        <f>Põlevkivi!J92</f>
        <v>563.24119500000006</v>
      </c>
      <c r="L750" s="284">
        <f>Põlevkivi!K92</f>
        <v>563.24119500000006</v>
      </c>
    </row>
  </sheetData>
  <hyperlinks>
    <hyperlink ref="A1" location="Tiitel!A1" display="Tagasi &quot;Tiitel&quot;"/>
  </hyperlinks>
  <pageMargins left="0.75" right="0.75" top="1" bottom="1" header="0.5" footer="0.5"/>
  <pageSetup paperSize="9" orientation="portrait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7">
    <tabColor theme="5" tint="-0.249977111117893"/>
  </sheetPr>
  <dimension ref="A1:AH276"/>
  <sheetViews>
    <sheetView zoomScale="85" zoomScaleNormal="85" workbookViewId="0">
      <pane xSplit="2" ySplit="2" topLeftCell="C239" activePane="bottomRight" state="frozen"/>
      <selection pane="topRight" activeCell="C1" sqref="C1"/>
      <selection pane="bottomLeft" activeCell="A3" sqref="A3"/>
      <selection pane="bottomRight" activeCell="AD253" sqref="AD253"/>
    </sheetView>
  </sheetViews>
  <sheetFormatPr defaultColWidth="9.109375" defaultRowHeight="13.8" x14ac:dyDescent="0.3"/>
  <cols>
    <col min="1" max="1" width="3.5546875" style="181" customWidth="1"/>
    <col min="2" max="2" width="40.33203125" style="181" customWidth="1"/>
    <col min="3" max="10" width="9.109375" style="181"/>
    <col min="11" max="11" width="11.6640625" style="181" bestFit="1" customWidth="1"/>
    <col min="12" max="12" width="9.109375" style="181"/>
    <col min="13" max="13" width="33.33203125" style="181" customWidth="1"/>
    <col min="14" max="25" width="9.109375" style="181"/>
    <col min="26" max="26" width="11.33203125" style="181" customWidth="1"/>
    <col min="27" max="16384" width="9.109375" style="181"/>
  </cols>
  <sheetData>
    <row r="1" spans="1:34" x14ac:dyDescent="0.3">
      <c r="A1" s="801" t="s">
        <v>338</v>
      </c>
    </row>
    <row r="2" spans="1:34" ht="15.6" x14ac:dyDescent="0.3">
      <c r="B2" s="192" t="s">
        <v>743</v>
      </c>
    </row>
    <row r="5" spans="1:34" ht="72.75" customHeight="1" x14ac:dyDescent="0.3">
      <c r="B5" s="603" t="s">
        <v>252</v>
      </c>
      <c r="C5" s="615"/>
      <c r="D5" s="615"/>
      <c r="E5" s="615"/>
      <c r="F5" s="615"/>
      <c r="G5" s="615"/>
      <c r="H5" s="615"/>
      <c r="I5" s="615"/>
      <c r="J5" s="615"/>
      <c r="K5" s="605"/>
      <c r="M5" s="802" t="s">
        <v>627</v>
      </c>
      <c r="N5" s="287"/>
      <c r="O5" s="287" t="s">
        <v>231</v>
      </c>
      <c r="P5" s="287" t="s">
        <v>209</v>
      </c>
      <c r="Q5" s="287" t="s">
        <v>417</v>
      </c>
      <c r="R5" s="287" t="s">
        <v>124</v>
      </c>
      <c r="S5" s="287" t="s">
        <v>133</v>
      </c>
      <c r="T5" s="287" t="s">
        <v>285</v>
      </c>
      <c r="U5" s="287" t="s">
        <v>315</v>
      </c>
      <c r="V5" s="287" t="s">
        <v>38</v>
      </c>
      <c r="W5" s="287" t="s">
        <v>136</v>
      </c>
      <c r="X5" s="287" t="s">
        <v>360</v>
      </c>
      <c r="Y5" s="287" t="s">
        <v>361</v>
      </c>
      <c r="Z5" s="287" t="s">
        <v>362</v>
      </c>
      <c r="AA5" s="287" t="s">
        <v>363</v>
      </c>
      <c r="AB5" s="287" t="s">
        <v>204</v>
      </c>
      <c r="AC5" s="287" t="s">
        <v>364</v>
      </c>
      <c r="AD5" s="287" t="s">
        <v>457</v>
      </c>
      <c r="AE5" s="287" t="s">
        <v>110</v>
      </c>
      <c r="AF5" s="287" t="s">
        <v>53</v>
      </c>
      <c r="AG5" s="287" t="s">
        <v>708</v>
      </c>
      <c r="AH5" s="803" t="s">
        <v>201</v>
      </c>
    </row>
    <row r="6" spans="1:34" x14ac:dyDescent="0.3">
      <c r="B6" s="602"/>
      <c r="C6" s="600" t="s">
        <v>293</v>
      </c>
      <c r="D6" s="618">
        <v>2012</v>
      </c>
      <c r="E6" s="617">
        <v>2020</v>
      </c>
      <c r="F6" s="618">
        <v>2026</v>
      </c>
      <c r="G6" s="600">
        <v>2030</v>
      </c>
      <c r="H6" s="600">
        <v>2035</v>
      </c>
      <c r="I6" s="600">
        <v>2040</v>
      </c>
      <c r="J6" s="617">
        <v>2045</v>
      </c>
      <c r="K6" s="621">
        <v>2050</v>
      </c>
      <c r="M6" s="804" t="s">
        <v>419</v>
      </c>
      <c r="N6" s="809" t="s">
        <v>293</v>
      </c>
      <c r="O6" s="249">
        <v>1</v>
      </c>
      <c r="P6" s="249">
        <v>2</v>
      </c>
      <c r="Q6" s="249">
        <v>4</v>
      </c>
      <c r="R6" s="249">
        <v>10</v>
      </c>
      <c r="S6" s="249">
        <v>23</v>
      </c>
      <c r="T6" s="249">
        <v>24</v>
      </c>
      <c r="U6" s="249">
        <v>26</v>
      </c>
      <c r="V6" s="249">
        <v>29</v>
      </c>
      <c r="W6" s="249">
        <v>30</v>
      </c>
      <c r="X6" s="249">
        <v>31</v>
      </c>
      <c r="Y6" s="249">
        <v>32</v>
      </c>
      <c r="Z6" s="249">
        <v>33</v>
      </c>
      <c r="AA6" s="249">
        <v>55</v>
      </c>
      <c r="AB6" s="249">
        <v>101</v>
      </c>
      <c r="AC6" s="249">
        <v>102</v>
      </c>
      <c r="AD6" s="249">
        <v>103</v>
      </c>
      <c r="AE6" s="249">
        <v>104</v>
      </c>
      <c r="AF6" s="249">
        <v>105</v>
      </c>
      <c r="AG6" s="249">
        <v>106</v>
      </c>
      <c r="AH6" s="805"/>
    </row>
    <row r="7" spans="1:34" x14ac:dyDescent="0.3">
      <c r="B7" s="595" t="s">
        <v>54</v>
      </c>
      <c r="C7" s="596"/>
      <c r="D7" s="596"/>
      <c r="E7" s="596"/>
      <c r="F7" s="596"/>
      <c r="G7" s="596"/>
      <c r="H7" s="596"/>
      <c r="I7" s="626"/>
      <c r="J7" s="596"/>
      <c r="K7" s="596"/>
      <c r="M7" s="819" t="s">
        <v>54</v>
      </c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1"/>
    </row>
    <row r="8" spans="1:34" x14ac:dyDescent="0.3">
      <c r="B8" s="627" t="s">
        <v>294</v>
      </c>
      <c r="C8" s="584" t="s">
        <v>75</v>
      </c>
      <c r="D8" s="1064">
        <v>134082.17222006113</v>
      </c>
      <c r="E8" s="1064">
        <v>70927.460600710634</v>
      </c>
      <c r="F8" s="1064">
        <v>65966.945328218761</v>
      </c>
      <c r="G8" s="1065">
        <v>57314.421260980314</v>
      </c>
      <c r="H8" s="1064">
        <v>49591.227581314233</v>
      </c>
      <c r="I8" s="1065">
        <v>43416.39442456243</v>
      </c>
      <c r="J8" s="1064">
        <v>28194.324642293537</v>
      </c>
      <c r="K8" s="1066">
        <v>23966.760396557471</v>
      </c>
      <c r="M8" s="810" t="s">
        <v>294</v>
      </c>
      <c r="N8" s="802" t="s">
        <v>75</v>
      </c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716"/>
      <c r="Z8" s="716"/>
      <c r="AA8" s="716"/>
      <c r="AB8" s="716"/>
      <c r="AC8" s="716"/>
      <c r="AD8" s="716"/>
      <c r="AE8" s="716"/>
      <c r="AF8" s="716"/>
      <c r="AG8" s="716"/>
      <c r="AH8" s="822"/>
    </row>
    <row r="9" spans="1:34" x14ac:dyDescent="0.3">
      <c r="B9" s="573" t="s">
        <v>323</v>
      </c>
      <c r="C9" s="580" t="s">
        <v>75</v>
      </c>
      <c r="D9" s="1064">
        <v>128963.83279029057</v>
      </c>
      <c r="E9" s="1067">
        <v>63570.294159479556</v>
      </c>
      <c r="F9" s="1068">
        <v>52180.602181962757</v>
      </c>
      <c r="G9" s="1069">
        <v>42977.189968848557</v>
      </c>
      <c r="H9" s="1070">
        <v>34836.69364552277</v>
      </c>
      <c r="I9" s="1069">
        <v>29357.949106923039</v>
      </c>
      <c r="J9" s="1070">
        <v>16663.594176335653</v>
      </c>
      <c r="K9" s="1071">
        <v>14656.466090454012</v>
      </c>
      <c r="M9" s="806" t="s">
        <v>323</v>
      </c>
      <c r="N9" s="802" t="s">
        <v>75</v>
      </c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716"/>
      <c r="Z9" s="716"/>
      <c r="AA9" s="716"/>
      <c r="AB9" s="716"/>
      <c r="AC9" s="716"/>
      <c r="AD9" s="716"/>
      <c r="AE9" s="716"/>
      <c r="AF9" s="716"/>
      <c r="AG9" s="716"/>
      <c r="AH9" s="822"/>
    </row>
    <row r="10" spans="1:34" x14ac:dyDescent="0.3">
      <c r="B10" s="597" t="s">
        <v>648</v>
      </c>
      <c r="C10" s="591" t="s">
        <v>75</v>
      </c>
      <c r="D10" s="1072">
        <v>7118.4799066936312</v>
      </c>
      <c r="E10" s="1072">
        <v>17000.895632058939</v>
      </c>
      <c r="F10" s="1072">
        <v>23405.270413495964</v>
      </c>
      <c r="G10" s="1073">
        <v>23991.316013167587</v>
      </c>
      <c r="H10" s="1072">
        <v>24293.288113382092</v>
      </c>
      <c r="I10" s="1073">
        <v>23400.267965018356</v>
      </c>
      <c r="J10" s="1072">
        <v>21047.646245992219</v>
      </c>
      <c r="K10" s="1074">
        <v>18860.987498788858</v>
      </c>
      <c r="M10" s="806" t="s">
        <v>648</v>
      </c>
      <c r="N10" s="802" t="s">
        <v>75</v>
      </c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822"/>
    </row>
    <row r="11" spans="1:34" x14ac:dyDescent="0.3">
      <c r="B11" s="599" t="s">
        <v>649</v>
      </c>
      <c r="C11" s="574" t="s">
        <v>75</v>
      </c>
      <c r="D11" s="1068">
        <v>7118.4799066936139</v>
      </c>
      <c r="E11" s="1068">
        <v>14139.903632058944</v>
      </c>
      <c r="F11" s="1068">
        <v>20563.87441349596</v>
      </c>
      <c r="G11" s="1075">
        <v>21162.983013167584</v>
      </c>
      <c r="H11" s="1068">
        <v>21479.652113382101</v>
      </c>
      <c r="I11" s="1075">
        <v>20601.327965018358</v>
      </c>
      <c r="J11" s="1068">
        <v>18261.933245992223</v>
      </c>
      <c r="K11" s="1076">
        <v>16088.501498788863</v>
      </c>
      <c r="M11" s="823" t="s">
        <v>649</v>
      </c>
      <c r="N11" s="802" t="s">
        <v>75</v>
      </c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  <c r="AC11" s="716"/>
      <c r="AD11" s="716"/>
      <c r="AE11" s="716"/>
      <c r="AF11" s="716"/>
      <c r="AG11" s="716"/>
      <c r="AH11" s="822"/>
    </row>
    <row r="12" spans="1:34" x14ac:dyDescent="0.3">
      <c r="B12" s="593" t="s">
        <v>305</v>
      </c>
      <c r="C12" s="574" t="s">
        <v>306</v>
      </c>
      <c r="D12" s="1068">
        <v>0</v>
      </c>
      <c r="E12" s="1068">
        <v>0</v>
      </c>
      <c r="F12" s="1068">
        <v>0</v>
      </c>
      <c r="G12" s="1075">
        <v>0</v>
      </c>
      <c r="H12" s="1068">
        <v>0</v>
      </c>
      <c r="I12" s="1075">
        <v>0</v>
      </c>
      <c r="J12" s="1068">
        <v>0</v>
      </c>
      <c r="K12" s="1068">
        <v>0</v>
      </c>
      <c r="M12" s="806" t="s">
        <v>305</v>
      </c>
      <c r="N12" s="802" t="s">
        <v>306</v>
      </c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716"/>
      <c r="Z12" s="716"/>
      <c r="AA12" s="716"/>
      <c r="AB12" s="716"/>
      <c r="AC12" s="716"/>
      <c r="AD12" s="716"/>
      <c r="AE12" s="716"/>
      <c r="AF12" s="716"/>
      <c r="AG12" s="716"/>
      <c r="AH12" s="822"/>
    </row>
    <row r="13" spans="1:34" x14ac:dyDescent="0.3">
      <c r="B13" s="595" t="s">
        <v>709</v>
      </c>
      <c r="C13" s="606"/>
      <c r="D13" s="1077"/>
      <c r="E13" s="1078"/>
      <c r="F13" s="1078"/>
      <c r="G13" s="1079"/>
      <c r="H13" s="1079"/>
      <c r="I13" s="1080"/>
      <c r="J13" s="1078"/>
      <c r="K13" s="1079"/>
      <c r="M13" s="819" t="s">
        <v>709</v>
      </c>
      <c r="N13" s="820"/>
      <c r="O13" s="807"/>
      <c r="P13" s="807"/>
      <c r="Q13" s="807"/>
      <c r="R13" s="807"/>
      <c r="S13" s="807"/>
      <c r="T13" s="807"/>
      <c r="U13" s="807"/>
      <c r="V13" s="807"/>
      <c r="W13" s="807"/>
      <c r="X13" s="807"/>
      <c r="Y13" s="807"/>
      <c r="Z13" s="807"/>
      <c r="AA13" s="807"/>
      <c r="AB13" s="807"/>
      <c r="AC13" s="807"/>
      <c r="AD13" s="807"/>
      <c r="AE13" s="807"/>
      <c r="AF13" s="807"/>
      <c r="AG13" s="807"/>
      <c r="AH13" s="821"/>
    </row>
    <row r="14" spans="1:34" x14ac:dyDescent="0.3">
      <c r="B14" s="598" t="s">
        <v>710</v>
      </c>
      <c r="C14" s="584" t="s">
        <v>296</v>
      </c>
      <c r="D14" s="1081">
        <v>31.649349088478541</v>
      </c>
      <c r="E14" s="1081">
        <v>45.314810820073006</v>
      </c>
      <c r="F14" s="1081">
        <v>49.02008878649653</v>
      </c>
      <c r="G14" s="1082">
        <v>83.14189482586076</v>
      </c>
      <c r="H14" s="1081">
        <v>74.511539209431874</v>
      </c>
      <c r="I14" s="1082">
        <v>131.77665886763484</v>
      </c>
      <c r="J14" s="1081">
        <v>116.84262892190418</v>
      </c>
      <c r="K14" s="1081">
        <v>115.1436098627513</v>
      </c>
      <c r="M14" s="806" t="s">
        <v>710</v>
      </c>
      <c r="N14" s="802" t="s">
        <v>296</v>
      </c>
      <c r="O14" s="716"/>
      <c r="P14" s="716"/>
      <c r="Q14" s="716"/>
      <c r="R14" s="716"/>
      <c r="S14" s="716">
        <v>0.75</v>
      </c>
      <c r="T14" s="716"/>
      <c r="U14" s="716"/>
      <c r="V14" s="716">
        <v>0.25</v>
      </c>
      <c r="W14" s="716"/>
      <c r="X14" s="716"/>
      <c r="Y14" s="716"/>
      <c r="Z14" s="716"/>
      <c r="AA14" s="716"/>
      <c r="AB14" s="716"/>
      <c r="AC14" s="716"/>
      <c r="AD14" s="716"/>
      <c r="AE14" s="716"/>
      <c r="AF14" s="716"/>
      <c r="AG14" s="716"/>
      <c r="AH14" s="248">
        <f>SUM(O14:AG14)</f>
        <v>1</v>
      </c>
    </row>
    <row r="15" spans="1:34" x14ac:dyDescent="0.3">
      <c r="B15" s="598" t="s">
        <v>666</v>
      </c>
      <c r="C15" s="584" t="s">
        <v>296</v>
      </c>
      <c r="D15" s="1081">
        <v>21.039960000000001</v>
      </c>
      <c r="E15" s="1081">
        <v>99.134169838754445</v>
      </c>
      <c r="F15" s="1081">
        <v>107.91253066575976</v>
      </c>
      <c r="G15" s="1082">
        <v>101.81413066575976</v>
      </c>
      <c r="H15" s="1081">
        <v>94.295934564990191</v>
      </c>
      <c r="I15" s="1082">
        <v>174.01697369920706</v>
      </c>
      <c r="J15" s="1081">
        <v>161.77749542133955</v>
      </c>
      <c r="K15" s="1081">
        <v>150.59213049804788</v>
      </c>
      <c r="M15" s="806" t="s">
        <v>666</v>
      </c>
      <c r="N15" s="802" t="s">
        <v>296</v>
      </c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  <c r="AD15" s="716"/>
      <c r="AE15" s="716"/>
      <c r="AF15" s="716"/>
      <c r="AG15" s="716">
        <v>1</v>
      </c>
      <c r="AH15" s="248">
        <f>SUM(O15:AG15)</f>
        <v>1</v>
      </c>
    </row>
    <row r="16" spans="1:34" x14ac:dyDescent="0.3">
      <c r="B16" s="598" t="s">
        <v>298</v>
      </c>
      <c r="C16" s="584" t="s">
        <v>296</v>
      </c>
      <c r="D16" s="1081">
        <v>580.6068678319632</v>
      </c>
      <c r="E16" s="1081">
        <v>95.333991730889068</v>
      </c>
      <c r="F16" s="1081">
        <v>132.64924538434394</v>
      </c>
      <c r="G16" s="1081">
        <v>41.210830414652833</v>
      </c>
      <c r="H16" s="1081">
        <v>16.754476776162278</v>
      </c>
      <c r="I16" s="1081">
        <v>212.20649550082726</v>
      </c>
      <c r="J16" s="1081">
        <v>266.80499442677609</v>
      </c>
      <c r="K16" s="1081">
        <v>238.18746226999252</v>
      </c>
      <c r="M16" s="806" t="s">
        <v>298</v>
      </c>
      <c r="N16" s="802" t="s">
        <v>296</v>
      </c>
      <c r="O16" s="716"/>
      <c r="P16" s="716"/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>
        <v>1</v>
      </c>
      <c r="AC16" s="716"/>
      <c r="AD16" s="716"/>
      <c r="AE16" s="716"/>
      <c r="AF16" s="716"/>
      <c r="AG16" s="716"/>
      <c r="AH16" s="248">
        <f>SUM(O16:AG16)</f>
        <v>1</v>
      </c>
    </row>
    <row r="17" spans="2:34" x14ac:dyDescent="0.3">
      <c r="B17" s="622" t="s">
        <v>420</v>
      </c>
      <c r="C17" s="606"/>
      <c r="D17" s="1077"/>
      <c r="E17" s="1078"/>
      <c r="F17" s="1078"/>
      <c r="G17" s="1079"/>
      <c r="H17" s="1079"/>
      <c r="I17" s="1080"/>
      <c r="J17" s="1078"/>
      <c r="K17" s="1079"/>
      <c r="M17" s="819" t="s">
        <v>420</v>
      </c>
      <c r="N17" s="820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  <c r="AD17" s="807"/>
      <c r="AE17" s="807"/>
      <c r="AF17" s="807"/>
      <c r="AG17" s="807"/>
      <c r="AH17" s="821"/>
    </row>
    <row r="18" spans="2:34" x14ac:dyDescent="0.3">
      <c r="B18" s="597" t="s">
        <v>404</v>
      </c>
      <c r="C18" s="586" t="s">
        <v>296</v>
      </c>
      <c r="D18" s="1083">
        <v>0</v>
      </c>
      <c r="E18" s="1081">
        <v>5.522169483588633</v>
      </c>
      <c r="F18" s="1081">
        <v>12.823704689666901</v>
      </c>
      <c r="G18" s="1081">
        <v>18.593163244406124</v>
      </c>
      <c r="H18" s="1081">
        <v>24.403526758283057</v>
      </c>
      <c r="I18" s="1082">
        <v>30.213890272160047</v>
      </c>
      <c r="J18" s="1081">
        <v>36.876440434738932</v>
      </c>
      <c r="K18" s="1084">
        <v>44.003819678427938</v>
      </c>
      <c r="M18" s="806" t="s">
        <v>404</v>
      </c>
      <c r="N18" s="802" t="s">
        <v>296</v>
      </c>
      <c r="O18" s="716"/>
      <c r="P18" s="716">
        <v>1</v>
      </c>
      <c r="Q18" s="716"/>
      <c r="R18" s="716"/>
      <c r="S18" s="716"/>
      <c r="T18" s="716"/>
      <c r="U18" s="716"/>
      <c r="V18" s="716"/>
      <c r="W18" s="716"/>
      <c r="X18" s="716"/>
      <c r="Y18" s="716"/>
      <c r="Z18" s="716"/>
      <c r="AA18" s="716"/>
      <c r="AB18" s="716"/>
      <c r="AC18" s="716"/>
      <c r="AD18" s="716"/>
      <c r="AE18" s="716"/>
      <c r="AF18" s="716"/>
      <c r="AG18" s="716"/>
      <c r="AH18" s="248">
        <f t="shared" ref="AH18:AH24" si="0">SUM(O18:AG18)</f>
        <v>1</v>
      </c>
    </row>
    <row r="19" spans="2:34" x14ac:dyDescent="0.3">
      <c r="B19" s="598" t="s">
        <v>405</v>
      </c>
      <c r="C19" s="574" t="s">
        <v>296</v>
      </c>
      <c r="D19" s="1081">
        <v>0.96732016014967515</v>
      </c>
      <c r="E19" s="1083">
        <v>1.1714831441650568</v>
      </c>
      <c r="F19" s="1083">
        <v>1.1623441779055326</v>
      </c>
      <c r="G19" s="1084">
        <v>1.0849688894066125</v>
      </c>
      <c r="H19" s="1083">
        <v>0.61162307608733379</v>
      </c>
      <c r="I19" s="1085">
        <v>0.59289576238933572</v>
      </c>
      <c r="J19" s="1083">
        <v>0</v>
      </c>
      <c r="K19" s="1086">
        <v>0</v>
      </c>
      <c r="M19" s="806" t="s">
        <v>405</v>
      </c>
      <c r="N19" s="802" t="s">
        <v>296</v>
      </c>
      <c r="O19" s="716">
        <v>1</v>
      </c>
      <c r="P19" s="716"/>
      <c r="Q19" s="716"/>
      <c r="R19" s="716"/>
      <c r="S19" s="716"/>
      <c r="T19" s="716"/>
      <c r="U19" s="716"/>
      <c r="V19" s="716"/>
      <c r="W19" s="716"/>
      <c r="X19" s="716"/>
      <c r="Y19" s="716"/>
      <c r="Z19" s="716"/>
      <c r="AA19" s="716"/>
      <c r="AB19" s="716"/>
      <c r="AC19" s="716"/>
      <c r="AD19" s="716"/>
      <c r="AE19" s="716"/>
      <c r="AF19" s="716"/>
      <c r="AG19" s="716"/>
      <c r="AH19" s="248">
        <f t="shared" si="0"/>
        <v>1</v>
      </c>
    </row>
    <row r="20" spans="2:34" x14ac:dyDescent="0.3">
      <c r="B20" s="573" t="s">
        <v>406</v>
      </c>
      <c r="C20" s="574" t="s">
        <v>296</v>
      </c>
      <c r="D20" s="1081">
        <v>0</v>
      </c>
      <c r="E20" s="1081">
        <v>148.63925555867115</v>
      </c>
      <c r="F20" s="1081">
        <v>144.45642118257553</v>
      </c>
      <c r="G20" s="1085">
        <v>114.32556377391607</v>
      </c>
      <c r="H20" s="1087">
        <v>87.995640841578393</v>
      </c>
      <c r="I20" s="1088">
        <v>72.19889067959663</v>
      </c>
      <c r="J20" s="1087">
        <v>27.987580998057123</v>
      </c>
      <c r="K20" s="1089">
        <v>20.926557022542735</v>
      </c>
      <c r="M20" s="806" t="s">
        <v>406</v>
      </c>
      <c r="N20" s="802" t="s">
        <v>296</v>
      </c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>
        <v>1</v>
      </c>
      <c r="AE20" s="716"/>
      <c r="AF20" s="716"/>
      <c r="AG20" s="716"/>
      <c r="AH20" s="248">
        <f t="shared" si="0"/>
        <v>1</v>
      </c>
    </row>
    <row r="21" spans="2:34" x14ac:dyDescent="0.3">
      <c r="B21" s="597" t="s">
        <v>407</v>
      </c>
      <c r="C21" s="574" t="s">
        <v>296</v>
      </c>
      <c r="D21" s="1083">
        <v>0</v>
      </c>
      <c r="E21" s="1083">
        <v>0</v>
      </c>
      <c r="F21" s="1085">
        <v>0</v>
      </c>
      <c r="G21" s="1090">
        <v>0</v>
      </c>
      <c r="H21" s="1081">
        <v>0</v>
      </c>
      <c r="I21" s="1090">
        <v>0</v>
      </c>
      <c r="J21" s="1081">
        <v>0</v>
      </c>
      <c r="K21" s="1091">
        <v>0</v>
      </c>
      <c r="M21" s="806" t="s">
        <v>407</v>
      </c>
      <c r="N21" s="802" t="s">
        <v>296</v>
      </c>
      <c r="O21" s="716"/>
      <c r="P21" s="716"/>
      <c r="Q21" s="716">
        <v>1</v>
      </c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716"/>
      <c r="AF21" s="716"/>
      <c r="AG21" s="716"/>
      <c r="AH21" s="248">
        <f t="shared" si="0"/>
        <v>1</v>
      </c>
    </row>
    <row r="22" spans="2:34" x14ac:dyDescent="0.3">
      <c r="B22" s="573" t="s">
        <v>408</v>
      </c>
      <c r="C22" s="586" t="s">
        <v>296</v>
      </c>
      <c r="D22" s="1087">
        <v>94.197991088552314</v>
      </c>
      <c r="E22" s="1087">
        <v>35.343279381162795</v>
      </c>
      <c r="F22" s="1089">
        <v>12.874719428442011</v>
      </c>
      <c r="G22" s="1090">
        <v>11.085834121677687</v>
      </c>
      <c r="H22" s="1081">
        <v>7.7904284380329418</v>
      </c>
      <c r="I22" s="1091">
        <v>0.25066913228029286</v>
      </c>
      <c r="J22" s="1092">
        <v>0</v>
      </c>
      <c r="K22" s="1084">
        <v>0</v>
      </c>
      <c r="M22" s="806" t="s">
        <v>408</v>
      </c>
      <c r="N22" s="802" t="s">
        <v>296</v>
      </c>
      <c r="O22" s="716"/>
      <c r="P22" s="716"/>
      <c r="Q22" s="716"/>
      <c r="R22" s="716"/>
      <c r="S22" s="716"/>
      <c r="T22" s="716"/>
      <c r="U22" s="716"/>
      <c r="V22" s="716"/>
      <c r="W22" s="716"/>
      <c r="X22" s="716"/>
      <c r="Y22" s="716"/>
      <c r="Z22" s="716"/>
      <c r="AA22" s="716"/>
      <c r="AB22" s="716"/>
      <c r="AC22" s="716"/>
      <c r="AD22" s="716">
        <v>1</v>
      </c>
      <c r="AE22" s="716"/>
      <c r="AF22" s="716"/>
      <c r="AG22" s="716"/>
      <c r="AH22" s="248">
        <f t="shared" si="0"/>
        <v>1</v>
      </c>
    </row>
    <row r="23" spans="2:34" x14ac:dyDescent="0.3">
      <c r="B23" s="593" t="s">
        <v>409</v>
      </c>
      <c r="C23" s="574" t="s">
        <v>296</v>
      </c>
      <c r="D23" s="1081">
        <v>172.08553810366237</v>
      </c>
      <c r="E23" s="1081">
        <v>40.897156900629952</v>
      </c>
      <c r="F23" s="1091">
        <v>0</v>
      </c>
      <c r="G23" s="1085">
        <v>4.4507483225848514E-2</v>
      </c>
      <c r="H23" s="1083">
        <v>4.5473421926910333E-2</v>
      </c>
      <c r="I23" s="1085">
        <v>0</v>
      </c>
      <c r="J23" s="1090">
        <v>0</v>
      </c>
      <c r="K23" s="1081">
        <v>0</v>
      </c>
      <c r="M23" s="806" t="s">
        <v>409</v>
      </c>
      <c r="N23" s="802" t="s">
        <v>296</v>
      </c>
      <c r="O23" s="716"/>
      <c r="P23" s="716"/>
      <c r="Q23" s="716">
        <v>1</v>
      </c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  <c r="AF23" s="716"/>
      <c r="AG23" s="716"/>
      <c r="AH23" s="248">
        <f t="shared" si="0"/>
        <v>1</v>
      </c>
    </row>
    <row r="24" spans="2:34" x14ac:dyDescent="0.3">
      <c r="B24" s="593" t="s">
        <v>410</v>
      </c>
      <c r="C24" s="574" t="s">
        <v>296</v>
      </c>
      <c r="D24" s="1081">
        <v>33.288971558098083</v>
      </c>
      <c r="E24" s="1081">
        <v>69.859467140042341</v>
      </c>
      <c r="F24" s="1091">
        <v>103.28521479307818</v>
      </c>
      <c r="G24" s="1090">
        <v>107.24164650437642</v>
      </c>
      <c r="H24" s="1081">
        <v>110.26410994287066</v>
      </c>
      <c r="I24" s="1091">
        <v>103.05136649738671</v>
      </c>
      <c r="J24" s="1082">
        <v>87.303712196787103</v>
      </c>
      <c r="K24" s="1081">
        <v>70.223627143398389</v>
      </c>
      <c r="M24" s="806" t="s">
        <v>410</v>
      </c>
      <c r="N24" s="802" t="s">
        <v>296</v>
      </c>
      <c r="O24" s="716"/>
      <c r="P24" s="716">
        <v>1</v>
      </c>
      <c r="Q24" s="716"/>
      <c r="R24" s="716"/>
      <c r="S24" s="716"/>
      <c r="T24" s="716"/>
      <c r="U24" s="716"/>
      <c r="V24" s="716"/>
      <c r="W24" s="716"/>
      <c r="X24" s="716"/>
      <c r="Y24" s="716"/>
      <c r="Z24" s="716"/>
      <c r="AA24" s="716"/>
      <c r="AB24" s="716"/>
      <c r="AC24" s="716"/>
      <c r="AD24" s="716"/>
      <c r="AE24" s="716"/>
      <c r="AF24" s="716"/>
      <c r="AG24" s="716"/>
      <c r="AH24" s="248">
        <f t="shared" si="0"/>
        <v>1</v>
      </c>
    </row>
    <row r="25" spans="2:34" x14ac:dyDescent="0.3">
      <c r="B25" s="595" t="s">
        <v>45</v>
      </c>
      <c r="C25" s="596"/>
      <c r="D25" s="1077"/>
      <c r="E25" s="1077"/>
      <c r="F25" s="1093"/>
      <c r="G25" s="1094"/>
      <c r="H25" s="1077"/>
      <c r="I25" s="1095"/>
      <c r="J25" s="1080"/>
      <c r="K25" s="1077"/>
      <c r="M25" s="819" t="s">
        <v>45</v>
      </c>
      <c r="N25" s="820"/>
      <c r="O25" s="807"/>
      <c r="P25" s="807"/>
      <c r="Q25" s="807"/>
      <c r="R25" s="807"/>
      <c r="S25" s="807"/>
      <c r="T25" s="807"/>
      <c r="U25" s="807"/>
      <c r="V25" s="807"/>
      <c r="W25" s="807"/>
      <c r="X25" s="807"/>
      <c r="Y25" s="807"/>
      <c r="Z25" s="807"/>
      <c r="AA25" s="807"/>
      <c r="AB25" s="807"/>
      <c r="AC25" s="807"/>
      <c r="AD25" s="807"/>
      <c r="AE25" s="807"/>
      <c r="AF25" s="807"/>
      <c r="AG25" s="807"/>
      <c r="AH25" s="821"/>
    </row>
    <row r="26" spans="2:34" x14ac:dyDescent="0.3">
      <c r="B26" s="594" t="s">
        <v>411</v>
      </c>
      <c r="C26" s="583" t="s">
        <v>296</v>
      </c>
      <c r="D26" s="1084"/>
      <c r="E26" s="1084">
        <v>56.243992309136281</v>
      </c>
      <c r="F26" s="1096">
        <v>78.949033461187938</v>
      </c>
      <c r="G26" s="1081">
        <v>0</v>
      </c>
      <c r="H26" s="1096">
        <v>26.685757607206586</v>
      </c>
      <c r="I26" s="1081">
        <v>438.22407427886884</v>
      </c>
      <c r="J26" s="1091">
        <v>99.753556401688712</v>
      </c>
      <c r="K26" s="1097">
        <v>27.712700383543499</v>
      </c>
      <c r="M26" s="806" t="s">
        <v>411</v>
      </c>
      <c r="N26" s="802" t="s">
        <v>296</v>
      </c>
      <c r="O26" s="716"/>
      <c r="P26" s="716"/>
      <c r="Q26" s="716"/>
      <c r="R26" s="716"/>
      <c r="S26" s="716"/>
      <c r="T26" s="716"/>
      <c r="U26" s="716"/>
      <c r="V26" s="716">
        <v>0.4</v>
      </c>
      <c r="W26" s="716"/>
      <c r="X26" s="716"/>
      <c r="Y26" s="716"/>
      <c r="Z26" s="716"/>
      <c r="AA26" s="716"/>
      <c r="AB26" s="716"/>
      <c r="AC26" s="716"/>
      <c r="AD26" s="716">
        <v>0.6</v>
      </c>
      <c r="AE26" s="716"/>
      <c r="AF26" s="716"/>
      <c r="AG26" s="716"/>
      <c r="AH26" s="248">
        <f>SUM(O26:AD26)</f>
        <v>1</v>
      </c>
    </row>
    <row r="27" spans="2:34" x14ac:dyDescent="0.3">
      <c r="B27" s="595" t="s">
        <v>711</v>
      </c>
      <c r="C27" s="596"/>
      <c r="D27" s="1077"/>
      <c r="E27" s="1077"/>
      <c r="F27" s="1093"/>
      <c r="G27" s="1093"/>
      <c r="H27" s="1077"/>
      <c r="I27" s="1077"/>
      <c r="J27" s="1077"/>
      <c r="K27" s="1077"/>
      <c r="M27" s="819" t="s">
        <v>711</v>
      </c>
      <c r="N27" s="820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07"/>
      <c r="AF27" s="807"/>
      <c r="AG27" s="807"/>
      <c r="AH27" s="821"/>
    </row>
    <row r="28" spans="2:34" x14ac:dyDescent="0.3">
      <c r="B28" s="594" t="s">
        <v>711</v>
      </c>
      <c r="C28" s="583" t="s">
        <v>296</v>
      </c>
      <c r="D28" s="1084">
        <v>0</v>
      </c>
      <c r="E28" s="1084">
        <v>0</v>
      </c>
      <c r="F28" s="1084">
        <v>0</v>
      </c>
      <c r="G28" s="1084">
        <v>0</v>
      </c>
      <c r="H28" s="1084">
        <v>0</v>
      </c>
      <c r="I28" s="1084">
        <v>0</v>
      </c>
      <c r="J28" s="1084">
        <v>0</v>
      </c>
      <c r="K28" s="1084">
        <v>0</v>
      </c>
      <c r="M28" s="806" t="s">
        <v>711</v>
      </c>
      <c r="N28" s="802" t="s">
        <v>296</v>
      </c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>
        <v>1</v>
      </c>
      <c r="AG28" s="716"/>
      <c r="AH28" s="248">
        <f>SUM(O28:AG28)</f>
        <v>1</v>
      </c>
    </row>
    <row r="29" spans="2:34" x14ac:dyDescent="0.3">
      <c r="B29" s="595" t="s">
        <v>712</v>
      </c>
      <c r="C29" s="596"/>
      <c r="D29" s="1077"/>
      <c r="E29" s="1077"/>
      <c r="F29" s="1093"/>
      <c r="G29" s="1094"/>
      <c r="H29" s="1077"/>
      <c r="I29" s="1095"/>
      <c r="J29" s="1080"/>
      <c r="K29" s="1077"/>
      <c r="M29" s="819" t="s">
        <v>712</v>
      </c>
      <c r="N29" s="820"/>
      <c r="O29" s="807"/>
      <c r="P29" s="807"/>
      <c r="Q29" s="807"/>
      <c r="R29" s="807"/>
      <c r="S29" s="807"/>
      <c r="T29" s="807"/>
      <c r="U29" s="807"/>
      <c r="V29" s="807"/>
      <c r="W29" s="807"/>
      <c r="X29" s="807"/>
      <c r="Y29" s="807"/>
      <c r="Z29" s="807"/>
      <c r="AA29" s="807"/>
      <c r="AB29" s="807"/>
      <c r="AC29" s="807"/>
      <c r="AD29" s="807"/>
      <c r="AE29" s="807"/>
      <c r="AF29" s="807"/>
      <c r="AG29" s="807"/>
      <c r="AH29" s="821"/>
    </row>
    <row r="30" spans="2:34" x14ac:dyDescent="0.3">
      <c r="B30" s="597" t="s">
        <v>634</v>
      </c>
      <c r="C30" s="582" t="s">
        <v>75</v>
      </c>
      <c r="D30" s="1098">
        <v>13157.170940781345</v>
      </c>
      <c r="E30" s="1098">
        <v>-2017.6738313192018</v>
      </c>
      <c r="F30" s="1098">
        <v>-4486.8460921644692</v>
      </c>
      <c r="G30" s="1098">
        <v>-10025.069333438916</v>
      </c>
      <c r="H30" s="1098">
        <v>-16887.945350162583</v>
      </c>
      <c r="I30" s="1098">
        <v>-5299.0947261465753</v>
      </c>
      <c r="J30" s="1098">
        <v>-9710.9739167258031</v>
      </c>
      <c r="K30" s="1098">
        <v>-14018.143442384497</v>
      </c>
      <c r="M30" s="806" t="s">
        <v>634</v>
      </c>
      <c r="N30" s="802" t="s">
        <v>75</v>
      </c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822"/>
    </row>
    <row r="31" spans="2:34" x14ac:dyDescent="0.3">
      <c r="B31" s="594" t="s">
        <v>634</v>
      </c>
      <c r="C31" s="574" t="s">
        <v>296</v>
      </c>
      <c r="D31" s="1098">
        <v>288.38408027760482</v>
      </c>
      <c r="E31" s="1098">
        <v>-36.113578026069391</v>
      </c>
      <c r="F31" s="1099">
        <v>-84.560640307917197</v>
      </c>
      <c r="G31" s="1100">
        <v>-184.93949995856329</v>
      </c>
      <c r="H31" s="1100">
        <v>-326.89704922362199</v>
      </c>
      <c r="I31" s="1100">
        <v>-107.73836984307519</v>
      </c>
      <c r="J31" s="1100">
        <v>-198.41120384767223</v>
      </c>
      <c r="K31" s="1098">
        <v>-270.01895509487002</v>
      </c>
      <c r="M31" s="806" t="s">
        <v>634</v>
      </c>
      <c r="N31" s="802" t="s">
        <v>296</v>
      </c>
      <c r="O31" s="716"/>
      <c r="P31" s="716"/>
      <c r="Q31" s="716"/>
      <c r="R31" s="716"/>
      <c r="S31" s="716"/>
      <c r="T31" s="716"/>
      <c r="U31" s="716"/>
      <c r="V31" s="716"/>
      <c r="W31" s="716"/>
      <c r="X31" s="716"/>
      <c r="Y31" s="716"/>
      <c r="Z31" s="716"/>
      <c r="AA31" s="716"/>
      <c r="AB31" s="716"/>
      <c r="AC31" s="716"/>
      <c r="AD31" s="716">
        <v>-1</v>
      </c>
      <c r="AE31" s="716"/>
      <c r="AF31" s="716"/>
      <c r="AG31" s="716"/>
      <c r="AH31" s="248">
        <f>SUM(O31:AG31)</f>
        <v>-1</v>
      </c>
    </row>
    <row r="32" spans="2:34" x14ac:dyDescent="0.3">
      <c r="B32" s="595" t="s">
        <v>713</v>
      </c>
      <c r="C32" s="596"/>
      <c r="D32" s="1101"/>
      <c r="E32" s="1101"/>
      <c r="F32" s="1102"/>
      <c r="G32" s="1102"/>
      <c r="H32" s="1101"/>
      <c r="I32" s="1101"/>
      <c r="J32" s="1101"/>
      <c r="K32" s="1101"/>
      <c r="M32" s="819" t="s">
        <v>713</v>
      </c>
      <c r="N32" s="820"/>
      <c r="O32" s="807"/>
      <c r="P32" s="807"/>
      <c r="Q32" s="807"/>
      <c r="R32" s="807"/>
      <c r="S32" s="807"/>
      <c r="T32" s="807"/>
      <c r="U32" s="807"/>
      <c r="V32" s="807"/>
      <c r="W32" s="807"/>
      <c r="X32" s="807"/>
      <c r="Y32" s="807"/>
      <c r="Z32" s="807"/>
      <c r="AA32" s="807"/>
      <c r="AB32" s="807"/>
      <c r="AC32" s="807"/>
      <c r="AD32" s="807"/>
      <c r="AE32" s="807"/>
      <c r="AF32" s="807"/>
      <c r="AG32" s="807"/>
      <c r="AH32" s="821"/>
    </row>
    <row r="33" spans="2:34" x14ac:dyDescent="0.3">
      <c r="B33" s="597" t="s">
        <v>787</v>
      </c>
      <c r="C33" s="582" t="s">
        <v>412</v>
      </c>
      <c r="D33" s="1098">
        <v>13777.672069342803</v>
      </c>
      <c r="E33" s="1099">
        <v>7197.239733861541</v>
      </c>
      <c r="F33" s="1103">
        <v>6742.9712249946861</v>
      </c>
      <c r="G33" s="1104">
        <v>5928.1881824901002</v>
      </c>
      <c r="H33" s="1105">
        <v>5202.7621240155568</v>
      </c>
      <c r="I33" s="1104">
        <v>4624.960248069804</v>
      </c>
      <c r="J33" s="1106">
        <v>3180.2733961583044</v>
      </c>
      <c r="K33" s="1098">
        <v>2775.874397375459</v>
      </c>
      <c r="M33" s="819"/>
      <c r="N33" s="820"/>
      <c r="O33" s="807"/>
      <c r="P33" s="807"/>
      <c r="Q33" s="807"/>
      <c r="R33" s="807"/>
      <c r="S33" s="807"/>
      <c r="T33" s="807"/>
      <c r="U33" s="807"/>
      <c r="V33" s="807"/>
      <c r="W33" s="807"/>
      <c r="X33" s="807"/>
      <c r="Y33" s="807"/>
      <c r="Z33" s="807"/>
      <c r="AA33" s="807"/>
      <c r="AB33" s="807"/>
      <c r="AC33" s="807"/>
      <c r="AD33" s="807"/>
      <c r="AE33" s="807"/>
      <c r="AF33" s="807"/>
      <c r="AG33" s="807"/>
      <c r="AH33" s="821"/>
    </row>
    <row r="34" spans="2:34" x14ac:dyDescent="0.3">
      <c r="B34" s="597" t="s">
        <v>714</v>
      </c>
      <c r="C34" s="582" t="s">
        <v>412</v>
      </c>
      <c r="D34" s="1098">
        <v>16000</v>
      </c>
      <c r="E34" s="1098">
        <v>14666</v>
      </c>
      <c r="F34" s="1098">
        <v>12000</v>
      </c>
      <c r="G34" s="1098">
        <v>10583</v>
      </c>
      <c r="H34" s="1098">
        <v>10583</v>
      </c>
      <c r="I34" s="1098">
        <v>10583</v>
      </c>
      <c r="J34" s="1098">
        <v>10583</v>
      </c>
      <c r="K34" s="1098">
        <v>10583</v>
      </c>
      <c r="M34" s="806" t="s">
        <v>714</v>
      </c>
      <c r="N34" s="802" t="s">
        <v>412</v>
      </c>
      <c r="O34" s="716"/>
      <c r="P34" s="716"/>
      <c r="Q34" s="716"/>
      <c r="R34" s="716"/>
      <c r="S34" s="716"/>
      <c r="T34" s="716"/>
      <c r="U34" s="716"/>
      <c r="V34" s="716"/>
      <c r="W34" s="716"/>
      <c r="X34" s="716"/>
      <c r="Y34" s="716"/>
      <c r="Z34" s="716"/>
      <c r="AA34" s="716"/>
      <c r="AB34" s="716"/>
      <c r="AC34" s="716"/>
      <c r="AD34" s="716"/>
      <c r="AE34" s="716"/>
      <c r="AF34" s="716"/>
      <c r="AG34" s="716"/>
      <c r="AH34" s="822"/>
    </row>
    <row r="35" spans="2:34" x14ac:dyDescent="0.3">
      <c r="B35" s="573" t="s">
        <v>308</v>
      </c>
      <c r="C35" s="580" t="s">
        <v>412</v>
      </c>
      <c r="D35" s="1107">
        <v>13111</v>
      </c>
      <c r="E35" s="1104">
        <v>5846.6850201491279</v>
      </c>
      <c r="F35" s="1108">
        <v>4776.3792396266408</v>
      </c>
      <c r="G35" s="1098">
        <v>3903.9768763606817</v>
      </c>
      <c r="H35" s="1108">
        <v>3145.0412657985644</v>
      </c>
      <c r="I35" s="1098">
        <v>2651.3596806617661</v>
      </c>
      <c r="J35" s="1098">
        <v>1427.635080466551</v>
      </c>
      <c r="K35" s="1098">
        <v>1231.8251563111389</v>
      </c>
      <c r="M35" s="806" t="s">
        <v>308</v>
      </c>
      <c r="N35" s="802" t="s">
        <v>412</v>
      </c>
      <c r="O35" s="716"/>
      <c r="P35" s="716"/>
      <c r="Q35" s="716"/>
      <c r="R35" s="716"/>
      <c r="S35" s="716"/>
      <c r="T35" s="716"/>
      <c r="U35" s="716"/>
      <c r="V35" s="716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822"/>
    </row>
    <row r="36" spans="2:34" x14ac:dyDescent="0.3">
      <c r="B36" s="597" t="s">
        <v>715</v>
      </c>
      <c r="C36" s="582" t="s">
        <v>412</v>
      </c>
      <c r="D36" s="1098">
        <v>2889</v>
      </c>
      <c r="E36" s="1099">
        <v>8819.3149798508712</v>
      </c>
      <c r="F36" s="1103">
        <v>7223.6207603733592</v>
      </c>
      <c r="G36" s="1104">
        <v>6679.0231236393183</v>
      </c>
      <c r="H36" s="1105">
        <v>7437.9587342014356</v>
      </c>
      <c r="I36" s="1104">
        <v>7931.6403193382339</v>
      </c>
      <c r="J36" s="1106">
        <v>9155.3649195334492</v>
      </c>
      <c r="K36" s="1098">
        <v>9351.1748436888611</v>
      </c>
      <c r="M36" s="806" t="s">
        <v>715</v>
      </c>
      <c r="N36" s="802" t="s">
        <v>412</v>
      </c>
      <c r="O36" s="716"/>
      <c r="P36" s="716"/>
      <c r="Q36" s="716"/>
      <c r="R36" s="716"/>
      <c r="S36" s="716"/>
      <c r="T36" s="716"/>
      <c r="U36" s="716"/>
      <c r="V36" s="716"/>
      <c r="W36" s="716"/>
      <c r="X36" s="716"/>
      <c r="Y36" s="716"/>
      <c r="Z36" s="716"/>
      <c r="AA36" s="716"/>
      <c r="AB36" s="716"/>
      <c r="AC36" s="716"/>
      <c r="AD36" s="716"/>
      <c r="AE36" s="716"/>
      <c r="AF36" s="716"/>
      <c r="AG36" s="716"/>
      <c r="AH36" s="822"/>
    </row>
    <row r="37" spans="2:34" x14ac:dyDescent="0.3">
      <c r="B37" s="597" t="s">
        <v>308</v>
      </c>
      <c r="C37" s="582" t="s">
        <v>296</v>
      </c>
      <c r="D37" s="1098">
        <v>94.399673057917241</v>
      </c>
      <c r="E37" s="1099">
        <v>87.700275302236918</v>
      </c>
      <c r="F37" s="1103">
        <v>99.587507146215472</v>
      </c>
      <c r="G37" s="1104">
        <v>96.623427689926871</v>
      </c>
      <c r="H37" s="1105">
        <v>94.351237973956927</v>
      </c>
      <c r="I37" s="1104">
        <v>92.797588823161817</v>
      </c>
      <c r="J37" s="1106">
        <v>57.10540321866204</v>
      </c>
      <c r="K37" s="1098">
        <v>55.432132034001256</v>
      </c>
      <c r="M37" s="806" t="s">
        <v>308</v>
      </c>
      <c r="N37" s="802" t="s">
        <v>296</v>
      </c>
      <c r="O37" s="716"/>
      <c r="P37" s="716"/>
      <c r="Q37" s="716"/>
      <c r="R37" s="716"/>
      <c r="S37" s="716"/>
      <c r="T37" s="716"/>
      <c r="U37" s="716"/>
      <c r="V37" s="716"/>
      <c r="W37" s="716"/>
      <c r="X37" s="716"/>
      <c r="Y37" s="716"/>
      <c r="Z37" s="716"/>
      <c r="AA37" s="716"/>
      <c r="AB37" s="716"/>
      <c r="AC37" s="716"/>
      <c r="AD37" s="716"/>
      <c r="AE37" s="716"/>
      <c r="AF37" s="716"/>
      <c r="AG37" s="716"/>
      <c r="AH37" s="822"/>
    </row>
    <row r="38" spans="2:34" x14ac:dyDescent="0.3">
      <c r="B38" s="597" t="s">
        <v>716</v>
      </c>
      <c r="C38" s="582" t="s">
        <v>296</v>
      </c>
      <c r="D38" s="1098">
        <v>0</v>
      </c>
      <c r="E38" s="1098">
        <v>0</v>
      </c>
      <c r="F38" s="1098">
        <v>0</v>
      </c>
      <c r="G38" s="1098">
        <v>0</v>
      </c>
      <c r="H38" s="1098">
        <v>0</v>
      </c>
      <c r="I38" s="1098">
        <v>0</v>
      </c>
      <c r="J38" s="1098">
        <v>0</v>
      </c>
      <c r="K38" s="1098">
        <v>0</v>
      </c>
      <c r="M38" s="806" t="s">
        <v>716</v>
      </c>
      <c r="N38" s="802" t="s">
        <v>296</v>
      </c>
      <c r="O38" s="716"/>
      <c r="P38" s="716"/>
      <c r="Q38" s="716"/>
      <c r="R38" s="716"/>
      <c r="S38" s="716"/>
      <c r="T38" s="716"/>
      <c r="U38" s="716"/>
      <c r="V38" s="716"/>
      <c r="W38" s="716"/>
      <c r="X38" s="716"/>
      <c r="Y38" s="716"/>
      <c r="Z38" s="716"/>
      <c r="AA38" s="716"/>
      <c r="AB38" s="716"/>
      <c r="AC38" s="716"/>
      <c r="AD38" s="716"/>
      <c r="AE38" s="716">
        <v>1</v>
      </c>
      <c r="AF38" s="716"/>
      <c r="AG38" s="716"/>
      <c r="AH38" s="248">
        <f>SUM(O38:AG38)</f>
        <v>1</v>
      </c>
    </row>
    <row r="39" spans="2:34" x14ac:dyDescent="0.3">
      <c r="B39" s="597" t="s">
        <v>717</v>
      </c>
      <c r="C39" s="582" t="s">
        <v>296</v>
      </c>
      <c r="D39" s="1098">
        <v>94.399673057917241</v>
      </c>
      <c r="E39" s="1098">
        <v>87.700275302236918</v>
      </c>
      <c r="F39" s="1098">
        <v>99.587507146215472</v>
      </c>
      <c r="G39" s="1098">
        <v>96.623427689926871</v>
      </c>
      <c r="H39" s="1098">
        <v>94.351237973956927</v>
      </c>
      <c r="I39" s="1098">
        <v>92.797588823161817</v>
      </c>
      <c r="J39" s="1098">
        <v>57.10540321866204</v>
      </c>
      <c r="K39" s="1098">
        <v>55.432132034001256</v>
      </c>
      <c r="M39" s="806" t="s">
        <v>717</v>
      </c>
      <c r="N39" s="802" t="s">
        <v>296</v>
      </c>
      <c r="O39" s="716"/>
      <c r="P39" s="716"/>
      <c r="Q39" s="716"/>
      <c r="R39" s="716"/>
      <c r="S39" s="716"/>
      <c r="T39" s="716"/>
      <c r="U39" s="716"/>
      <c r="V39" s="716"/>
      <c r="W39" s="716"/>
      <c r="X39" s="716"/>
      <c r="Y39" s="716"/>
      <c r="Z39" s="716"/>
      <c r="AA39" s="716"/>
      <c r="AB39" s="716">
        <v>-1</v>
      </c>
      <c r="AC39" s="716"/>
      <c r="AD39" s="716"/>
      <c r="AE39" s="716"/>
      <c r="AF39" s="716"/>
      <c r="AG39" s="716"/>
      <c r="AH39" s="248">
        <f>SUM(O39:AG39)</f>
        <v>-1</v>
      </c>
    </row>
    <row r="40" spans="2:34" x14ac:dyDescent="0.3">
      <c r="B40" s="770"/>
      <c r="C40" s="219"/>
      <c r="D40" s="219"/>
      <c r="E40" s="219"/>
      <c r="F40" s="219"/>
      <c r="G40" s="219"/>
      <c r="H40" s="219"/>
      <c r="I40" s="219"/>
      <c r="J40" s="219"/>
      <c r="K40" s="219"/>
      <c r="M40" s="770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G40" s="256"/>
    </row>
    <row r="41" spans="2:34" x14ac:dyDescent="0.3">
      <c r="B41" s="603" t="s">
        <v>413</v>
      </c>
      <c r="C41" s="615"/>
      <c r="D41" s="615"/>
      <c r="E41" s="615"/>
      <c r="F41" s="615"/>
      <c r="G41" s="615"/>
      <c r="H41" s="615"/>
      <c r="I41" s="615"/>
      <c r="J41" s="615"/>
      <c r="K41" s="605"/>
      <c r="M41" s="603" t="s">
        <v>414</v>
      </c>
      <c r="N41" s="615"/>
      <c r="O41" s="615"/>
      <c r="P41" s="615"/>
      <c r="Q41" s="615"/>
      <c r="R41" s="615"/>
      <c r="S41" s="615"/>
      <c r="T41" s="615"/>
      <c r="U41" s="615"/>
      <c r="V41" s="605"/>
    </row>
    <row r="42" spans="2:34" x14ac:dyDescent="0.3">
      <c r="B42" s="602"/>
      <c r="C42" s="600" t="s">
        <v>293</v>
      </c>
      <c r="D42" s="618">
        <v>2012</v>
      </c>
      <c r="E42" s="617">
        <v>2020</v>
      </c>
      <c r="F42" s="618">
        <v>2026</v>
      </c>
      <c r="G42" s="619">
        <v>2030</v>
      </c>
      <c r="H42" s="620">
        <v>2035</v>
      </c>
      <c r="I42" s="600">
        <v>2040</v>
      </c>
      <c r="J42" s="617">
        <v>2045</v>
      </c>
      <c r="K42" s="621">
        <v>2050</v>
      </c>
      <c r="M42" s="602"/>
      <c r="N42" s="600" t="s">
        <v>293</v>
      </c>
      <c r="O42" s="618">
        <v>2012</v>
      </c>
      <c r="P42" s="617">
        <v>2020</v>
      </c>
      <c r="Q42" s="618">
        <v>2026</v>
      </c>
      <c r="R42" s="619">
        <v>2030</v>
      </c>
      <c r="S42" s="620">
        <v>2035</v>
      </c>
      <c r="T42" s="600">
        <v>2040</v>
      </c>
      <c r="U42" s="617">
        <v>2045</v>
      </c>
      <c r="V42" s="621">
        <v>2050</v>
      </c>
    </row>
    <row r="43" spans="2:34" x14ac:dyDescent="0.3">
      <c r="B43" s="595" t="s">
        <v>54</v>
      </c>
      <c r="C43" s="596"/>
      <c r="D43" s="596"/>
      <c r="E43" s="596"/>
      <c r="F43" s="596"/>
      <c r="G43" s="596"/>
      <c r="H43" s="596"/>
      <c r="I43" s="626"/>
      <c r="J43" s="596"/>
      <c r="K43" s="596"/>
      <c r="M43" s="595" t="s">
        <v>54</v>
      </c>
      <c r="N43" s="596"/>
      <c r="O43" s="596"/>
      <c r="P43" s="596"/>
      <c r="Q43" s="596"/>
      <c r="R43" s="596"/>
      <c r="S43" s="596"/>
      <c r="T43" s="626"/>
      <c r="U43" s="596"/>
      <c r="V43" s="596"/>
    </row>
    <row r="44" spans="2:34" x14ac:dyDescent="0.3">
      <c r="B44" s="627" t="s">
        <v>294</v>
      </c>
      <c r="C44" s="584" t="s">
        <v>75</v>
      </c>
      <c r="D44" s="572">
        <f t="shared" ref="D44:K48" si="1">O44-D8</f>
        <v>0</v>
      </c>
      <c r="E44" s="572">
        <f t="shared" si="1"/>
        <v>0</v>
      </c>
      <c r="F44" s="572">
        <f t="shared" si="1"/>
        <v>0</v>
      </c>
      <c r="G44" s="588">
        <f t="shared" si="1"/>
        <v>28.861219964492193</v>
      </c>
      <c r="H44" s="572">
        <f t="shared" si="1"/>
        <v>47.951107135646453</v>
      </c>
      <c r="I44" s="588">
        <f t="shared" si="1"/>
        <v>77.833705920740613</v>
      </c>
      <c r="J44" s="572">
        <f t="shared" si="1"/>
        <v>7446.9237486730526</v>
      </c>
      <c r="K44" s="576">
        <f t="shared" si="1"/>
        <v>7990.8904361880668</v>
      </c>
      <c r="M44" s="627" t="s">
        <v>294</v>
      </c>
      <c r="N44" s="584" t="s">
        <v>75</v>
      </c>
      <c r="O44" s="824">
        <v>134082.17222006118</v>
      </c>
      <c r="P44" s="824">
        <v>70927.460600710605</v>
      </c>
      <c r="Q44" s="824">
        <v>65966.945328218761</v>
      </c>
      <c r="R44" s="825">
        <v>57343.282480944807</v>
      </c>
      <c r="S44" s="824">
        <v>49639.17868844988</v>
      </c>
      <c r="T44" s="825">
        <v>43494.22813048317</v>
      </c>
      <c r="U44" s="824">
        <v>35641.24839096659</v>
      </c>
      <c r="V44" s="826">
        <v>31957.650832745538</v>
      </c>
    </row>
    <row r="45" spans="2:34" x14ac:dyDescent="0.3">
      <c r="B45" s="573" t="s">
        <v>323</v>
      </c>
      <c r="C45" s="580" t="s">
        <v>75</v>
      </c>
      <c r="D45" s="572">
        <f t="shared" si="1"/>
        <v>0</v>
      </c>
      <c r="E45" s="765">
        <f t="shared" si="1"/>
        <v>0</v>
      </c>
      <c r="F45" s="577">
        <f t="shared" si="1"/>
        <v>0</v>
      </c>
      <c r="G45" s="766">
        <f t="shared" si="1"/>
        <v>27.247678551204444</v>
      </c>
      <c r="H45" s="581">
        <f t="shared" si="1"/>
        <v>8.7642617498713662</v>
      </c>
      <c r="I45" s="766">
        <f t="shared" si="1"/>
        <v>72.899461263219564</v>
      </c>
      <c r="J45" s="581">
        <f t="shared" si="1"/>
        <v>9020.061655402711</v>
      </c>
      <c r="K45" s="767">
        <f t="shared" si="1"/>
        <v>8266.5223897669075</v>
      </c>
      <c r="M45" s="573" t="s">
        <v>323</v>
      </c>
      <c r="N45" s="580" t="s">
        <v>75</v>
      </c>
      <c r="O45" s="824">
        <v>128963.83279029065</v>
      </c>
      <c r="P45" s="827">
        <v>63570.294159479527</v>
      </c>
      <c r="Q45" s="800">
        <v>52180.602181962757</v>
      </c>
      <c r="R45" s="828">
        <v>43004.437647399762</v>
      </c>
      <c r="S45" s="829">
        <v>34845.457907272641</v>
      </c>
      <c r="T45" s="828">
        <v>29430.848568186258</v>
      </c>
      <c r="U45" s="829">
        <v>25683.655831738364</v>
      </c>
      <c r="V45" s="830">
        <v>22922.98848022092</v>
      </c>
    </row>
    <row r="46" spans="2:34" x14ac:dyDescent="0.3">
      <c r="B46" s="597" t="s">
        <v>648</v>
      </c>
      <c r="C46" s="591" t="s">
        <v>75</v>
      </c>
      <c r="D46" s="590">
        <f t="shared" si="1"/>
        <v>-2.6375346351414919E-11</v>
      </c>
      <c r="E46" s="590">
        <f t="shared" si="1"/>
        <v>0</v>
      </c>
      <c r="F46" s="590">
        <f t="shared" si="1"/>
        <v>0</v>
      </c>
      <c r="G46" s="768">
        <f t="shared" si="1"/>
        <v>1.6135414132804726</v>
      </c>
      <c r="H46" s="590">
        <f t="shared" si="1"/>
        <v>39.186845385782362</v>
      </c>
      <c r="I46" s="768">
        <f t="shared" si="1"/>
        <v>4.9342446575137728</v>
      </c>
      <c r="J46" s="590">
        <f t="shared" si="1"/>
        <v>-1564.1144172939021</v>
      </c>
      <c r="K46" s="769">
        <f t="shared" si="1"/>
        <v>-295.74547857929429</v>
      </c>
      <c r="M46" s="597" t="s">
        <v>648</v>
      </c>
      <c r="N46" s="591" t="s">
        <v>75</v>
      </c>
      <c r="O46" s="831">
        <v>7118.4799066936048</v>
      </c>
      <c r="P46" s="831">
        <v>17000.895632058939</v>
      </c>
      <c r="Q46" s="831">
        <v>23405.270413495953</v>
      </c>
      <c r="R46" s="832">
        <v>23992.929554580867</v>
      </c>
      <c r="S46" s="831">
        <v>24332.474958767874</v>
      </c>
      <c r="T46" s="832">
        <v>23405.20220967587</v>
      </c>
      <c r="U46" s="831">
        <v>19483.531828698317</v>
      </c>
      <c r="V46" s="833">
        <v>18565.242020209564</v>
      </c>
    </row>
    <row r="47" spans="2:34" x14ac:dyDescent="0.3">
      <c r="B47" s="599" t="s">
        <v>649</v>
      </c>
      <c r="C47" s="574" t="s">
        <v>75</v>
      </c>
      <c r="D47" s="577">
        <f t="shared" si="1"/>
        <v>0</v>
      </c>
      <c r="E47" s="577">
        <f t="shared" si="1"/>
        <v>0</v>
      </c>
      <c r="F47" s="577">
        <f t="shared" si="1"/>
        <v>0</v>
      </c>
      <c r="G47" s="585">
        <f t="shared" si="1"/>
        <v>1.6135414132877486</v>
      </c>
      <c r="H47" s="577">
        <f t="shared" si="1"/>
        <v>39.186845385778724</v>
      </c>
      <c r="I47" s="585">
        <f t="shared" si="1"/>
        <v>4.9342446575137728</v>
      </c>
      <c r="J47" s="577">
        <f t="shared" si="1"/>
        <v>-1564.1144172938984</v>
      </c>
      <c r="K47" s="578">
        <f t="shared" si="1"/>
        <v>-295.74547857929429</v>
      </c>
      <c r="M47" s="599" t="s">
        <v>649</v>
      </c>
      <c r="N47" s="574" t="s">
        <v>75</v>
      </c>
      <c r="O47" s="800">
        <v>7118.4799066936139</v>
      </c>
      <c r="P47" s="800">
        <v>14139.903632058942</v>
      </c>
      <c r="Q47" s="800">
        <v>20563.87441349596</v>
      </c>
      <c r="R47" s="834">
        <v>21164.596554580872</v>
      </c>
      <c r="S47" s="800">
        <v>21518.838958767879</v>
      </c>
      <c r="T47" s="834">
        <v>20606.262209675871</v>
      </c>
      <c r="U47" s="800">
        <v>16697.818828698324</v>
      </c>
      <c r="V47" s="835">
        <v>15792.756020209568</v>
      </c>
    </row>
    <row r="48" spans="2:34" x14ac:dyDescent="0.3">
      <c r="B48" s="593" t="s">
        <v>305</v>
      </c>
      <c r="C48" s="574" t="s">
        <v>306</v>
      </c>
      <c r="D48" s="577">
        <f t="shared" si="1"/>
        <v>0</v>
      </c>
      <c r="E48" s="577">
        <f t="shared" si="1"/>
        <v>0</v>
      </c>
      <c r="F48" s="577">
        <f t="shared" si="1"/>
        <v>0</v>
      </c>
      <c r="G48" s="585">
        <f t="shared" si="1"/>
        <v>0</v>
      </c>
      <c r="H48" s="577">
        <f t="shared" si="1"/>
        <v>0</v>
      </c>
      <c r="I48" s="585">
        <f t="shared" si="1"/>
        <v>0</v>
      </c>
      <c r="J48" s="577">
        <f t="shared" si="1"/>
        <v>0</v>
      </c>
      <c r="K48" s="577">
        <f t="shared" si="1"/>
        <v>0</v>
      </c>
      <c r="M48" s="593" t="s">
        <v>305</v>
      </c>
      <c r="N48" s="574" t="s">
        <v>306</v>
      </c>
      <c r="O48" s="800">
        <v>0</v>
      </c>
      <c r="P48" s="800">
        <v>0</v>
      </c>
      <c r="Q48" s="800">
        <v>0</v>
      </c>
      <c r="R48" s="834">
        <v>0</v>
      </c>
      <c r="S48" s="800">
        <v>0</v>
      </c>
      <c r="T48" s="834">
        <v>0</v>
      </c>
      <c r="U48" s="800">
        <v>0</v>
      </c>
      <c r="V48" s="800">
        <v>0</v>
      </c>
    </row>
    <row r="49" spans="2:22" x14ac:dyDescent="0.3">
      <c r="B49" s="595" t="s">
        <v>709</v>
      </c>
      <c r="C49" s="606"/>
      <c r="D49" s="606"/>
      <c r="E49" s="613"/>
      <c r="F49" s="613"/>
      <c r="G49" s="596"/>
      <c r="H49" s="596"/>
      <c r="I49" s="610"/>
      <c r="J49" s="613"/>
      <c r="K49" s="596"/>
      <c r="M49" s="595" t="s">
        <v>709</v>
      </c>
      <c r="N49" s="606"/>
      <c r="O49" s="836"/>
      <c r="P49" s="837"/>
      <c r="Q49" s="837"/>
      <c r="R49" s="838"/>
      <c r="S49" s="838"/>
      <c r="T49" s="839"/>
      <c r="U49" s="837"/>
      <c r="V49" s="838"/>
    </row>
    <row r="50" spans="2:22" x14ac:dyDescent="0.3">
      <c r="B50" s="598" t="s">
        <v>710</v>
      </c>
      <c r="C50" s="584" t="s">
        <v>296</v>
      </c>
      <c r="D50" s="574">
        <f t="shared" ref="D50:K52" si="2">O50-D14</f>
        <v>0</v>
      </c>
      <c r="E50" s="574">
        <f t="shared" si="2"/>
        <v>0</v>
      </c>
      <c r="F50" s="574">
        <f t="shared" si="2"/>
        <v>0</v>
      </c>
      <c r="G50" s="611">
        <f t="shared" si="2"/>
        <v>6.0946174981779677E-3</v>
      </c>
      <c r="H50" s="574">
        <f t="shared" si="2"/>
        <v>-0.23185538847114628</v>
      </c>
      <c r="I50" s="611">
        <f t="shared" si="2"/>
        <v>-7.7520076142178596E-2</v>
      </c>
      <c r="J50" s="574">
        <f t="shared" si="2"/>
        <v>4.9351914788415741</v>
      </c>
      <c r="K50" s="574">
        <f t="shared" si="2"/>
        <v>6.8351149804634019</v>
      </c>
      <c r="M50" s="598" t="s">
        <v>710</v>
      </c>
      <c r="N50" s="584" t="s">
        <v>296</v>
      </c>
      <c r="O50" s="1081">
        <v>31.649349088478541</v>
      </c>
      <c r="P50" s="799">
        <v>45.314810820072999</v>
      </c>
      <c r="Q50" s="799">
        <v>49.02008878649653</v>
      </c>
      <c r="R50" s="840">
        <v>83.147989443358938</v>
      </c>
      <c r="S50" s="799">
        <v>74.279683820960727</v>
      </c>
      <c r="T50" s="840">
        <v>131.69913879149266</v>
      </c>
      <c r="U50" s="799">
        <v>121.77782040074575</v>
      </c>
      <c r="V50" s="799">
        <v>121.97872484321471</v>
      </c>
    </row>
    <row r="51" spans="2:22" x14ac:dyDescent="0.3">
      <c r="B51" s="598" t="s">
        <v>666</v>
      </c>
      <c r="C51" s="584" t="s">
        <v>296</v>
      </c>
      <c r="D51" s="574">
        <f t="shared" si="2"/>
        <v>0</v>
      </c>
      <c r="E51" s="574">
        <f t="shared" si="2"/>
        <v>0</v>
      </c>
      <c r="F51" s="574">
        <f t="shared" si="2"/>
        <v>0</v>
      </c>
      <c r="G51" s="611">
        <f t="shared" si="2"/>
        <v>0</v>
      </c>
      <c r="H51" s="574">
        <f t="shared" si="2"/>
        <v>-0.29414567513903478</v>
      </c>
      <c r="I51" s="611">
        <f t="shared" si="2"/>
        <v>-0.12271904150324531</v>
      </c>
      <c r="J51" s="574">
        <f t="shared" si="2"/>
        <v>7.0060554050379267</v>
      </c>
      <c r="K51" s="574">
        <f t="shared" si="2"/>
        <v>15.65059616727072</v>
      </c>
      <c r="M51" s="598" t="s">
        <v>666</v>
      </c>
      <c r="N51" s="584" t="s">
        <v>296</v>
      </c>
      <c r="O51" s="1081">
        <v>21.039960000000001</v>
      </c>
      <c r="P51" s="799">
        <v>99.134169838754445</v>
      </c>
      <c r="Q51" s="799">
        <v>107.91253066575976</v>
      </c>
      <c r="R51" s="840">
        <v>101.81413066575976</v>
      </c>
      <c r="S51" s="799">
        <v>94.001788889851156</v>
      </c>
      <c r="T51" s="840">
        <v>173.89425465770381</v>
      </c>
      <c r="U51" s="799">
        <v>168.78355082637748</v>
      </c>
      <c r="V51" s="799">
        <v>166.2427266653186</v>
      </c>
    </row>
    <row r="52" spans="2:22" x14ac:dyDescent="0.3">
      <c r="B52" s="598" t="s">
        <v>298</v>
      </c>
      <c r="C52" s="584" t="s">
        <v>296</v>
      </c>
      <c r="D52" s="574">
        <f t="shared" si="2"/>
        <v>0</v>
      </c>
      <c r="E52" s="574">
        <f t="shared" si="2"/>
        <v>1.7053025658242404E-13</v>
      </c>
      <c r="F52" s="574">
        <f t="shared" si="2"/>
        <v>-2.11756943273258E-2</v>
      </c>
      <c r="G52" s="574">
        <f t="shared" si="2"/>
        <v>0.19390331956344653</v>
      </c>
      <c r="H52" s="574">
        <f t="shared" si="2"/>
        <v>-0.46185463177647534</v>
      </c>
      <c r="I52" s="574">
        <f t="shared" si="2"/>
        <v>-7.3614405038199493E-2</v>
      </c>
      <c r="J52" s="574">
        <f t="shared" si="2"/>
        <v>-26.73547898658876</v>
      </c>
      <c r="K52" s="574">
        <f t="shared" si="2"/>
        <v>-38.486375354286366</v>
      </c>
      <c r="M52" s="598" t="s">
        <v>298</v>
      </c>
      <c r="N52" s="584" t="s">
        <v>296</v>
      </c>
      <c r="O52" s="1081">
        <v>580.6068678319632</v>
      </c>
      <c r="P52" s="799">
        <v>95.333991730889238</v>
      </c>
      <c r="Q52" s="799">
        <v>132.62806969001662</v>
      </c>
      <c r="R52" s="799">
        <v>41.404733734216279</v>
      </c>
      <c r="S52" s="799">
        <v>16.292622144385803</v>
      </c>
      <c r="T52" s="799">
        <v>212.13288109578906</v>
      </c>
      <c r="U52" s="799">
        <v>240.06951544018733</v>
      </c>
      <c r="V52" s="799">
        <v>199.70108691570616</v>
      </c>
    </row>
    <row r="53" spans="2:22" x14ac:dyDescent="0.3">
      <c r="B53" s="622" t="s">
        <v>420</v>
      </c>
      <c r="C53" s="606"/>
      <c r="D53" s="606"/>
      <c r="E53" s="613"/>
      <c r="F53" s="613"/>
      <c r="G53" s="596"/>
      <c r="H53" s="596"/>
      <c r="I53" s="610"/>
      <c r="J53" s="613"/>
      <c r="K53" s="596"/>
      <c r="M53" s="622" t="s">
        <v>420</v>
      </c>
      <c r="N53" s="606"/>
      <c r="O53" s="1077"/>
      <c r="P53" s="837"/>
      <c r="Q53" s="837"/>
      <c r="R53" s="838"/>
      <c r="S53" s="838"/>
      <c r="T53" s="839"/>
      <c r="U53" s="837"/>
      <c r="V53" s="838"/>
    </row>
    <row r="54" spans="2:22" x14ac:dyDescent="0.3">
      <c r="B54" s="597" t="s">
        <v>404</v>
      </c>
      <c r="C54" s="586" t="s">
        <v>296</v>
      </c>
      <c r="D54" s="586">
        <f t="shared" ref="D54:K60" si="3">O54-D18</f>
        <v>0</v>
      </c>
      <c r="E54" s="574">
        <f t="shared" si="3"/>
        <v>0</v>
      </c>
      <c r="F54" s="574">
        <f t="shared" si="3"/>
        <v>0</v>
      </c>
      <c r="G54" s="574">
        <f t="shared" si="3"/>
        <v>0</v>
      </c>
      <c r="H54" s="574">
        <f t="shared" si="3"/>
        <v>0</v>
      </c>
      <c r="I54" s="611">
        <f t="shared" si="3"/>
        <v>0</v>
      </c>
      <c r="J54" s="574">
        <f t="shared" si="3"/>
        <v>0</v>
      </c>
      <c r="K54" s="584">
        <f t="shared" si="3"/>
        <v>0</v>
      </c>
      <c r="M54" s="597" t="s">
        <v>404</v>
      </c>
      <c r="N54" s="586" t="s">
        <v>296</v>
      </c>
      <c r="O54" s="1083">
        <v>0</v>
      </c>
      <c r="P54" s="799">
        <v>5.522169483588633</v>
      </c>
      <c r="Q54" s="799">
        <v>12.823704689666901</v>
      </c>
      <c r="R54" s="799">
        <v>18.593163244406124</v>
      </c>
      <c r="S54" s="799">
        <v>24.403526758283057</v>
      </c>
      <c r="T54" s="840">
        <v>30.213890272160047</v>
      </c>
      <c r="U54" s="799">
        <v>36.876440434738932</v>
      </c>
      <c r="V54" s="842">
        <v>44.003819678427938</v>
      </c>
    </row>
    <row r="55" spans="2:22" x14ac:dyDescent="0.3">
      <c r="B55" s="598" t="s">
        <v>405</v>
      </c>
      <c r="C55" s="574" t="s">
        <v>296</v>
      </c>
      <c r="D55" s="574">
        <f t="shared" si="3"/>
        <v>0</v>
      </c>
      <c r="E55" s="586">
        <f t="shared" si="3"/>
        <v>0</v>
      </c>
      <c r="F55" s="586">
        <f t="shared" si="3"/>
        <v>0</v>
      </c>
      <c r="G55" s="584">
        <f t="shared" si="3"/>
        <v>-7.3485200931489025E-4</v>
      </c>
      <c r="H55" s="586">
        <f t="shared" si="3"/>
        <v>0</v>
      </c>
      <c r="I55" s="219">
        <f t="shared" si="3"/>
        <v>0</v>
      </c>
      <c r="J55" s="586">
        <f t="shared" si="3"/>
        <v>0</v>
      </c>
      <c r="K55" s="614">
        <f t="shared" si="3"/>
        <v>0</v>
      </c>
      <c r="M55" s="598" t="s">
        <v>405</v>
      </c>
      <c r="N55" s="574" t="s">
        <v>296</v>
      </c>
      <c r="O55" s="1081">
        <v>0.96732016014967515</v>
      </c>
      <c r="P55" s="841">
        <v>1.1714831441650568</v>
      </c>
      <c r="Q55" s="841">
        <v>1.1623441779055328</v>
      </c>
      <c r="R55" s="842">
        <v>1.0842340373972976</v>
      </c>
      <c r="S55" s="841">
        <v>0.61162307608733379</v>
      </c>
      <c r="T55" s="843">
        <v>0.59289576238933572</v>
      </c>
      <c r="U55" s="841">
        <v>0</v>
      </c>
      <c r="V55" s="844">
        <v>0</v>
      </c>
    </row>
    <row r="56" spans="2:22" x14ac:dyDescent="0.3">
      <c r="B56" s="573" t="s">
        <v>406</v>
      </c>
      <c r="C56" s="574" t="s">
        <v>296</v>
      </c>
      <c r="D56" s="574">
        <f t="shared" si="3"/>
        <v>0</v>
      </c>
      <c r="E56" s="574">
        <f t="shared" si="3"/>
        <v>0</v>
      </c>
      <c r="F56" s="574">
        <f t="shared" si="3"/>
        <v>0</v>
      </c>
      <c r="G56" s="219">
        <f t="shared" si="3"/>
        <v>9.366314571460066E-2</v>
      </c>
      <c r="H56" s="591">
        <f t="shared" si="3"/>
        <v>3.0126908749906534E-2</v>
      </c>
      <c r="I56" s="612">
        <f t="shared" si="3"/>
        <v>0.25058989337318849</v>
      </c>
      <c r="J56" s="591">
        <f t="shared" si="3"/>
        <v>22.054179444058565</v>
      </c>
      <c r="K56" s="592">
        <f t="shared" si="3"/>
        <v>18.702916543844029</v>
      </c>
      <c r="M56" s="573" t="s">
        <v>406</v>
      </c>
      <c r="N56" s="574" t="s">
        <v>296</v>
      </c>
      <c r="O56" s="1081">
        <v>0</v>
      </c>
      <c r="P56" s="799">
        <v>148.63925555867115</v>
      </c>
      <c r="Q56" s="799">
        <v>144.45642118257553</v>
      </c>
      <c r="R56" s="843">
        <v>114.41922691963067</v>
      </c>
      <c r="S56" s="845">
        <v>88.025767750328299</v>
      </c>
      <c r="T56" s="846">
        <v>72.449480572969819</v>
      </c>
      <c r="U56" s="845">
        <v>50.041760442115688</v>
      </c>
      <c r="V56" s="847">
        <v>39.629473566386764</v>
      </c>
    </row>
    <row r="57" spans="2:22" x14ac:dyDescent="0.3">
      <c r="B57" s="597" t="s">
        <v>407</v>
      </c>
      <c r="C57" s="574" t="s">
        <v>296</v>
      </c>
      <c r="D57" s="586">
        <f t="shared" si="3"/>
        <v>0</v>
      </c>
      <c r="E57" s="586">
        <f t="shared" si="3"/>
        <v>0</v>
      </c>
      <c r="F57" s="219">
        <f t="shared" si="3"/>
        <v>0</v>
      </c>
      <c r="G57" s="582">
        <f t="shared" si="3"/>
        <v>0</v>
      </c>
      <c r="H57" s="574">
        <f t="shared" si="3"/>
        <v>0</v>
      </c>
      <c r="I57" s="582">
        <f t="shared" si="3"/>
        <v>0</v>
      </c>
      <c r="J57" s="574">
        <f t="shared" si="3"/>
        <v>0</v>
      </c>
      <c r="K57" s="575">
        <f t="shared" si="3"/>
        <v>0</v>
      </c>
      <c r="M57" s="597" t="s">
        <v>407</v>
      </c>
      <c r="N57" s="574" t="s">
        <v>296</v>
      </c>
      <c r="O57" s="1083">
        <v>0</v>
      </c>
      <c r="P57" s="841">
        <v>0</v>
      </c>
      <c r="Q57" s="843">
        <v>0</v>
      </c>
      <c r="R57" s="848">
        <v>0</v>
      </c>
      <c r="S57" s="799">
        <v>0</v>
      </c>
      <c r="T57" s="848">
        <v>0</v>
      </c>
      <c r="U57" s="799">
        <v>0</v>
      </c>
      <c r="V57" s="849">
        <v>0</v>
      </c>
    </row>
    <row r="58" spans="2:22" x14ac:dyDescent="0.3">
      <c r="B58" s="573" t="s">
        <v>408</v>
      </c>
      <c r="C58" s="586" t="s">
        <v>296</v>
      </c>
      <c r="D58" s="591">
        <f t="shared" si="3"/>
        <v>0</v>
      </c>
      <c r="E58" s="591">
        <f t="shared" si="3"/>
        <v>0</v>
      </c>
      <c r="F58" s="592">
        <f t="shared" si="3"/>
        <v>0</v>
      </c>
      <c r="G58" s="582">
        <f t="shared" si="3"/>
        <v>0</v>
      </c>
      <c r="H58" s="574">
        <f t="shared" si="3"/>
        <v>0</v>
      </c>
      <c r="I58" s="575">
        <f t="shared" si="3"/>
        <v>0</v>
      </c>
      <c r="J58" s="583">
        <f t="shared" si="3"/>
        <v>33.400285588371979</v>
      </c>
      <c r="K58" s="584">
        <f t="shared" si="3"/>
        <v>39.731210584418463</v>
      </c>
      <c r="M58" s="573" t="s">
        <v>408</v>
      </c>
      <c r="N58" s="586" t="s">
        <v>296</v>
      </c>
      <c r="O58" s="1087">
        <v>94.197991088552314</v>
      </c>
      <c r="P58" s="845">
        <v>35.343279381162795</v>
      </c>
      <c r="Q58" s="847">
        <v>12.874719428442011</v>
      </c>
      <c r="R58" s="848">
        <v>11.085834121677687</v>
      </c>
      <c r="S58" s="799">
        <v>7.7904284380329418</v>
      </c>
      <c r="T58" s="849">
        <v>0.25066913228029286</v>
      </c>
      <c r="U58" s="850">
        <v>33.400285588371979</v>
      </c>
      <c r="V58" s="842">
        <v>39.731210584418463</v>
      </c>
    </row>
    <row r="59" spans="2:22" x14ac:dyDescent="0.3">
      <c r="B59" s="593" t="s">
        <v>409</v>
      </c>
      <c r="C59" s="574" t="s">
        <v>296</v>
      </c>
      <c r="D59" s="574">
        <f t="shared" si="3"/>
        <v>0</v>
      </c>
      <c r="E59" s="574">
        <f t="shared" si="3"/>
        <v>-1.5631940186722204E-13</v>
      </c>
      <c r="F59" s="575">
        <f t="shared" si="3"/>
        <v>0</v>
      </c>
      <c r="G59" s="219">
        <f t="shared" si="3"/>
        <v>0</v>
      </c>
      <c r="H59" s="586">
        <f t="shared" si="3"/>
        <v>0</v>
      </c>
      <c r="I59" s="219">
        <f t="shared" si="3"/>
        <v>0</v>
      </c>
      <c r="J59" s="582">
        <f t="shared" si="3"/>
        <v>0</v>
      </c>
      <c r="K59" s="574">
        <f t="shared" si="3"/>
        <v>0</v>
      </c>
      <c r="M59" s="593" t="s">
        <v>409</v>
      </c>
      <c r="N59" s="574" t="s">
        <v>296</v>
      </c>
      <c r="O59" s="1081">
        <v>172.08553810366237</v>
      </c>
      <c r="P59" s="799">
        <v>40.897156900629795</v>
      </c>
      <c r="Q59" s="849">
        <v>0</v>
      </c>
      <c r="R59" s="843">
        <v>4.4507483225848514E-2</v>
      </c>
      <c r="S59" s="841">
        <v>4.5473421926910333E-2</v>
      </c>
      <c r="T59" s="843">
        <v>0</v>
      </c>
      <c r="U59" s="848">
        <v>0</v>
      </c>
      <c r="V59" s="799">
        <v>0</v>
      </c>
    </row>
    <row r="60" spans="2:22" x14ac:dyDescent="0.3">
      <c r="B60" s="593" t="s">
        <v>410</v>
      </c>
      <c r="C60" s="574" t="s">
        <v>296</v>
      </c>
      <c r="D60" s="574">
        <f t="shared" si="3"/>
        <v>0</v>
      </c>
      <c r="E60" s="574">
        <f t="shared" si="3"/>
        <v>0</v>
      </c>
      <c r="F60" s="575">
        <f t="shared" si="3"/>
        <v>0</v>
      </c>
      <c r="G60" s="582">
        <f t="shared" si="3"/>
        <v>1.0454699461206474E-2</v>
      </c>
      <c r="H60" s="574">
        <f t="shared" si="3"/>
        <v>0.24687515092919909</v>
      </c>
      <c r="I60" s="575">
        <f t="shared" si="3"/>
        <v>3.2072333695168709E-2</v>
      </c>
      <c r="J60" s="611">
        <f t="shared" si="3"/>
        <v>-10.635892950454902</v>
      </c>
      <c r="K60" s="574">
        <f t="shared" si="3"/>
        <v>-2.0997760997041723</v>
      </c>
      <c r="M60" s="593" t="s">
        <v>410</v>
      </c>
      <c r="N60" s="574" t="s">
        <v>296</v>
      </c>
      <c r="O60" s="1081">
        <v>33.288971558098083</v>
      </c>
      <c r="P60" s="799">
        <v>69.859467140042341</v>
      </c>
      <c r="Q60" s="849">
        <v>103.28521479307817</v>
      </c>
      <c r="R60" s="848">
        <v>107.25210120383763</v>
      </c>
      <c r="S60" s="799">
        <v>110.51098509379986</v>
      </c>
      <c r="T60" s="849">
        <v>103.08343883108188</v>
      </c>
      <c r="U60" s="840">
        <v>76.667819246332201</v>
      </c>
      <c r="V60" s="799">
        <v>68.123851043694216</v>
      </c>
    </row>
    <row r="61" spans="2:22" x14ac:dyDescent="0.3">
      <c r="B61" s="595" t="s">
        <v>45</v>
      </c>
      <c r="C61" s="596"/>
      <c r="D61" s="606"/>
      <c r="E61" s="606"/>
      <c r="F61" s="607"/>
      <c r="G61" s="608"/>
      <c r="H61" s="606"/>
      <c r="I61" s="609"/>
      <c r="J61" s="610"/>
      <c r="K61" s="606"/>
      <c r="M61" s="595" t="s">
        <v>45</v>
      </c>
      <c r="N61" s="596"/>
      <c r="O61" s="836"/>
      <c r="P61" s="836"/>
      <c r="Q61" s="851"/>
      <c r="R61" s="852"/>
      <c r="S61" s="836"/>
      <c r="T61" s="853"/>
      <c r="U61" s="839"/>
      <c r="V61" s="836"/>
    </row>
    <row r="62" spans="2:22" x14ac:dyDescent="0.3">
      <c r="B62" s="594" t="s">
        <v>411</v>
      </c>
      <c r="C62" s="583" t="s">
        <v>296</v>
      </c>
      <c r="D62" s="584">
        <f t="shared" ref="D62:K62" si="4">O62-D26</f>
        <v>0</v>
      </c>
      <c r="E62" s="584">
        <f t="shared" si="4"/>
        <v>0</v>
      </c>
      <c r="F62" s="587">
        <f t="shared" si="4"/>
        <v>3.3841785565470417</v>
      </c>
      <c r="G62" s="574">
        <f t="shared" si="4"/>
        <v>0</v>
      </c>
      <c r="H62" s="587">
        <f t="shared" si="4"/>
        <v>-1.3083382025662367</v>
      </c>
      <c r="I62" s="574">
        <f t="shared" si="4"/>
        <v>0.71559124807424723</v>
      </c>
      <c r="J62" s="575">
        <f t="shared" si="4"/>
        <v>32.910672784049922</v>
      </c>
      <c r="K62" s="589">
        <f t="shared" si="4"/>
        <v>30.997768049951794</v>
      </c>
      <c r="M62" s="594" t="s">
        <v>411</v>
      </c>
      <c r="N62" s="583" t="s">
        <v>296</v>
      </c>
      <c r="O62" s="842"/>
      <c r="P62" s="842">
        <v>56.243992309136289</v>
      </c>
      <c r="Q62" s="854">
        <v>82.333212017734979</v>
      </c>
      <c r="R62" s="799">
        <v>0</v>
      </c>
      <c r="S62" s="854">
        <v>25.377419404640349</v>
      </c>
      <c r="T62" s="799">
        <v>438.93966552694309</v>
      </c>
      <c r="U62" s="849">
        <v>132.66422918573863</v>
      </c>
      <c r="V62" s="855">
        <v>58.710468433495294</v>
      </c>
    </row>
    <row r="63" spans="2:22" x14ac:dyDescent="0.3">
      <c r="B63" s="595" t="s">
        <v>711</v>
      </c>
      <c r="C63" s="596"/>
      <c r="D63" s="606"/>
      <c r="E63" s="606"/>
      <c r="F63" s="607"/>
      <c r="G63" s="607"/>
      <c r="H63" s="606"/>
      <c r="I63" s="606"/>
      <c r="J63" s="606"/>
      <c r="K63" s="606"/>
      <c r="M63" s="595" t="s">
        <v>711</v>
      </c>
      <c r="N63" s="596"/>
      <c r="O63" s="836"/>
      <c r="P63" s="836"/>
      <c r="Q63" s="851"/>
      <c r="R63" s="851"/>
      <c r="S63" s="836"/>
      <c r="T63" s="836"/>
      <c r="U63" s="836"/>
      <c r="V63" s="836"/>
    </row>
    <row r="64" spans="2:22" x14ac:dyDescent="0.3">
      <c r="B64" s="594" t="s">
        <v>711</v>
      </c>
      <c r="C64" s="583" t="s">
        <v>296</v>
      </c>
      <c r="D64" s="584">
        <f t="shared" ref="D64" si="5">O64-D28</f>
        <v>0</v>
      </c>
      <c r="E64" s="584">
        <f t="shared" ref="E64" si="6">P64-E28</f>
        <v>0</v>
      </c>
      <c r="F64" s="587">
        <f t="shared" ref="F64" si="7">Q64-F28</f>
        <v>0</v>
      </c>
      <c r="G64" s="574">
        <f t="shared" ref="G64" si="8">R64-G28</f>
        <v>0</v>
      </c>
      <c r="H64" s="587">
        <f t="shared" ref="H64" si="9">S64-H28</f>
        <v>0</v>
      </c>
      <c r="I64" s="574">
        <f t="shared" ref="I64" si="10">T64-I28</f>
        <v>0</v>
      </c>
      <c r="J64" s="575">
        <f t="shared" ref="J64" si="11">U64-J28</f>
        <v>164.55336392024958</v>
      </c>
      <c r="K64" s="589">
        <f t="shared" ref="K64" si="12">V64-K28</f>
        <v>154.98884024975897</v>
      </c>
      <c r="M64" s="594" t="s">
        <v>711</v>
      </c>
      <c r="N64" s="583" t="s">
        <v>296</v>
      </c>
      <c r="O64" s="842">
        <v>0</v>
      </c>
      <c r="P64" s="842">
        <v>0</v>
      </c>
      <c r="Q64" s="842">
        <v>0</v>
      </c>
      <c r="R64" s="842">
        <v>0</v>
      </c>
      <c r="S64" s="842">
        <v>0</v>
      </c>
      <c r="T64" s="842">
        <v>0</v>
      </c>
      <c r="U64" s="842">
        <v>164.55336392024958</v>
      </c>
      <c r="V64" s="842">
        <v>154.98884024975897</v>
      </c>
    </row>
    <row r="65" spans="2:22" x14ac:dyDescent="0.3">
      <c r="B65" s="595" t="s">
        <v>712</v>
      </c>
      <c r="C65" s="596"/>
      <c r="D65" s="606"/>
      <c r="E65" s="606"/>
      <c r="F65" s="607"/>
      <c r="G65" s="608"/>
      <c r="H65" s="606"/>
      <c r="I65" s="609"/>
      <c r="J65" s="610"/>
      <c r="K65" s="606"/>
      <c r="M65" s="595" t="s">
        <v>712</v>
      </c>
      <c r="N65" s="596"/>
      <c r="O65" s="836"/>
      <c r="P65" s="836"/>
      <c r="Q65" s="851"/>
      <c r="R65" s="852"/>
      <c r="S65" s="836"/>
      <c r="T65" s="853"/>
      <c r="U65" s="839"/>
      <c r="V65" s="836"/>
    </row>
    <row r="66" spans="2:22" x14ac:dyDescent="0.3">
      <c r="B66" s="597" t="s">
        <v>634</v>
      </c>
      <c r="C66" s="582" t="s">
        <v>75</v>
      </c>
      <c r="D66" s="577">
        <f t="shared" ref="D66:K67" si="13">O66-D30</f>
        <v>0</v>
      </c>
      <c r="E66" s="577">
        <f t="shared" si="13"/>
        <v>0</v>
      </c>
      <c r="F66" s="577">
        <f t="shared" si="13"/>
        <v>0</v>
      </c>
      <c r="G66" s="577">
        <f t="shared" si="13"/>
        <v>9.5833990188293683</v>
      </c>
      <c r="H66" s="577">
        <f t="shared" si="13"/>
        <v>-58.150345490455948</v>
      </c>
      <c r="I66" s="577">
        <f t="shared" si="13"/>
        <v>-0.94903474933380494</v>
      </c>
      <c r="J66" s="577">
        <f t="shared" si="13"/>
        <v>1843.7177914852555</v>
      </c>
      <c r="K66" s="577">
        <f t="shared" si="13"/>
        <v>2267.0240513664467</v>
      </c>
      <c r="M66" s="597" t="s">
        <v>634</v>
      </c>
      <c r="N66" s="582" t="s">
        <v>75</v>
      </c>
      <c r="O66" s="800">
        <v>13157.170940781352</v>
      </c>
      <c r="P66" s="800">
        <v>-2017.6738313192018</v>
      </c>
      <c r="Q66" s="800">
        <v>-4486.8460921644692</v>
      </c>
      <c r="R66" s="800">
        <v>-10015.485934420087</v>
      </c>
      <c r="S66" s="800">
        <v>-16946.095695653039</v>
      </c>
      <c r="T66" s="800">
        <v>-5300.0437608959091</v>
      </c>
      <c r="U66" s="800">
        <v>-7867.2561252405476</v>
      </c>
      <c r="V66" s="800">
        <v>-11751.11939101805</v>
      </c>
    </row>
    <row r="67" spans="2:22" x14ac:dyDescent="0.3">
      <c r="B67" s="594" t="s">
        <v>634</v>
      </c>
      <c r="C67" s="574" t="s">
        <v>296</v>
      </c>
      <c r="D67" s="574">
        <f t="shared" si="13"/>
        <v>0</v>
      </c>
      <c r="E67" s="574">
        <f t="shared" si="13"/>
        <v>5.6970748549645123E-4</v>
      </c>
      <c r="F67" s="575">
        <f t="shared" si="13"/>
        <v>-1.6189990150635936E-2</v>
      </c>
      <c r="G67" s="582">
        <f t="shared" si="13"/>
        <v>-0.39746517160779149</v>
      </c>
      <c r="H67" s="582">
        <f t="shared" si="13"/>
        <v>-1.4809241861937608</v>
      </c>
      <c r="I67" s="582">
        <f t="shared" si="13"/>
        <v>-0.10842913804982857</v>
      </c>
      <c r="J67" s="582">
        <f t="shared" si="13"/>
        <v>36.563476548029115</v>
      </c>
      <c r="K67" s="574">
        <f t="shared" si="13"/>
        <v>33.732982348826368</v>
      </c>
      <c r="M67" s="594" t="s">
        <v>634</v>
      </c>
      <c r="N67" s="574" t="s">
        <v>296</v>
      </c>
      <c r="O67" s="799">
        <v>288.38408027760494</v>
      </c>
      <c r="P67" s="799">
        <v>-36.113008318583894</v>
      </c>
      <c r="Q67" s="849">
        <v>-84.576830298067833</v>
      </c>
      <c r="R67" s="848">
        <v>-185.33696513017108</v>
      </c>
      <c r="S67" s="848">
        <v>-328.37797340981575</v>
      </c>
      <c r="T67" s="848">
        <v>-107.84679898112502</v>
      </c>
      <c r="U67" s="848">
        <v>-161.84772729964311</v>
      </c>
      <c r="V67" s="799">
        <v>-236.28597274604365</v>
      </c>
    </row>
    <row r="68" spans="2:22" x14ac:dyDescent="0.3">
      <c r="B68" s="595" t="s">
        <v>713</v>
      </c>
      <c r="C68" s="596"/>
      <c r="D68" s="606"/>
      <c r="E68" s="606"/>
      <c r="F68" s="607"/>
      <c r="G68" s="607"/>
      <c r="H68" s="606"/>
      <c r="I68" s="606"/>
      <c r="J68" s="606"/>
      <c r="K68" s="606"/>
      <c r="M68" s="595" t="s">
        <v>713</v>
      </c>
      <c r="N68" s="596"/>
      <c r="O68" s="836"/>
      <c r="P68" s="836"/>
      <c r="Q68" s="851"/>
      <c r="R68" s="852"/>
      <c r="S68" s="836"/>
      <c r="T68" s="853"/>
      <c r="U68" s="839"/>
      <c r="V68" s="836"/>
    </row>
    <row r="69" spans="2:22" x14ac:dyDescent="0.3">
      <c r="B69" s="597" t="s">
        <v>787</v>
      </c>
      <c r="C69" s="582" t="s">
        <v>412</v>
      </c>
      <c r="D69" s="581">
        <f t="shared" ref="D69:D75" si="14">O69-D33</f>
        <v>0</v>
      </c>
      <c r="E69" s="581">
        <f t="shared" ref="E69:K69" si="15">P69-E33</f>
        <v>0</v>
      </c>
      <c r="F69" s="581">
        <f t="shared" si="15"/>
        <v>0</v>
      </c>
      <c r="G69" s="581">
        <f t="shared" si="15"/>
        <v>2.7480222439799036</v>
      </c>
      <c r="H69" s="581">
        <f t="shared" si="15"/>
        <v>4.5934534997886658</v>
      </c>
      <c r="I69" s="581">
        <f t="shared" si="15"/>
        <v>7.3989992447759505</v>
      </c>
      <c r="J69" s="581">
        <f t="shared" si="15"/>
        <v>606.79947343167441</v>
      </c>
      <c r="K69" s="581">
        <f t="shared" si="15"/>
        <v>645.92553152168239</v>
      </c>
      <c r="M69" s="597" t="s">
        <v>787</v>
      </c>
      <c r="N69" s="582" t="s">
        <v>412</v>
      </c>
      <c r="O69" s="829">
        <v>13777.672069342803</v>
      </c>
      <c r="P69" s="824">
        <v>7197.2397338615392</v>
      </c>
      <c r="Q69" s="834">
        <v>6742.9712249946861</v>
      </c>
      <c r="R69" s="800">
        <v>5930.9362047340801</v>
      </c>
      <c r="S69" s="834">
        <v>5207.3555775153454</v>
      </c>
      <c r="T69" s="800">
        <v>4632.35924731458</v>
      </c>
      <c r="U69" s="800">
        <v>3787.0728695899788</v>
      </c>
      <c r="V69" s="800">
        <v>3421.7999288971414</v>
      </c>
    </row>
    <row r="70" spans="2:22" x14ac:dyDescent="0.3">
      <c r="B70" s="597" t="s">
        <v>714</v>
      </c>
      <c r="C70" s="582" t="s">
        <v>412</v>
      </c>
      <c r="D70" s="577">
        <f t="shared" si="14"/>
        <v>0</v>
      </c>
      <c r="E70" s="578">
        <f t="shared" ref="E70:K75" si="16">P70-E34</f>
        <v>0</v>
      </c>
      <c r="F70" s="578">
        <f t="shared" si="16"/>
        <v>0</v>
      </c>
      <c r="G70" s="578">
        <f t="shared" si="16"/>
        <v>0</v>
      </c>
      <c r="H70" s="577">
        <f t="shared" si="16"/>
        <v>0</v>
      </c>
      <c r="I70" s="577">
        <f t="shared" si="16"/>
        <v>0</v>
      </c>
      <c r="J70" s="577">
        <f t="shared" si="16"/>
        <v>0</v>
      </c>
      <c r="K70" s="577">
        <f t="shared" si="16"/>
        <v>0</v>
      </c>
      <c r="M70" s="597" t="s">
        <v>714</v>
      </c>
      <c r="N70" s="582" t="s">
        <v>412</v>
      </c>
      <c r="O70" s="800">
        <v>16000</v>
      </c>
      <c r="P70" s="800">
        <v>14666</v>
      </c>
      <c r="Q70" s="800">
        <v>12000</v>
      </c>
      <c r="R70" s="800">
        <v>10583</v>
      </c>
      <c r="S70" s="800">
        <v>10583</v>
      </c>
      <c r="T70" s="800">
        <v>10583</v>
      </c>
      <c r="U70" s="800">
        <v>10583</v>
      </c>
      <c r="V70" s="800">
        <v>10583</v>
      </c>
    </row>
    <row r="71" spans="2:22" x14ac:dyDescent="0.3">
      <c r="B71" s="573" t="s">
        <v>308</v>
      </c>
      <c r="C71" s="580" t="s">
        <v>412</v>
      </c>
      <c r="D71" s="581">
        <f t="shared" si="14"/>
        <v>6.5702488505849033E-2</v>
      </c>
      <c r="E71" s="572">
        <f t="shared" si="16"/>
        <v>0</v>
      </c>
      <c r="F71" s="585">
        <f t="shared" si="16"/>
        <v>0</v>
      </c>
      <c r="G71" s="577">
        <f t="shared" si="16"/>
        <v>2.588529462364022</v>
      </c>
      <c r="H71" s="585">
        <f t="shared" si="16"/>
        <v>0.83260486623657926</v>
      </c>
      <c r="I71" s="577">
        <f t="shared" si="16"/>
        <v>6.9254488200053856</v>
      </c>
      <c r="J71" s="577">
        <f t="shared" si="16"/>
        <v>756.91100986918605</v>
      </c>
      <c r="K71" s="577">
        <f t="shared" si="16"/>
        <v>674.30888231311201</v>
      </c>
      <c r="M71" s="573" t="s">
        <v>308</v>
      </c>
      <c r="N71" s="580" t="s">
        <v>412</v>
      </c>
      <c r="O71" s="829">
        <v>13111.065702488506</v>
      </c>
      <c r="P71" s="824">
        <v>5846.6850201491261</v>
      </c>
      <c r="Q71" s="834">
        <v>4776.3792396266408</v>
      </c>
      <c r="R71" s="800">
        <v>3906.5654058230457</v>
      </c>
      <c r="S71" s="834">
        <v>3145.873870664801</v>
      </c>
      <c r="T71" s="800">
        <v>2658.2851294817715</v>
      </c>
      <c r="U71" s="800">
        <v>2184.5460903357371</v>
      </c>
      <c r="V71" s="800">
        <v>1906.1340386242509</v>
      </c>
    </row>
    <row r="72" spans="2:22" x14ac:dyDescent="0.3">
      <c r="B72" s="597" t="s">
        <v>715</v>
      </c>
      <c r="C72" s="582" t="s">
        <v>412</v>
      </c>
      <c r="D72" s="577">
        <f t="shared" si="14"/>
        <v>-6.5702488505849033E-2</v>
      </c>
      <c r="E72" s="578">
        <f t="shared" si="16"/>
        <v>0</v>
      </c>
      <c r="F72" s="579">
        <f t="shared" si="16"/>
        <v>0</v>
      </c>
      <c r="G72" s="572">
        <f t="shared" si="16"/>
        <v>-2.588529462364022</v>
      </c>
      <c r="H72" s="588">
        <f t="shared" si="16"/>
        <v>-0.83260486623657926</v>
      </c>
      <c r="I72" s="572">
        <f t="shared" si="16"/>
        <v>-6.9254488200058404</v>
      </c>
      <c r="J72" s="576">
        <f t="shared" si="16"/>
        <v>-756.91100986918718</v>
      </c>
      <c r="K72" s="577">
        <f t="shared" si="16"/>
        <v>-674.30888231311292</v>
      </c>
      <c r="M72" s="597" t="s">
        <v>715</v>
      </c>
      <c r="N72" s="582" t="s">
        <v>412</v>
      </c>
      <c r="O72" s="800">
        <v>2888.9342975114942</v>
      </c>
      <c r="P72" s="835">
        <v>8819.3149798508748</v>
      </c>
      <c r="Q72" s="856">
        <v>7223.6207603733592</v>
      </c>
      <c r="R72" s="824">
        <v>6676.4345941769543</v>
      </c>
      <c r="S72" s="825">
        <v>7437.126129335199</v>
      </c>
      <c r="T72" s="824">
        <v>7924.7148705182281</v>
      </c>
      <c r="U72" s="826">
        <v>8398.453909664262</v>
      </c>
      <c r="V72" s="800">
        <v>8676.8659613757482</v>
      </c>
    </row>
    <row r="73" spans="2:22" x14ac:dyDescent="0.3">
      <c r="B73" s="597" t="s">
        <v>308</v>
      </c>
      <c r="C73" s="582" t="s">
        <v>296</v>
      </c>
      <c r="D73" s="574">
        <f t="shared" si="14"/>
        <v>0</v>
      </c>
      <c r="E73" s="575">
        <f t="shared" si="16"/>
        <v>0</v>
      </c>
      <c r="F73" s="583">
        <f t="shared" si="16"/>
        <v>0</v>
      </c>
      <c r="G73" s="584">
        <f t="shared" si="16"/>
        <v>6.4066104193514661E-2</v>
      </c>
      <c r="H73" s="587">
        <f t="shared" si="16"/>
        <v>2.4978145987105904E-2</v>
      </c>
      <c r="I73" s="584">
        <f t="shared" si="16"/>
        <v>0.24239070870018509</v>
      </c>
      <c r="J73" s="589">
        <f t="shared" si="16"/>
        <v>30.276440394767455</v>
      </c>
      <c r="K73" s="574">
        <f t="shared" si="16"/>
        <v>30.343899704090035</v>
      </c>
      <c r="M73" s="597" t="s">
        <v>308</v>
      </c>
      <c r="N73" s="582" t="s">
        <v>296</v>
      </c>
      <c r="O73" s="799">
        <v>94.399673057917241</v>
      </c>
      <c r="P73" s="849">
        <v>87.700275302236889</v>
      </c>
      <c r="Q73" s="850">
        <v>99.587507146215472</v>
      </c>
      <c r="R73" s="842">
        <v>96.687493794120385</v>
      </c>
      <c r="S73" s="854">
        <v>94.376216119944033</v>
      </c>
      <c r="T73" s="842">
        <v>93.039979531862002</v>
      </c>
      <c r="U73" s="855">
        <v>87.381843613429496</v>
      </c>
      <c r="V73" s="799">
        <v>85.776031738091291</v>
      </c>
    </row>
    <row r="74" spans="2:22" x14ac:dyDescent="0.3">
      <c r="B74" s="597" t="s">
        <v>716</v>
      </c>
      <c r="C74" s="582" t="s">
        <v>296</v>
      </c>
      <c r="D74" s="574">
        <f t="shared" si="14"/>
        <v>0</v>
      </c>
      <c r="E74" s="574">
        <f t="shared" si="16"/>
        <v>0</v>
      </c>
      <c r="F74" s="574">
        <f t="shared" si="16"/>
        <v>0</v>
      </c>
      <c r="G74" s="574">
        <f t="shared" si="16"/>
        <v>0</v>
      </c>
      <c r="H74" s="574">
        <f t="shared" si="16"/>
        <v>0</v>
      </c>
      <c r="I74" s="574">
        <f t="shared" si="16"/>
        <v>0</v>
      </c>
      <c r="J74" s="574">
        <f t="shared" si="16"/>
        <v>0</v>
      </c>
      <c r="K74" s="574">
        <f t="shared" si="16"/>
        <v>0</v>
      </c>
      <c r="M74" s="597" t="s">
        <v>716</v>
      </c>
      <c r="N74" s="582" t="s">
        <v>296</v>
      </c>
      <c r="O74" s="1098">
        <v>0</v>
      </c>
      <c r="P74" s="1098">
        <v>0</v>
      </c>
      <c r="Q74" s="1098">
        <v>0</v>
      </c>
      <c r="R74" s="1098">
        <v>0</v>
      </c>
      <c r="S74" s="1098">
        <v>0</v>
      </c>
      <c r="T74" s="1098">
        <v>0</v>
      </c>
      <c r="U74" s="1098">
        <v>0</v>
      </c>
      <c r="V74" s="1098">
        <v>0</v>
      </c>
    </row>
    <row r="75" spans="2:22" x14ac:dyDescent="0.3">
      <c r="B75" s="597" t="s">
        <v>717</v>
      </c>
      <c r="C75" s="582" t="s">
        <v>296</v>
      </c>
      <c r="D75" s="574">
        <f t="shared" si="14"/>
        <v>0</v>
      </c>
      <c r="E75" s="574">
        <f t="shared" si="16"/>
        <v>0</v>
      </c>
      <c r="F75" s="574">
        <f t="shared" si="16"/>
        <v>0</v>
      </c>
      <c r="G75" s="574">
        <f t="shared" si="16"/>
        <v>6.4066104193514661E-2</v>
      </c>
      <c r="H75" s="574">
        <f t="shared" si="16"/>
        <v>2.4978145987105904E-2</v>
      </c>
      <c r="I75" s="574">
        <f t="shared" si="16"/>
        <v>0.24239070870018509</v>
      </c>
      <c r="J75" s="574">
        <f t="shared" si="16"/>
        <v>30.276440394767455</v>
      </c>
      <c r="K75" s="574">
        <f t="shared" si="16"/>
        <v>30.343899704090035</v>
      </c>
      <c r="M75" s="597" t="s">
        <v>717</v>
      </c>
      <c r="N75" s="582" t="s">
        <v>296</v>
      </c>
      <c r="O75" s="1098">
        <v>94.399673057917241</v>
      </c>
      <c r="P75" s="1098">
        <v>87.700275302236889</v>
      </c>
      <c r="Q75" s="1098">
        <v>99.587507146215472</v>
      </c>
      <c r="R75" s="1098">
        <v>96.687493794120385</v>
      </c>
      <c r="S75" s="1098">
        <v>94.376216119944033</v>
      </c>
      <c r="T75" s="1098">
        <v>93.039979531862002</v>
      </c>
      <c r="U75" s="1098">
        <v>87.381843613429496</v>
      </c>
      <c r="V75" s="1098">
        <v>85.776031738091291</v>
      </c>
    </row>
    <row r="77" spans="2:22" x14ac:dyDescent="0.3">
      <c r="B77" s="603" t="s">
        <v>415</v>
      </c>
      <c r="C77" s="615"/>
      <c r="D77" s="615"/>
      <c r="E77" s="615"/>
      <c r="F77" s="615"/>
      <c r="G77" s="615"/>
      <c r="H77" s="615"/>
      <c r="I77" s="615"/>
      <c r="J77" s="615"/>
      <c r="K77" s="605"/>
      <c r="M77" s="603" t="s">
        <v>416</v>
      </c>
      <c r="N77" s="615"/>
      <c r="O77" s="615"/>
      <c r="P77" s="615"/>
      <c r="Q77" s="615"/>
      <c r="R77" s="615"/>
      <c r="S77" s="615"/>
      <c r="T77" s="615"/>
      <c r="U77" s="615"/>
      <c r="V77" s="605"/>
    </row>
    <row r="78" spans="2:22" x14ac:dyDescent="0.3">
      <c r="B78" s="602"/>
      <c r="C78" s="600" t="s">
        <v>293</v>
      </c>
      <c r="D78" s="618">
        <v>2012</v>
      </c>
      <c r="E78" s="617">
        <v>2020</v>
      </c>
      <c r="F78" s="618">
        <v>2026</v>
      </c>
      <c r="G78" s="619">
        <v>2030</v>
      </c>
      <c r="H78" s="620">
        <v>2035</v>
      </c>
      <c r="I78" s="600">
        <v>2040</v>
      </c>
      <c r="J78" s="617">
        <v>2045</v>
      </c>
      <c r="K78" s="621">
        <v>2050</v>
      </c>
      <c r="M78" s="602"/>
      <c r="N78" s="600" t="s">
        <v>293</v>
      </c>
      <c r="O78" s="618">
        <v>2012</v>
      </c>
      <c r="P78" s="617">
        <v>2020</v>
      </c>
      <c r="Q78" s="618">
        <v>2026</v>
      </c>
      <c r="R78" s="600">
        <v>2030</v>
      </c>
      <c r="S78" s="600">
        <v>2035</v>
      </c>
      <c r="T78" s="600">
        <v>2040</v>
      </c>
      <c r="U78" s="617">
        <v>2045</v>
      </c>
      <c r="V78" s="621">
        <v>2050</v>
      </c>
    </row>
    <row r="79" spans="2:22" x14ac:dyDescent="0.3">
      <c r="B79" s="595" t="s">
        <v>54</v>
      </c>
      <c r="C79" s="596"/>
      <c r="D79" s="596"/>
      <c r="E79" s="596"/>
      <c r="F79" s="596"/>
      <c r="G79" s="596"/>
      <c r="H79" s="596"/>
      <c r="I79" s="626"/>
      <c r="J79" s="596"/>
      <c r="K79" s="596"/>
      <c r="M79" s="595" t="s">
        <v>54</v>
      </c>
      <c r="N79" s="596"/>
      <c r="O79" s="596"/>
      <c r="P79" s="596"/>
      <c r="Q79" s="596"/>
      <c r="R79" s="596"/>
      <c r="S79" s="596"/>
      <c r="T79" s="626"/>
      <c r="U79" s="596"/>
      <c r="V79" s="596"/>
    </row>
    <row r="80" spans="2:22" x14ac:dyDescent="0.3">
      <c r="B80" s="627" t="s">
        <v>294</v>
      </c>
      <c r="C80" s="584" t="s">
        <v>75</v>
      </c>
      <c r="D80" s="572">
        <f t="shared" ref="D80:K84" si="17">O80-D8</f>
        <v>0</v>
      </c>
      <c r="E80" s="572">
        <f t="shared" si="17"/>
        <v>78.226546468649758</v>
      </c>
      <c r="F80" s="572">
        <f t="shared" si="17"/>
        <v>63.894368629888049</v>
      </c>
      <c r="G80" s="588">
        <f t="shared" si="17"/>
        <v>-119.49081215239858</v>
      </c>
      <c r="H80" s="572">
        <f t="shared" si="17"/>
        <v>52.187449118260702</v>
      </c>
      <c r="I80" s="588">
        <f t="shared" si="17"/>
        <v>238.48168235207413</v>
      </c>
      <c r="J80" s="572">
        <f t="shared" si="17"/>
        <v>1286.6257033013644</v>
      </c>
      <c r="K80" s="576">
        <f t="shared" si="17"/>
        <v>3453.9003006833809</v>
      </c>
      <c r="M80" s="627" t="s">
        <v>294</v>
      </c>
      <c r="N80" s="584" t="s">
        <v>75</v>
      </c>
      <c r="O80" s="1064">
        <v>134082.17222006113</v>
      </c>
      <c r="P80" s="824">
        <v>71005.687147179284</v>
      </c>
      <c r="Q80" s="824">
        <v>66030.839696848649</v>
      </c>
      <c r="R80" s="825">
        <v>57194.930448827916</v>
      </c>
      <c r="S80" s="824">
        <v>49643.415030432494</v>
      </c>
      <c r="T80" s="825">
        <v>43654.876106914504</v>
      </c>
      <c r="U80" s="824">
        <v>29480.950345594902</v>
      </c>
      <c r="V80" s="826">
        <v>27420.660697240852</v>
      </c>
    </row>
    <row r="81" spans="2:22" x14ac:dyDescent="0.3">
      <c r="B81" s="573" t="s">
        <v>323</v>
      </c>
      <c r="C81" s="580" t="s">
        <v>75</v>
      </c>
      <c r="D81" s="572">
        <f t="shared" si="17"/>
        <v>0</v>
      </c>
      <c r="E81" s="765">
        <f t="shared" si="17"/>
        <v>71.372508163512975</v>
      </c>
      <c r="F81" s="577">
        <f t="shared" si="17"/>
        <v>-151.28618136167643</v>
      </c>
      <c r="G81" s="766">
        <f t="shared" si="17"/>
        <v>-343.92106276095728</v>
      </c>
      <c r="H81" s="581">
        <f t="shared" si="17"/>
        <v>-168.56832767986634</v>
      </c>
      <c r="I81" s="766">
        <f t="shared" si="17"/>
        <v>61.784332864972384</v>
      </c>
      <c r="J81" s="581">
        <f t="shared" si="17"/>
        <v>311.94701487701241</v>
      </c>
      <c r="K81" s="767">
        <f t="shared" si="17"/>
        <v>145.71530619000259</v>
      </c>
      <c r="M81" s="573" t="s">
        <v>323</v>
      </c>
      <c r="N81" s="580" t="s">
        <v>75</v>
      </c>
      <c r="O81" s="1064">
        <v>128963.83279029057</v>
      </c>
      <c r="P81" s="827">
        <v>63641.666667643069</v>
      </c>
      <c r="Q81" s="800">
        <v>52029.31600060108</v>
      </c>
      <c r="R81" s="828">
        <v>42633.2689060876</v>
      </c>
      <c r="S81" s="829">
        <v>34668.125317842903</v>
      </c>
      <c r="T81" s="828">
        <v>29419.733439788011</v>
      </c>
      <c r="U81" s="829">
        <v>16975.541191212666</v>
      </c>
      <c r="V81" s="830">
        <v>14802.181396644015</v>
      </c>
    </row>
    <row r="82" spans="2:22" x14ac:dyDescent="0.3">
      <c r="B82" s="597" t="s">
        <v>648</v>
      </c>
      <c r="C82" s="591" t="s">
        <v>75</v>
      </c>
      <c r="D82" s="590">
        <f t="shared" si="17"/>
        <v>0</v>
      </c>
      <c r="E82" s="590">
        <f t="shared" si="17"/>
        <v>87.036727608836372</v>
      </c>
      <c r="F82" s="590">
        <f t="shared" si="17"/>
        <v>298.74965072796113</v>
      </c>
      <c r="G82" s="768">
        <f t="shared" si="17"/>
        <v>305.91793795936246</v>
      </c>
      <c r="H82" s="590">
        <f t="shared" si="17"/>
        <v>296.37627965738648</v>
      </c>
      <c r="I82" s="768">
        <f t="shared" si="17"/>
        <v>202.99871598305981</v>
      </c>
      <c r="J82" s="590">
        <f t="shared" si="17"/>
        <v>1318.1319587853832</v>
      </c>
      <c r="K82" s="769">
        <f t="shared" si="17"/>
        <v>3508.7882006153159</v>
      </c>
      <c r="M82" s="597" t="s">
        <v>648</v>
      </c>
      <c r="N82" s="591" t="s">
        <v>75</v>
      </c>
      <c r="O82" s="1072">
        <v>7118.4799066936312</v>
      </c>
      <c r="P82" s="831">
        <v>17087.932359667775</v>
      </c>
      <c r="Q82" s="831">
        <v>23704.020064223925</v>
      </c>
      <c r="R82" s="832">
        <v>24297.233951126949</v>
      </c>
      <c r="S82" s="831">
        <v>24589.664393039478</v>
      </c>
      <c r="T82" s="832">
        <v>23603.266681001416</v>
      </c>
      <c r="U82" s="831">
        <v>22365.778204777602</v>
      </c>
      <c r="V82" s="833">
        <v>22369.775699404174</v>
      </c>
    </row>
    <row r="83" spans="2:22" x14ac:dyDescent="0.3">
      <c r="B83" s="599" t="s">
        <v>649</v>
      </c>
      <c r="C83" s="574" t="s">
        <v>75</v>
      </c>
      <c r="D83" s="577">
        <f t="shared" si="17"/>
        <v>0</v>
      </c>
      <c r="E83" s="577">
        <f t="shared" si="17"/>
        <v>87.036727608847286</v>
      </c>
      <c r="F83" s="577">
        <f t="shared" si="17"/>
        <v>298.74965072796113</v>
      </c>
      <c r="G83" s="585">
        <f t="shared" si="17"/>
        <v>305.91793795935882</v>
      </c>
      <c r="H83" s="577">
        <f t="shared" si="17"/>
        <v>296.3762796573792</v>
      </c>
      <c r="I83" s="585">
        <f t="shared" si="17"/>
        <v>202.99871598305617</v>
      </c>
      <c r="J83" s="577">
        <f t="shared" si="17"/>
        <v>1318.1319587853795</v>
      </c>
      <c r="K83" s="578">
        <f t="shared" si="17"/>
        <v>3508.7882006153104</v>
      </c>
      <c r="M83" s="599" t="s">
        <v>649</v>
      </c>
      <c r="N83" s="574" t="s">
        <v>75</v>
      </c>
      <c r="O83" s="1068">
        <v>7118.4799066936139</v>
      </c>
      <c r="P83" s="800">
        <v>14226.940359667791</v>
      </c>
      <c r="Q83" s="800">
        <v>20862.624064223921</v>
      </c>
      <c r="R83" s="834">
        <v>21468.900951126943</v>
      </c>
      <c r="S83" s="800">
        <v>21776.02839303948</v>
      </c>
      <c r="T83" s="834">
        <v>20804.326681001414</v>
      </c>
      <c r="U83" s="800">
        <v>19580.065204777602</v>
      </c>
      <c r="V83" s="835">
        <v>19597.289699404173</v>
      </c>
    </row>
    <row r="84" spans="2:22" x14ac:dyDescent="0.3">
      <c r="B84" s="593" t="s">
        <v>305</v>
      </c>
      <c r="C84" s="574" t="s">
        <v>306</v>
      </c>
      <c r="D84" s="577">
        <f t="shared" si="17"/>
        <v>0</v>
      </c>
      <c r="E84" s="577">
        <f t="shared" si="17"/>
        <v>0</v>
      </c>
      <c r="F84" s="577">
        <f t="shared" si="17"/>
        <v>0</v>
      </c>
      <c r="G84" s="585">
        <f t="shared" si="17"/>
        <v>0</v>
      </c>
      <c r="H84" s="577">
        <f t="shared" si="17"/>
        <v>0</v>
      </c>
      <c r="I84" s="585">
        <f t="shared" si="17"/>
        <v>0</v>
      </c>
      <c r="J84" s="577">
        <f t="shared" si="17"/>
        <v>0</v>
      </c>
      <c r="K84" s="577">
        <f t="shared" si="17"/>
        <v>0</v>
      </c>
      <c r="M84" s="593" t="s">
        <v>305</v>
      </c>
      <c r="N84" s="574" t="s">
        <v>306</v>
      </c>
      <c r="O84" s="1068">
        <v>0</v>
      </c>
      <c r="P84" s="800">
        <v>0</v>
      </c>
      <c r="Q84" s="800">
        <v>0</v>
      </c>
      <c r="R84" s="834">
        <v>0</v>
      </c>
      <c r="S84" s="800">
        <v>0</v>
      </c>
      <c r="T84" s="834">
        <v>0</v>
      </c>
      <c r="U84" s="800">
        <v>0</v>
      </c>
      <c r="V84" s="800">
        <v>0</v>
      </c>
    </row>
    <row r="85" spans="2:22" x14ac:dyDescent="0.3">
      <c r="B85" s="595" t="s">
        <v>709</v>
      </c>
      <c r="C85" s="606"/>
      <c r="D85" s="606"/>
      <c r="E85" s="613"/>
      <c r="F85" s="613"/>
      <c r="G85" s="596"/>
      <c r="H85" s="596"/>
      <c r="I85" s="610"/>
      <c r="J85" s="613"/>
      <c r="K85" s="596"/>
      <c r="M85" s="595" t="s">
        <v>709</v>
      </c>
      <c r="N85" s="606"/>
      <c r="O85" s="1077"/>
      <c r="P85" s="837"/>
      <c r="Q85" s="837"/>
      <c r="R85" s="838"/>
      <c r="S85" s="838"/>
      <c r="T85" s="839"/>
      <c r="U85" s="837"/>
      <c r="V85" s="838"/>
    </row>
    <row r="86" spans="2:22" x14ac:dyDescent="0.3">
      <c r="B86" s="598" t="s">
        <v>710</v>
      </c>
      <c r="C86" s="584" t="s">
        <v>296</v>
      </c>
      <c r="D86" s="574">
        <f t="shared" ref="D86:K88" si="18">O86-D14</f>
        <v>0</v>
      </c>
      <c r="E86" s="574">
        <f t="shared" si="18"/>
        <v>3.7665301876884882E-2</v>
      </c>
      <c r="F86" s="574">
        <f t="shared" si="18"/>
        <v>5.6936598244392371</v>
      </c>
      <c r="G86" s="611">
        <f t="shared" si="18"/>
        <v>27.980628107020053</v>
      </c>
      <c r="H86" s="574">
        <f t="shared" si="18"/>
        <v>55.837028608601315</v>
      </c>
      <c r="I86" s="611">
        <f t="shared" si="18"/>
        <v>21.411756515605106</v>
      </c>
      <c r="J86" s="574">
        <f t="shared" si="18"/>
        <v>42.026231522265505</v>
      </c>
      <c r="K86" s="574">
        <f t="shared" si="18"/>
        <v>69.895915961531671</v>
      </c>
      <c r="M86" s="598" t="s">
        <v>710</v>
      </c>
      <c r="N86" s="584" t="s">
        <v>296</v>
      </c>
      <c r="O86" s="1081">
        <v>31.649349088478541</v>
      </c>
      <c r="P86" s="799">
        <v>45.352476121949891</v>
      </c>
      <c r="Q86" s="799">
        <v>54.713748610935767</v>
      </c>
      <c r="R86" s="840">
        <v>111.12252293288081</v>
      </c>
      <c r="S86" s="799">
        <v>130.34856781803319</v>
      </c>
      <c r="T86" s="840">
        <v>153.18841538323994</v>
      </c>
      <c r="U86" s="799">
        <v>158.86886044416968</v>
      </c>
      <c r="V86" s="799">
        <v>185.03952582428298</v>
      </c>
    </row>
    <row r="87" spans="2:22" x14ac:dyDescent="0.3">
      <c r="B87" s="598" t="s">
        <v>666</v>
      </c>
      <c r="C87" s="584" t="s">
        <v>296</v>
      </c>
      <c r="D87" s="574">
        <f t="shared" si="18"/>
        <v>0</v>
      </c>
      <c r="E87" s="574">
        <f t="shared" si="18"/>
        <v>7.7739936130399201E-2</v>
      </c>
      <c r="F87" s="574">
        <f t="shared" si="18"/>
        <v>8.0453934885055673</v>
      </c>
      <c r="G87" s="611">
        <f t="shared" si="18"/>
        <v>38.459118976540452</v>
      </c>
      <c r="H87" s="574">
        <f t="shared" si="18"/>
        <v>76.410942682961817</v>
      </c>
      <c r="I87" s="611">
        <f t="shared" si="18"/>
        <v>28.967679240326532</v>
      </c>
      <c r="J87" s="574">
        <f t="shared" si="18"/>
        <v>56.925581907528112</v>
      </c>
      <c r="K87" s="574">
        <f t="shared" si="18"/>
        <v>87.491767415825393</v>
      </c>
      <c r="M87" s="598" t="s">
        <v>666</v>
      </c>
      <c r="N87" s="584" t="s">
        <v>296</v>
      </c>
      <c r="O87" s="1081">
        <v>21.039960000000001</v>
      </c>
      <c r="P87" s="799">
        <v>99.211909774884845</v>
      </c>
      <c r="Q87" s="799">
        <v>115.95792415426533</v>
      </c>
      <c r="R87" s="840">
        <v>140.27324964230021</v>
      </c>
      <c r="S87" s="799">
        <v>170.70687724795201</v>
      </c>
      <c r="T87" s="840">
        <v>202.98465293953359</v>
      </c>
      <c r="U87" s="799">
        <v>218.70307732886766</v>
      </c>
      <c r="V87" s="799">
        <v>238.08389791387327</v>
      </c>
    </row>
    <row r="88" spans="2:22" x14ac:dyDescent="0.3">
      <c r="B88" s="598" t="s">
        <v>298</v>
      </c>
      <c r="C88" s="584" t="s">
        <v>296</v>
      </c>
      <c r="D88" s="574">
        <f t="shared" si="18"/>
        <v>0</v>
      </c>
      <c r="E88" s="574">
        <f t="shared" si="18"/>
        <v>-0.14593983590714288</v>
      </c>
      <c r="F88" s="574">
        <f t="shared" si="18"/>
        <v>15.625171738905692</v>
      </c>
      <c r="G88" s="574">
        <f t="shared" si="18"/>
        <v>74.999930129336008</v>
      </c>
      <c r="H88" s="574">
        <f t="shared" si="18"/>
        <v>166.87568555296059</v>
      </c>
      <c r="I88" s="574">
        <f t="shared" si="18"/>
        <v>69.950761997205063</v>
      </c>
      <c r="J88" s="574">
        <f t="shared" si="18"/>
        <v>124.92099872644042</v>
      </c>
      <c r="K88" s="574">
        <f t="shared" si="18"/>
        <v>193.36124193313054</v>
      </c>
      <c r="M88" s="598" t="s">
        <v>298</v>
      </c>
      <c r="N88" s="584" t="s">
        <v>296</v>
      </c>
      <c r="O88" s="1081">
        <v>580.6068678319632</v>
      </c>
      <c r="P88" s="799">
        <v>95.188051894981925</v>
      </c>
      <c r="Q88" s="799">
        <v>148.27441712324963</v>
      </c>
      <c r="R88" s="799">
        <v>116.21076054398884</v>
      </c>
      <c r="S88" s="799">
        <v>183.63016232912287</v>
      </c>
      <c r="T88" s="799">
        <v>282.15725749803232</v>
      </c>
      <c r="U88" s="799">
        <v>391.72599315321651</v>
      </c>
      <c r="V88" s="799">
        <v>431.54870420312307</v>
      </c>
    </row>
    <row r="89" spans="2:22" x14ac:dyDescent="0.3">
      <c r="B89" s="622" t="s">
        <v>420</v>
      </c>
      <c r="C89" s="606"/>
      <c r="D89" s="606"/>
      <c r="E89" s="613"/>
      <c r="F89" s="613"/>
      <c r="G89" s="596"/>
      <c r="H89" s="596"/>
      <c r="I89" s="610"/>
      <c r="J89" s="613"/>
      <c r="K89" s="596"/>
      <c r="M89" s="622" t="s">
        <v>420</v>
      </c>
      <c r="N89" s="606"/>
      <c r="O89" s="1077"/>
      <c r="P89" s="837"/>
      <c r="Q89" s="837"/>
      <c r="R89" s="838"/>
      <c r="S89" s="838"/>
      <c r="T89" s="839"/>
      <c r="U89" s="837"/>
      <c r="V89" s="838"/>
    </row>
    <row r="90" spans="2:22" x14ac:dyDescent="0.3">
      <c r="B90" s="597" t="s">
        <v>404</v>
      </c>
      <c r="C90" s="586" t="s">
        <v>296</v>
      </c>
      <c r="D90" s="586">
        <f t="shared" ref="D90:K96" si="19">O90-D18</f>
        <v>0</v>
      </c>
      <c r="E90" s="574">
        <f t="shared" si="19"/>
        <v>0</v>
      </c>
      <c r="F90" s="574">
        <f t="shared" si="19"/>
        <v>0</v>
      </c>
      <c r="G90" s="574">
        <f t="shared" si="19"/>
        <v>0</v>
      </c>
      <c r="H90" s="574">
        <f t="shared" si="19"/>
        <v>0</v>
      </c>
      <c r="I90" s="611">
        <f t="shared" si="19"/>
        <v>0</v>
      </c>
      <c r="J90" s="574">
        <f t="shared" si="19"/>
        <v>0</v>
      </c>
      <c r="K90" s="584">
        <f t="shared" si="19"/>
        <v>0</v>
      </c>
      <c r="M90" s="597" t="s">
        <v>404</v>
      </c>
      <c r="N90" s="586" t="s">
        <v>296</v>
      </c>
      <c r="O90" s="1083">
        <v>0</v>
      </c>
      <c r="P90" s="799">
        <v>5.522169483588633</v>
      </c>
      <c r="Q90" s="799">
        <v>12.823704689666901</v>
      </c>
      <c r="R90" s="799">
        <v>18.593163244406124</v>
      </c>
      <c r="S90" s="799">
        <v>24.403526758283057</v>
      </c>
      <c r="T90" s="840">
        <v>30.213890272160047</v>
      </c>
      <c r="U90" s="799">
        <v>36.876440434738932</v>
      </c>
      <c r="V90" s="842">
        <v>44.003819678427938</v>
      </c>
    </row>
    <row r="91" spans="2:22" x14ac:dyDescent="0.3">
      <c r="B91" s="598" t="s">
        <v>405</v>
      </c>
      <c r="C91" s="574" t="s">
        <v>296</v>
      </c>
      <c r="D91" s="574">
        <f t="shared" si="19"/>
        <v>0</v>
      </c>
      <c r="E91" s="586">
        <f t="shared" si="19"/>
        <v>-3.6970108827771853E-4</v>
      </c>
      <c r="F91" s="586">
        <f t="shared" si="19"/>
        <v>-5.8731778238096943E-4</v>
      </c>
      <c r="G91" s="584">
        <f t="shared" si="19"/>
        <v>-7.3485200931489025E-4</v>
      </c>
      <c r="H91" s="586">
        <f t="shared" si="19"/>
        <v>0</v>
      </c>
      <c r="I91" s="219">
        <f t="shared" si="19"/>
        <v>0</v>
      </c>
      <c r="J91" s="586">
        <f t="shared" si="19"/>
        <v>0</v>
      </c>
      <c r="K91" s="614">
        <f t="shared" si="19"/>
        <v>0</v>
      </c>
      <c r="M91" s="598" t="s">
        <v>405</v>
      </c>
      <c r="N91" s="574" t="s">
        <v>296</v>
      </c>
      <c r="O91" s="1081">
        <v>0.96732016014967515</v>
      </c>
      <c r="P91" s="841">
        <v>1.1711134430767791</v>
      </c>
      <c r="Q91" s="841">
        <v>1.1617568601231516</v>
      </c>
      <c r="R91" s="842">
        <v>1.0842340373972976</v>
      </c>
      <c r="S91" s="841">
        <v>0.61162307608733379</v>
      </c>
      <c r="T91" s="843">
        <v>0.59289576238933572</v>
      </c>
      <c r="U91" s="841">
        <v>0</v>
      </c>
      <c r="V91" s="844">
        <v>0</v>
      </c>
    </row>
    <row r="92" spans="2:22" x14ac:dyDescent="0.3">
      <c r="B92" s="573" t="s">
        <v>406</v>
      </c>
      <c r="C92" s="574" t="s">
        <v>296</v>
      </c>
      <c r="D92" s="574">
        <f t="shared" si="19"/>
        <v>0</v>
      </c>
      <c r="E92" s="574">
        <f t="shared" si="19"/>
        <v>0</v>
      </c>
      <c r="F92" s="574">
        <f t="shared" si="19"/>
        <v>0</v>
      </c>
      <c r="G92" s="219">
        <f t="shared" si="19"/>
        <v>-0.60552323539388908</v>
      </c>
      <c r="H92" s="591">
        <f t="shared" si="19"/>
        <v>-0.24082005313022137</v>
      </c>
      <c r="I92" s="612">
        <f t="shared" si="19"/>
        <v>0.12197172111972066</v>
      </c>
      <c r="J92" s="591">
        <f t="shared" si="19"/>
        <v>-0.108301886811212</v>
      </c>
      <c r="K92" s="592">
        <f t="shared" si="19"/>
        <v>0</v>
      </c>
      <c r="M92" s="573" t="s">
        <v>406</v>
      </c>
      <c r="N92" s="574" t="s">
        <v>296</v>
      </c>
      <c r="O92" s="1081">
        <v>0</v>
      </c>
      <c r="P92" s="799">
        <v>148.63925555867115</v>
      </c>
      <c r="Q92" s="799">
        <v>144.45642118257553</v>
      </c>
      <c r="R92" s="843">
        <v>113.72004053852218</v>
      </c>
      <c r="S92" s="845">
        <v>87.754820788448171</v>
      </c>
      <c r="T92" s="846">
        <v>72.320862400716351</v>
      </c>
      <c r="U92" s="845">
        <v>27.879279111245911</v>
      </c>
      <c r="V92" s="847">
        <v>20.926557022542735</v>
      </c>
    </row>
    <row r="93" spans="2:22" x14ac:dyDescent="0.3">
      <c r="B93" s="597" t="s">
        <v>407</v>
      </c>
      <c r="C93" s="574" t="s">
        <v>296</v>
      </c>
      <c r="D93" s="586">
        <f t="shared" si="19"/>
        <v>0</v>
      </c>
      <c r="E93" s="586">
        <f t="shared" si="19"/>
        <v>0</v>
      </c>
      <c r="F93" s="219">
        <f t="shared" si="19"/>
        <v>0</v>
      </c>
      <c r="G93" s="582">
        <f t="shared" si="19"/>
        <v>0</v>
      </c>
      <c r="H93" s="574">
        <f t="shared" si="19"/>
        <v>0</v>
      </c>
      <c r="I93" s="582">
        <f t="shared" si="19"/>
        <v>0</v>
      </c>
      <c r="J93" s="574">
        <f t="shared" si="19"/>
        <v>0</v>
      </c>
      <c r="K93" s="575">
        <f t="shared" si="19"/>
        <v>0</v>
      </c>
      <c r="M93" s="597" t="s">
        <v>407</v>
      </c>
      <c r="N93" s="574" t="s">
        <v>296</v>
      </c>
      <c r="O93" s="1083">
        <v>0</v>
      </c>
      <c r="P93" s="841">
        <v>0</v>
      </c>
      <c r="Q93" s="843">
        <v>0</v>
      </c>
      <c r="R93" s="848">
        <v>0</v>
      </c>
      <c r="S93" s="799">
        <v>0</v>
      </c>
      <c r="T93" s="848">
        <v>0</v>
      </c>
      <c r="U93" s="799">
        <v>0</v>
      </c>
      <c r="V93" s="849">
        <v>0</v>
      </c>
    </row>
    <row r="94" spans="2:22" x14ac:dyDescent="0.3">
      <c r="B94" s="573" t="s">
        <v>408</v>
      </c>
      <c r="C94" s="586" t="s">
        <v>296</v>
      </c>
      <c r="D94" s="591">
        <f t="shared" si="19"/>
        <v>0</v>
      </c>
      <c r="E94" s="591">
        <f t="shared" si="19"/>
        <v>-0.13261865803192308</v>
      </c>
      <c r="F94" s="592">
        <f t="shared" si="19"/>
        <v>-2.4471724620821806</v>
      </c>
      <c r="G94" s="582">
        <f t="shared" si="19"/>
        <v>-2.6321130838065674</v>
      </c>
      <c r="H94" s="574">
        <f t="shared" si="19"/>
        <v>-1.8980184640367916</v>
      </c>
      <c r="I94" s="575">
        <f t="shared" si="19"/>
        <v>0</v>
      </c>
      <c r="J94" s="583">
        <f t="shared" si="19"/>
        <v>0</v>
      </c>
      <c r="K94" s="584">
        <f t="shared" si="19"/>
        <v>0</v>
      </c>
      <c r="M94" s="573" t="s">
        <v>408</v>
      </c>
      <c r="N94" s="586" t="s">
        <v>296</v>
      </c>
      <c r="O94" s="1087">
        <v>94.197991088552314</v>
      </c>
      <c r="P94" s="845">
        <v>35.210660723130871</v>
      </c>
      <c r="Q94" s="847">
        <v>10.427546966359831</v>
      </c>
      <c r="R94" s="848">
        <v>8.4537210378711194</v>
      </c>
      <c r="S94" s="799">
        <v>5.8924099739961502</v>
      </c>
      <c r="T94" s="849">
        <v>0.25066913228029286</v>
      </c>
      <c r="U94" s="850">
        <v>0</v>
      </c>
      <c r="V94" s="842">
        <v>0</v>
      </c>
    </row>
    <row r="95" spans="2:22" x14ac:dyDescent="0.3">
      <c r="B95" s="593" t="s">
        <v>409</v>
      </c>
      <c r="C95" s="574" t="s">
        <v>296</v>
      </c>
      <c r="D95" s="574">
        <f t="shared" si="19"/>
        <v>0</v>
      </c>
      <c r="E95" s="574">
        <f t="shared" si="19"/>
        <v>2.5826122064430024E-2</v>
      </c>
      <c r="F95" s="575">
        <f t="shared" si="19"/>
        <v>0</v>
      </c>
      <c r="G95" s="219">
        <f t="shared" si="19"/>
        <v>0</v>
      </c>
      <c r="H95" s="586">
        <f t="shared" si="19"/>
        <v>0</v>
      </c>
      <c r="I95" s="219">
        <f t="shared" si="19"/>
        <v>0</v>
      </c>
      <c r="J95" s="582">
        <f t="shared" si="19"/>
        <v>0</v>
      </c>
      <c r="K95" s="574">
        <f t="shared" si="19"/>
        <v>0</v>
      </c>
      <c r="M95" s="593" t="s">
        <v>409</v>
      </c>
      <c r="N95" s="574" t="s">
        <v>296</v>
      </c>
      <c r="O95" s="1081">
        <v>172.08553810366237</v>
      </c>
      <c r="P95" s="799">
        <v>40.922983022694382</v>
      </c>
      <c r="Q95" s="849">
        <v>0</v>
      </c>
      <c r="R95" s="843">
        <v>4.4507483225848514E-2</v>
      </c>
      <c r="S95" s="841">
        <v>4.5473421926910333E-2</v>
      </c>
      <c r="T95" s="843">
        <v>0</v>
      </c>
      <c r="U95" s="848">
        <v>0</v>
      </c>
      <c r="V95" s="799">
        <v>0</v>
      </c>
    </row>
    <row r="96" spans="2:22" x14ac:dyDescent="0.3">
      <c r="B96" s="593" t="s">
        <v>410</v>
      </c>
      <c r="C96" s="574" t="s">
        <v>296</v>
      </c>
      <c r="D96" s="574">
        <f t="shared" si="19"/>
        <v>0</v>
      </c>
      <c r="E96" s="574">
        <f t="shared" si="19"/>
        <v>0.47030170541995631</v>
      </c>
      <c r="F96" s="575">
        <f t="shared" si="19"/>
        <v>1.7034173381675402</v>
      </c>
      <c r="G96" s="582">
        <f t="shared" si="19"/>
        <v>1.8362664722434374</v>
      </c>
      <c r="H96" s="574">
        <f t="shared" si="19"/>
        <v>1.8671556245964922</v>
      </c>
      <c r="I96" s="575">
        <f t="shared" si="19"/>
        <v>1.3194810980410949</v>
      </c>
      <c r="J96" s="611">
        <f t="shared" si="19"/>
        <v>8.963225613935677</v>
      </c>
      <c r="K96" s="574">
        <f t="shared" si="19"/>
        <v>24.912196926793285</v>
      </c>
      <c r="M96" s="593" t="s">
        <v>410</v>
      </c>
      <c r="N96" s="574" t="s">
        <v>296</v>
      </c>
      <c r="O96" s="1081">
        <v>33.288971558098083</v>
      </c>
      <c r="P96" s="799">
        <v>70.329768845462297</v>
      </c>
      <c r="Q96" s="849">
        <v>104.98863213124572</v>
      </c>
      <c r="R96" s="848">
        <v>109.07791297661986</v>
      </c>
      <c r="S96" s="799">
        <v>112.13126556746715</v>
      </c>
      <c r="T96" s="849">
        <v>104.3708475954278</v>
      </c>
      <c r="U96" s="840">
        <v>96.26693781072278</v>
      </c>
      <c r="V96" s="799">
        <v>95.135824070191674</v>
      </c>
    </row>
    <row r="97" spans="2:22" x14ac:dyDescent="0.3">
      <c r="B97" s="595" t="s">
        <v>45</v>
      </c>
      <c r="C97" s="596"/>
      <c r="D97" s="606"/>
      <c r="E97" s="606"/>
      <c r="F97" s="607"/>
      <c r="G97" s="608"/>
      <c r="H97" s="606"/>
      <c r="I97" s="609"/>
      <c r="J97" s="610"/>
      <c r="K97" s="606"/>
      <c r="M97" s="595" t="s">
        <v>45</v>
      </c>
      <c r="N97" s="596"/>
      <c r="O97" s="1077"/>
      <c r="P97" s="836"/>
      <c r="Q97" s="851"/>
      <c r="R97" s="852"/>
      <c r="S97" s="836"/>
      <c r="T97" s="853"/>
      <c r="U97" s="839"/>
      <c r="V97" s="836"/>
    </row>
    <row r="98" spans="2:22" x14ac:dyDescent="0.3">
      <c r="B98" s="594" t="s">
        <v>411</v>
      </c>
      <c r="C98" s="583" t="s">
        <v>296</v>
      </c>
      <c r="D98" s="572">
        <f t="shared" ref="D98:K98" si="20">O98-D26</f>
        <v>0</v>
      </c>
      <c r="E98" s="572">
        <f t="shared" si="20"/>
        <v>0.36064703237253326</v>
      </c>
      <c r="F98" s="588">
        <f t="shared" si="20"/>
        <v>56.392605108863862</v>
      </c>
      <c r="G98" s="577">
        <f t="shared" si="20"/>
        <v>245.56451083462488</v>
      </c>
      <c r="H98" s="588">
        <f t="shared" si="20"/>
        <v>189.78408776723896</v>
      </c>
      <c r="I98" s="577">
        <f t="shared" si="20"/>
        <v>-243.14130473650584</v>
      </c>
      <c r="J98" s="578">
        <f t="shared" si="20"/>
        <v>138.94004514014247</v>
      </c>
      <c r="K98" s="576">
        <f t="shared" si="20"/>
        <v>319.96008503766501</v>
      </c>
      <c r="M98" s="594" t="s">
        <v>411</v>
      </c>
      <c r="N98" s="583" t="s">
        <v>296</v>
      </c>
      <c r="O98" s="1084"/>
      <c r="P98" s="842">
        <v>56.604639341508815</v>
      </c>
      <c r="Q98" s="854">
        <v>135.3416385700518</v>
      </c>
      <c r="R98" s="799">
        <v>245.56451083462488</v>
      </c>
      <c r="S98" s="854">
        <v>216.46984537444555</v>
      </c>
      <c r="T98" s="799">
        <v>195.082769542363</v>
      </c>
      <c r="U98" s="849">
        <v>238.69360154183119</v>
      </c>
      <c r="V98" s="855">
        <v>347.67278542120852</v>
      </c>
    </row>
    <row r="99" spans="2:22" x14ac:dyDescent="0.3">
      <c r="B99" s="595" t="s">
        <v>711</v>
      </c>
      <c r="C99" s="596"/>
      <c r="D99" s="606"/>
      <c r="E99" s="606"/>
      <c r="F99" s="607"/>
      <c r="G99" s="607"/>
      <c r="H99" s="606"/>
      <c r="I99" s="606"/>
      <c r="J99" s="606"/>
      <c r="K99" s="606"/>
      <c r="M99" s="595" t="s">
        <v>711</v>
      </c>
      <c r="N99" s="596"/>
      <c r="O99" s="1077"/>
      <c r="P99" s="836"/>
      <c r="Q99" s="851"/>
      <c r="R99" s="851"/>
      <c r="S99" s="836"/>
      <c r="T99" s="836"/>
      <c r="U99" s="836"/>
      <c r="V99" s="836"/>
    </row>
    <row r="100" spans="2:22" ht="13.5" customHeight="1" x14ac:dyDescent="0.3">
      <c r="B100" s="594" t="s">
        <v>711</v>
      </c>
      <c r="C100" s="583" t="s">
        <v>296</v>
      </c>
      <c r="D100" s="584">
        <f t="shared" ref="D100:K100" si="21">O100-D28</f>
        <v>0</v>
      </c>
      <c r="E100" s="584">
        <f t="shared" si="21"/>
        <v>0</v>
      </c>
      <c r="F100" s="584">
        <f t="shared" si="21"/>
        <v>2.48</v>
      </c>
      <c r="G100" s="584">
        <f t="shared" si="21"/>
        <v>4.1100000000000003</v>
      </c>
      <c r="H100" s="584">
        <f t="shared" si="21"/>
        <v>4.68</v>
      </c>
      <c r="I100" s="584">
        <f t="shared" si="21"/>
        <v>6.37</v>
      </c>
      <c r="J100" s="584">
        <f t="shared" si="21"/>
        <v>24.64</v>
      </c>
      <c r="K100" s="584">
        <f t="shared" si="21"/>
        <v>105.76</v>
      </c>
      <c r="M100" s="594" t="s">
        <v>711</v>
      </c>
      <c r="N100" s="583" t="s">
        <v>296</v>
      </c>
      <c r="O100" s="1084">
        <v>0</v>
      </c>
      <c r="P100" s="842">
        <v>0</v>
      </c>
      <c r="Q100" s="842">
        <v>2.48</v>
      </c>
      <c r="R100" s="842">
        <v>4.1100000000000003</v>
      </c>
      <c r="S100" s="842">
        <v>4.68</v>
      </c>
      <c r="T100" s="842">
        <v>6.37</v>
      </c>
      <c r="U100" s="842">
        <v>24.64</v>
      </c>
      <c r="V100" s="842">
        <v>105.76</v>
      </c>
    </row>
    <row r="101" spans="2:22" x14ac:dyDescent="0.3">
      <c r="B101" s="595" t="s">
        <v>712</v>
      </c>
      <c r="C101" s="596"/>
      <c r="D101" s="606"/>
      <c r="E101" s="606"/>
      <c r="F101" s="607"/>
      <c r="G101" s="608"/>
      <c r="H101" s="606"/>
      <c r="I101" s="609"/>
      <c r="J101" s="610"/>
      <c r="K101" s="606"/>
      <c r="M101" s="595" t="s">
        <v>712</v>
      </c>
      <c r="N101" s="596"/>
      <c r="O101" s="1077"/>
      <c r="P101" s="836"/>
      <c r="Q101" s="851"/>
      <c r="R101" s="852"/>
      <c r="S101" s="836"/>
      <c r="T101" s="853"/>
      <c r="U101" s="839"/>
      <c r="V101" s="836"/>
    </row>
    <row r="102" spans="2:22" x14ac:dyDescent="0.3">
      <c r="B102" s="597" t="s">
        <v>634</v>
      </c>
      <c r="C102" s="582" t="s">
        <v>75</v>
      </c>
      <c r="D102" s="629">
        <f t="shared" ref="D102:K103" si="22">O102-D30</f>
        <v>0</v>
      </c>
      <c r="E102" s="629">
        <f t="shared" si="22"/>
        <v>18.105687065009533</v>
      </c>
      <c r="F102" s="629">
        <f t="shared" si="22"/>
        <v>1525.4446130751685</v>
      </c>
      <c r="G102" s="629">
        <f t="shared" si="22"/>
        <v>7664.6216349155129</v>
      </c>
      <c r="H102" s="629">
        <f t="shared" si="22"/>
        <v>15440.924124517611</v>
      </c>
      <c r="I102" s="629">
        <f t="shared" si="22"/>
        <v>6017.3810301183157</v>
      </c>
      <c r="J102" s="629">
        <f t="shared" si="22"/>
        <v>12008.28449501773</v>
      </c>
      <c r="K102" s="629">
        <f t="shared" si="22"/>
        <v>21158.694862853154</v>
      </c>
      <c r="M102" s="597" t="s">
        <v>634</v>
      </c>
      <c r="N102" s="582" t="s">
        <v>75</v>
      </c>
      <c r="O102" s="1098">
        <v>13157.170940781345</v>
      </c>
      <c r="P102" s="800">
        <v>-1999.5681442541922</v>
      </c>
      <c r="Q102" s="800">
        <v>-2961.4014790893007</v>
      </c>
      <c r="R102" s="800">
        <v>-2360.4476985234037</v>
      </c>
      <c r="S102" s="800">
        <v>-1447.021225644972</v>
      </c>
      <c r="T102" s="800">
        <v>718.28630397174038</v>
      </c>
      <c r="U102" s="800">
        <v>2297.310578291927</v>
      </c>
      <c r="V102" s="800">
        <v>7140.551420468656</v>
      </c>
    </row>
    <row r="103" spans="2:22" x14ac:dyDescent="0.3">
      <c r="B103" s="594" t="s">
        <v>634</v>
      </c>
      <c r="C103" s="574" t="s">
        <v>296</v>
      </c>
      <c r="D103" s="629">
        <f t="shared" si="22"/>
        <v>0</v>
      </c>
      <c r="E103" s="629">
        <f t="shared" si="22"/>
        <v>0.32406682011150423</v>
      </c>
      <c r="F103" s="1036">
        <f t="shared" si="22"/>
        <v>28.74905236022321</v>
      </c>
      <c r="G103" s="1055">
        <f t="shared" si="22"/>
        <v>141.39466225981863</v>
      </c>
      <c r="H103" s="1055">
        <f t="shared" si="22"/>
        <v>298.887308605724</v>
      </c>
      <c r="I103" s="1055">
        <f t="shared" si="22"/>
        <v>122.34218416794151</v>
      </c>
      <c r="J103" s="1055">
        <f t="shared" si="22"/>
        <v>245.34904565011183</v>
      </c>
      <c r="K103" s="629">
        <f t="shared" si="22"/>
        <v>407.56100845455285</v>
      </c>
      <c r="M103" s="594" t="s">
        <v>634</v>
      </c>
      <c r="N103" s="574" t="s">
        <v>296</v>
      </c>
      <c r="O103" s="1098">
        <v>288.38408027760482</v>
      </c>
      <c r="P103" s="799">
        <v>-35.789511205957886</v>
      </c>
      <c r="Q103" s="849">
        <v>-55.811587947693987</v>
      </c>
      <c r="R103" s="848">
        <v>-43.544837698744644</v>
      </c>
      <c r="S103" s="848">
        <v>-28.00974061789799</v>
      </c>
      <c r="T103" s="848">
        <v>14.603814324866315</v>
      </c>
      <c r="U103" s="848">
        <v>46.9378418024396</v>
      </c>
      <c r="V103" s="799">
        <v>137.54205335968285</v>
      </c>
    </row>
    <row r="104" spans="2:22" x14ac:dyDescent="0.3">
      <c r="B104" s="595" t="s">
        <v>713</v>
      </c>
      <c r="C104" s="596"/>
      <c r="D104" s="606"/>
      <c r="E104" s="606"/>
      <c r="F104" s="607"/>
      <c r="G104" s="608"/>
      <c r="H104" s="606"/>
      <c r="I104" s="609"/>
      <c r="J104" s="610"/>
      <c r="K104" s="606"/>
      <c r="M104" s="595" t="s">
        <v>713</v>
      </c>
      <c r="N104" s="596"/>
      <c r="O104" s="1101"/>
      <c r="P104" s="836"/>
      <c r="Q104" s="851"/>
      <c r="R104" s="852"/>
      <c r="S104" s="836"/>
      <c r="T104" s="853"/>
      <c r="U104" s="839"/>
      <c r="V104" s="836"/>
    </row>
    <row r="105" spans="2:22" x14ac:dyDescent="0.3">
      <c r="B105" s="597" t="s">
        <v>787</v>
      </c>
      <c r="C105" s="582" t="s">
        <v>412</v>
      </c>
      <c r="D105" s="577">
        <f t="shared" ref="D105:K111" si="23">O105-D33</f>
        <v>0</v>
      </c>
      <c r="E105" s="577">
        <f t="shared" si="23"/>
        <v>8.0603435516813988</v>
      </c>
      <c r="F105" s="577">
        <f t="shared" si="23"/>
        <v>15.335409061104656</v>
      </c>
      <c r="G105" s="577">
        <f t="shared" si="23"/>
        <v>-1.5280234605643273</v>
      </c>
      <c r="H105" s="577">
        <f t="shared" si="23"/>
        <v>11.897775616472245</v>
      </c>
      <c r="I105" s="577">
        <f t="shared" si="23"/>
        <v>22.853119686208629</v>
      </c>
      <c r="J105" s="577">
        <f t="shared" si="23"/>
        <v>123.51095899578286</v>
      </c>
      <c r="K105" s="577">
        <f t="shared" si="23"/>
        <v>316.51123868787454</v>
      </c>
      <c r="M105" s="597" t="s">
        <v>787</v>
      </c>
      <c r="N105" s="582" t="s">
        <v>412</v>
      </c>
      <c r="O105" s="1098">
        <v>13777.672069342803</v>
      </c>
      <c r="P105" s="824">
        <v>7205.3000774132224</v>
      </c>
      <c r="Q105" s="834">
        <v>6758.3066340557907</v>
      </c>
      <c r="R105" s="800">
        <v>5926.6601590295359</v>
      </c>
      <c r="S105" s="834">
        <v>5214.659899632029</v>
      </c>
      <c r="T105" s="800">
        <v>4647.8133677560127</v>
      </c>
      <c r="U105" s="800">
        <v>3303.7843551540873</v>
      </c>
      <c r="V105" s="800">
        <v>3092.3856360633335</v>
      </c>
    </row>
    <row r="106" spans="2:22" x14ac:dyDescent="0.3">
      <c r="B106" s="597" t="s">
        <v>714</v>
      </c>
      <c r="C106" s="582" t="s">
        <v>412</v>
      </c>
      <c r="D106" s="572">
        <f t="shared" si="23"/>
        <v>0</v>
      </c>
      <c r="E106" s="572">
        <f t="shared" si="23"/>
        <v>0</v>
      </c>
      <c r="F106" s="585">
        <f t="shared" si="23"/>
        <v>0</v>
      </c>
      <c r="G106" s="577">
        <f t="shared" si="23"/>
        <v>0</v>
      </c>
      <c r="H106" s="577">
        <f t="shared" si="23"/>
        <v>0</v>
      </c>
      <c r="I106" s="577">
        <f t="shared" si="23"/>
        <v>0</v>
      </c>
      <c r="J106" s="577">
        <f t="shared" si="23"/>
        <v>0</v>
      </c>
      <c r="K106" s="577">
        <f t="shared" si="23"/>
        <v>0</v>
      </c>
      <c r="M106" s="597" t="s">
        <v>714</v>
      </c>
      <c r="N106" s="582" t="s">
        <v>412</v>
      </c>
      <c r="O106" s="1098">
        <v>16000</v>
      </c>
      <c r="P106" s="800">
        <v>14666</v>
      </c>
      <c r="Q106" s="800">
        <v>12000</v>
      </c>
      <c r="R106" s="800">
        <v>10583</v>
      </c>
      <c r="S106" s="800">
        <v>10583</v>
      </c>
      <c r="T106" s="800">
        <v>10583</v>
      </c>
      <c r="U106" s="800">
        <v>10583</v>
      </c>
      <c r="V106" s="800">
        <v>10583</v>
      </c>
    </row>
    <row r="107" spans="2:22" x14ac:dyDescent="0.3">
      <c r="B107" s="573" t="s">
        <v>308</v>
      </c>
      <c r="C107" s="580" t="s">
        <v>412</v>
      </c>
      <c r="D107" s="572">
        <f t="shared" si="23"/>
        <v>0</v>
      </c>
      <c r="E107" s="572">
        <f t="shared" si="23"/>
        <v>-0.29481062359627686</v>
      </c>
      <c r="F107" s="585">
        <f t="shared" si="23"/>
        <v>-13.339780023170533</v>
      </c>
      <c r="G107" s="577">
        <f t="shared" si="23"/>
        <v>-30.89228541069906</v>
      </c>
      <c r="H107" s="585">
        <f t="shared" si="23"/>
        <v>-16.546114556201701</v>
      </c>
      <c r="I107" s="577">
        <f t="shared" si="23"/>
        <v>3.370881805056797</v>
      </c>
      <c r="J107" s="577">
        <f t="shared" si="23"/>
        <v>-2.9930942709809187</v>
      </c>
      <c r="K107" s="577">
        <f t="shared" si="23"/>
        <v>-20.234962232288808</v>
      </c>
      <c r="M107" s="573" t="s">
        <v>308</v>
      </c>
      <c r="N107" s="580" t="s">
        <v>412</v>
      </c>
      <c r="O107" s="1107">
        <v>13111</v>
      </c>
      <c r="P107" s="824">
        <v>5846.3902095255316</v>
      </c>
      <c r="Q107" s="834">
        <v>4763.0394596034703</v>
      </c>
      <c r="R107" s="800">
        <v>3873.0845909499826</v>
      </c>
      <c r="S107" s="834">
        <v>3128.4951512423627</v>
      </c>
      <c r="T107" s="800">
        <v>2654.7305624668229</v>
      </c>
      <c r="U107" s="800">
        <v>1424.6419861955701</v>
      </c>
      <c r="V107" s="800">
        <v>1211.5901940788501</v>
      </c>
    </row>
    <row r="108" spans="2:22" x14ac:dyDescent="0.3">
      <c r="B108" s="597" t="s">
        <v>715</v>
      </c>
      <c r="C108" s="582" t="s">
        <v>412</v>
      </c>
      <c r="D108" s="577">
        <f t="shared" si="23"/>
        <v>0</v>
      </c>
      <c r="E108" s="578">
        <f t="shared" si="23"/>
        <v>0.29481062359627686</v>
      </c>
      <c r="F108" s="579">
        <f t="shared" si="23"/>
        <v>13.339780023170533</v>
      </c>
      <c r="G108" s="572">
        <f t="shared" si="23"/>
        <v>30.892285410699515</v>
      </c>
      <c r="H108" s="588">
        <f t="shared" si="23"/>
        <v>16.546114556201246</v>
      </c>
      <c r="I108" s="572">
        <f t="shared" si="23"/>
        <v>-3.3708818050563423</v>
      </c>
      <c r="J108" s="576">
        <f t="shared" si="23"/>
        <v>2.9930942709816009</v>
      </c>
      <c r="K108" s="577">
        <f t="shared" si="23"/>
        <v>20.234962232289035</v>
      </c>
      <c r="M108" s="597" t="s">
        <v>715</v>
      </c>
      <c r="N108" s="582" t="s">
        <v>412</v>
      </c>
      <c r="O108" s="1098">
        <v>2889</v>
      </c>
      <c r="P108" s="835">
        <v>8819.6097904744674</v>
      </c>
      <c r="Q108" s="856">
        <v>7236.9605403965297</v>
      </c>
      <c r="R108" s="824">
        <v>6709.9154090500178</v>
      </c>
      <c r="S108" s="825">
        <v>7454.5048487576369</v>
      </c>
      <c r="T108" s="824">
        <v>7928.2694375331776</v>
      </c>
      <c r="U108" s="826">
        <v>9158.3580138044308</v>
      </c>
      <c r="V108" s="800">
        <v>9371.4098059211501</v>
      </c>
    </row>
    <row r="109" spans="2:22" x14ac:dyDescent="0.3">
      <c r="B109" s="597" t="s">
        <v>308</v>
      </c>
      <c r="C109" s="582" t="s">
        <v>296</v>
      </c>
      <c r="D109" s="574">
        <f t="shared" si="23"/>
        <v>0</v>
      </c>
      <c r="E109" s="575">
        <f t="shared" si="23"/>
        <v>-4.4221593539504056E-3</v>
      </c>
      <c r="F109" s="583">
        <f t="shared" si="23"/>
        <v>-0.27813441348311585</v>
      </c>
      <c r="G109" s="584">
        <f t="shared" si="23"/>
        <v>-0.76458406391481049</v>
      </c>
      <c r="H109" s="587">
        <f t="shared" si="23"/>
        <v>-0.49638343668604534</v>
      </c>
      <c r="I109" s="584">
        <f t="shared" si="23"/>
        <v>0.11798086317698164</v>
      </c>
      <c r="J109" s="589">
        <f t="shared" si="23"/>
        <v>-0.11972377083923647</v>
      </c>
      <c r="K109" s="574">
        <f t="shared" si="23"/>
        <v>-0.91057330045300233</v>
      </c>
      <c r="M109" s="597" t="s">
        <v>308</v>
      </c>
      <c r="N109" s="582" t="s">
        <v>296</v>
      </c>
      <c r="O109" s="1098">
        <v>94.399673057917241</v>
      </c>
      <c r="P109" s="849">
        <v>87.695853142882967</v>
      </c>
      <c r="Q109" s="850">
        <v>99.309372732732356</v>
      </c>
      <c r="R109" s="842">
        <v>95.85884362601206</v>
      </c>
      <c r="S109" s="854">
        <v>93.854854537270882</v>
      </c>
      <c r="T109" s="842">
        <v>92.915569686338799</v>
      </c>
      <c r="U109" s="855">
        <v>56.985679447822804</v>
      </c>
      <c r="V109" s="799">
        <v>54.521558733548254</v>
      </c>
    </row>
    <row r="110" spans="2:22" x14ac:dyDescent="0.3">
      <c r="B110" s="597" t="s">
        <v>716</v>
      </c>
      <c r="C110" s="582" t="s">
        <v>296</v>
      </c>
      <c r="D110" s="574">
        <f t="shared" si="23"/>
        <v>0</v>
      </c>
      <c r="E110" s="574">
        <f t="shared" si="23"/>
        <v>0</v>
      </c>
      <c r="F110" s="574">
        <f t="shared" si="23"/>
        <v>0</v>
      </c>
      <c r="G110" s="574">
        <f t="shared" si="23"/>
        <v>0</v>
      </c>
      <c r="H110" s="574">
        <f t="shared" si="23"/>
        <v>0</v>
      </c>
      <c r="I110" s="574">
        <f t="shared" si="23"/>
        <v>0</v>
      </c>
      <c r="J110" s="574">
        <f t="shared" si="23"/>
        <v>0</v>
      </c>
      <c r="K110" s="574">
        <f t="shared" si="23"/>
        <v>0</v>
      </c>
      <c r="M110" s="597" t="s">
        <v>716</v>
      </c>
      <c r="N110" s="582" t="s">
        <v>296</v>
      </c>
      <c r="O110" s="1098">
        <v>0</v>
      </c>
      <c r="P110" s="1098">
        <v>0</v>
      </c>
      <c r="Q110" s="1098">
        <v>0</v>
      </c>
      <c r="R110" s="1098">
        <v>0</v>
      </c>
      <c r="S110" s="1098">
        <v>0</v>
      </c>
      <c r="T110" s="1098">
        <v>0</v>
      </c>
      <c r="U110" s="1098">
        <v>0</v>
      </c>
      <c r="V110" s="1098">
        <v>0</v>
      </c>
    </row>
    <row r="111" spans="2:22" x14ac:dyDescent="0.3">
      <c r="B111" s="597" t="s">
        <v>717</v>
      </c>
      <c r="C111" s="582" t="s">
        <v>296</v>
      </c>
      <c r="D111" s="574">
        <f t="shared" si="23"/>
        <v>0</v>
      </c>
      <c r="E111" s="574">
        <f t="shared" si="23"/>
        <v>-4.4221593539504056E-3</v>
      </c>
      <c r="F111" s="574">
        <f t="shared" si="23"/>
        <v>-0.27813441348311585</v>
      </c>
      <c r="G111" s="574">
        <f t="shared" si="23"/>
        <v>-0.76458406391481049</v>
      </c>
      <c r="H111" s="574">
        <f t="shared" si="23"/>
        <v>-0.49638343668604534</v>
      </c>
      <c r="I111" s="574">
        <f t="shared" si="23"/>
        <v>0.11798086317698164</v>
      </c>
      <c r="J111" s="574">
        <f t="shared" si="23"/>
        <v>-0.11972377083923647</v>
      </c>
      <c r="K111" s="574">
        <f t="shared" si="23"/>
        <v>-0.91057330045300233</v>
      </c>
      <c r="M111" s="597" t="s">
        <v>717</v>
      </c>
      <c r="N111" s="582" t="s">
        <v>296</v>
      </c>
      <c r="O111" s="1098">
        <v>94.399673057917241</v>
      </c>
      <c r="P111" s="1098">
        <v>87.695853142882967</v>
      </c>
      <c r="Q111" s="1098">
        <v>99.309372732732356</v>
      </c>
      <c r="R111" s="1098">
        <v>95.85884362601206</v>
      </c>
      <c r="S111" s="1098">
        <v>93.854854537270882</v>
      </c>
      <c r="T111" s="1098">
        <v>92.915569686338799</v>
      </c>
      <c r="U111" s="1098">
        <v>56.985679447822804</v>
      </c>
      <c r="V111" s="1098">
        <v>54.521558733548254</v>
      </c>
    </row>
    <row r="113" spans="2:22" x14ac:dyDescent="0.3">
      <c r="B113" s="603" t="s">
        <v>789</v>
      </c>
      <c r="C113" s="615"/>
      <c r="D113" s="615"/>
      <c r="E113" s="615"/>
      <c r="F113" s="615"/>
      <c r="G113" s="615"/>
      <c r="H113" s="615"/>
      <c r="I113" s="615"/>
      <c r="J113" s="615"/>
      <c r="K113" s="605"/>
      <c r="M113" s="603" t="s">
        <v>788</v>
      </c>
      <c r="N113" s="615"/>
      <c r="O113" s="615"/>
      <c r="P113" s="615"/>
      <c r="Q113" s="615"/>
      <c r="R113" s="615"/>
      <c r="S113" s="615"/>
      <c r="T113" s="615"/>
      <c r="U113" s="615"/>
      <c r="V113" s="605"/>
    </row>
    <row r="114" spans="2:22" x14ac:dyDescent="0.3">
      <c r="B114" s="602"/>
      <c r="C114" s="600" t="s">
        <v>293</v>
      </c>
      <c r="D114" s="618">
        <v>2012</v>
      </c>
      <c r="E114" s="617">
        <v>2020</v>
      </c>
      <c r="F114" s="618">
        <v>2026</v>
      </c>
      <c r="G114" s="619">
        <v>2030</v>
      </c>
      <c r="H114" s="620">
        <v>2035</v>
      </c>
      <c r="I114" s="600">
        <v>2040</v>
      </c>
      <c r="J114" s="617">
        <v>2045</v>
      </c>
      <c r="K114" s="621">
        <v>2050</v>
      </c>
      <c r="M114" s="602"/>
      <c r="N114" s="600" t="s">
        <v>293</v>
      </c>
      <c r="O114" s="618">
        <v>2012</v>
      </c>
      <c r="P114" s="617">
        <v>2020</v>
      </c>
      <c r="Q114" s="618">
        <v>2026</v>
      </c>
      <c r="R114" s="600">
        <v>2030</v>
      </c>
      <c r="S114" s="600">
        <v>2035</v>
      </c>
      <c r="T114" s="600">
        <v>2040</v>
      </c>
      <c r="U114" s="617">
        <v>2045</v>
      </c>
      <c r="V114" s="621">
        <v>2050</v>
      </c>
    </row>
    <row r="115" spans="2:22" x14ac:dyDescent="0.3">
      <c r="B115" s="595" t="s">
        <v>54</v>
      </c>
      <c r="C115" s="596"/>
      <c r="D115" s="596"/>
      <c r="E115" s="596"/>
      <c r="F115" s="596"/>
      <c r="G115" s="596"/>
      <c r="H115" s="596"/>
      <c r="I115" s="626"/>
      <c r="J115" s="596"/>
      <c r="K115" s="596"/>
      <c r="M115" s="595" t="s">
        <v>54</v>
      </c>
      <c r="N115" s="596"/>
      <c r="O115" s="596"/>
      <c r="P115" s="596"/>
      <c r="Q115" s="596"/>
      <c r="R115" s="596"/>
      <c r="S115" s="596"/>
      <c r="T115" s="626"/>
      <c r="U115" s="596"/>
      <c r="V115" s="596"/>
    </row>
    <row r="116" spans="2:22" x14ac:dyDescent="0.3">
      <c r="B116" s="627" t="s">
        <v>294</v>
      </c>
      <c r="C116" s="584" t="s">
        <v>75</v>
      </c>
      <c r="D116" s="572">
        <f>O116-D8</f>
        <v>0</v>
      </c>
      <c r="E116" s="572">
        <f t="shared" ref="E116:K116" si="24">P116-E8</f>
        <v>-16441.827599073535</v>
      </c>
      <c r="F116" s="572">
        <f t="shared" si="24"/>
        <v>-6808.797927019099</v>
      </c>
      <c r="G116" s="588">
        <f t="shared" si="24"/>
        <v>-2795.1835028659116</v>
      </c>
      <c r="H116" s="572">
        <f t="shared" si="24"/>
        <v>1325.4965151017532</v>
      </c>
      <c r="I116" s="588">
        <f t="shared" si="24"/>
        <v>-1373.1342498884405</v>
      </c>
      <c r="J116" s="572">
        <f t="shared" si="24"/>
        <v>-1465.1465307366743</v>
      </c>
      <c r="K116" s="576">
        <f t="shared" si="24"/>
        <v>3966.9382484029593</v>
      </c>
      <c r="M116" s="627" t="s">
        <v>294</v>
      </c>
      <c r="N116" s="584" t="s">
        <v>75</v>
      </c>
      <c r="O116" s="1064">
        <v>134082.17222006113</v>
      </c>
      <c r="P116" s="824">
        <v>54485.633001637099</v>
      </c>
      <c r="Q116" s="824">
        <v>59158.147401199662</v>
      </c>
      <c r="R116" s="825">
        <v>54519.237758114403</v>
      </c>
      <c r="S116" s="824">
        <v>50916.724096415986</v>
      </c>
      <c r="T116" s="825">
        <v>42043.260174673989</v>
      </c>
      <c r="U116" s="824">
        <v>26729.178111556863</v>
      </c>
      <c r="V116" s="826">
        <v>27933.69864496043</v>
      </c>
    </row>
    <row r="117" spans="2:22" x14ac:dyDescent="0.3">
      <c r="B117" s="573" t="s">
        <v>323</v>
      </c>
      <c r="C117" s="580" t="s">
        <v>75</v>
      </c>
      <c r="D117" s="572">
        <f t="shared" ref="D117:D141" si="25">O117-D9</f>
        <v>0</v>
      </c>
      <c r="E117" s="765">
        <f t="shared" ref="E117:E139" si="26">P117-E9</f>
        <v>-63414.138553267017</v>
      </c>
      <c r="F117" s="577">
        <f t="shared" ref="F117:I139" si="27">Q117-F9</f>
        <v>-51998.339226219876</v>
      </c>
      <c r="G117" s="766">
        <f t="shared" ref="G117:G139" si="28">R117-G9</f>
        <v>-42766.364459941469</v>
      </c>
      <c r="H117" s="581">
        <f t="shared" ref="H117:H139" si="29">S117-H9</f>
        <v>-34619.544349918433</v>
      </c>
      <c r="I117" s="766">
        <f t="shared" ref="I117:I139" si="30">T117-I9</f>
        <v>-29151.970194208952</v>
      </c>
      <c r="J117" s="581">
        <f t="shared" ref="J117:J139" si="31">U117-J9</f>
        <v>-15954.639381278688</v>
      </c>
      <c r="K117" s="767">
        <f t="shared" ref="K117:K139" si="32">V117-K9</f>
        <v>-14648.231806576761</v>
      </c>
      <c r="M117" s="573" t="s">
        <v>323</v>
      </c>
      <c r="N117" s="580" t="s">
        <v>75</v>
      </c>
      <c r="O117" s="1064">
        <v>128963.83279029057</v>
      </c>
      <c r="P117" s="827">
        <v>156.15560621254107</v>
      </c>
      <c r="Q117" s="800">
        <v>182.26295574288142</v>
      </c>
      <c r="R117" s="828">
        <v>210.82550890708808</v>
      </c>
      <c r="S117" s="829">
        <v>217.14929560433885</v>
      </c>
      <c r="T117" s="828">
        <v>205.9789127140871</v>
      </c>
      <c r="U117" s="829">
        <v>708.95479505696528</v>
      </c>
      <c r="V117" s="830">
        <v>8.2342838772507196</v>
      </c>
    </row>
    <row r="118" spans="2:22" x14ac:dyDescent="0.3">
      <c r="B118" s="597" t="s">
        <v>648</v>
      </c>
      <c r="C118" s="591" t="s">
        <v>75</v>
      </c>
      <c r="D118" s="590">
        <f t="shared" si="25"/>
        <v>0</v>
      </c>
      <c r="E118" s="590">
        <f t="shared" si="26"/>
        <v>40345.729369578155</v>
      </c>
      <c r="F118" s="590">
        <f t="shared" si="27"/>
        <v>38594.272987703676</v>
      </c>
      <c r="G118" s="768">
        <f t="shared" si="28"/>
        <v>33356.254744946811</v>
      </c>
      <c r="H118" s="590">
        <f t="shared" si="29"/>
        <v>29437.071983033878</v>
      </c>
      <c r="I118" s="768">
        <f t="shared" si="30"/>
        <v>21441.932209655628</v>
      </c>
      <c r="J118" s="590">
        <f t="shared" si="31"/>
        <v>8467.2448655646403</v>
      </c>
      <c r="K118" s="769">
        <f t="shared" si="32"/>
        <v>11845.197146171573</v>
      </c>
      <c r="M118" s="597" t="s">
        <v>648</v>
      </c>
      <c r="N118" s="591" t="s">
        <v>75</v>
      </c>
      <c r="O118" s="1072">
        <v>7118.4799066936312</v>
      </c>
      <c r="P118" s="831">
        <v>57346.625001637098</v>
      </c>
      <c r="Q118" s="831">
        <v>61999.54340119964</v>
      </c>
      <c r="R118" s="832">
        <v>57347.570758114394</v>
      </c>
      <c r="S118" s="831">
        <v>53730.36009641597</v>
      </c>
      <c r="T118" s="832">
        <v>44842.200174673984</v>
      </c>
      <c r="U118" s="831">
        <v>29514.891111556859</v>
      </c>
      <c r="V118" s="833">
        <v>30706.184644960431</v>
      </c>
    </row>
    <row r="119" spans="2:22" x14ac:dyDescent="0.3">
      <c r="B119" s="599" t="s">
        <v>649</v>
      </c>
      <c r="C119" s="574" t="s">
        <v>75</v>
      </c>
      <c r="D119" s="577">
        <f t="shared" si="25"/>
        <v>0</v>
      </c>
      <c r="E119" s="577">
        <f t="shared" si="26"/>
        <v>40345.729369578155</v>
      </c>
      <c r="F119" s="577">
        <f t="shared" si="27"/>
        <v>38594.272987703705</v>
      </c>
      <c r="G119" s="585">
        <f t="shared" si="28"/>
        <v>33356.254744946818</v>
      </c>
      <c r="H119" s="577">
        <f t="shared" si="29"/>
        <v>29437.071983033886</v>
      </c>
      <c r="I119" s="585">
        <f t="shared" si="30"/>
        <v>21441.932209655632</v>
      </c>
      <c r="J119" s="577">
        <f t="shared" si="31"/>
        <v>8467.2448655646403</v>
      </c>
      <c r="K119" s="578">
        <f t="shared" si="32"/>
        <v>11845.197146171568</v>
      </c>
      <c r="M119" s="599" t="s">
        <v>649</v>
      </c>
      <c r="N119" s="574" t="s">
        <v>75</v>
      </c>
      <c r="O119" s="1068">
        <v>7118.4799066936139</v>
      </c>
      <c r="P119" s="800">
        <v>54485.633001637099</v>
      </c>
      <c r="Q119" s="800">
        <v>59158.147401199662</v>
      </c>
      <c r="R119" s="834">
        <v>54519.237758114403</v>
      </c>
      <c r="S119" s="800">
        <v>50916.724096415986</v>
      </c>
      <c r="T119" s="834">
        <v>42043.260174673989</v>
      </c>
      <c r="U119" s="800">
        <v>26729.178111556863</v>
      </c>
      <c r="V119" s="835">
        <v>27933.69864496043</v>
      </c>
    </row>
    <row r="120" spans="2:22" x14ac:dyDescent="0.3">
      <c r="B120" s="593" t="s">
        <v>305</v>
      </c>
      <c r="C120" s="574" t="s">
        <v>306</v>
      </c>
      <c r="D120" s="577">
        <f t="shared" si="25"/>
        <v>0</v>
      </c>
      <c r="E120" s="577">
        <f t="shared" si="26"/>
        <v>0</v>
      </c>
      <c r="F120" s="577">
        <f t="shared" si="27"/>
        <v>0</v>
      </c>
      <c r="G120" s="585">
        <f t="shared" si="28"/>
        <v>0</v>
      </c>
      <c r="H120" s="577">
        <f t="shared" si="29"/>
        <v>0</v>
      </c>
      <c r="I120" s="585">
        <f t="shared" si="30"/>
        <v>0</v>
      </c>
      <c r="J120" s="577">
        <f t="shared" si="31"/>
        <v>0</v>
      </c>
      <c r="K120" s="577">
        <f t="shared" si="32"/>
        <v>0</v>
      </c>
      <c r="M120" s="593" t="s">
        <v>305</v>
      </c>
      <c r="N120" s="574" t="s">
        <v>306</v>
      </c>
      <c r="O120" s="1068">
        <v>0</v>
      </c>
      <c r="P120" s="800">
        <v>0</v>
      </c>
      <c r="Q120" s="800">
        <v>0</v>
      </c>
      <c r="R120" s="834">
        <v>0</v>
      </c>
      <c r="S120" s="800">
        <v>0</v>
      </c>
      <c r="T120" s="834">
        <v>0</v>
      </c>
      <c r="U120" s="800">
        <v>0</v>
      </c>
      <c r="V120" s="800">
        <v>0</v>
      </c>
    </row>
    <row r="121" spans="2:22" x14ac:dyDescent="0.3">
      <c r="B121" s="595" t="s">
        <v>709</v>
      </c>
      <c r="C121" s="606"/>
      <c r="D121" s="606"/>
      <c r="E121" s="613"/>
      <c r="F121" s="613"/>
      <c r="G121" s="596"/>
      <c r="H121" s="596"/>
      <c r="I121" s="610"/>
      <c r="J121" s="613"/>
      <c r="K121" s="596"/>
      <c r="M121" s="595" t="s">
        <v>709</v>
      </c>
      <c r="N121" s="606"/>
      <c r="O121" s="1077"/>
      <c r="P121" s="837"/>
      <c r="Q121" s="837"/>
      <c r="R121" s="838"/>
      <c r="S121" s="838"/>
      <c r="T121" s="839"/>
      <c r="U121" s="837"/>
      <c r="V121" s="838"/>
    </row>
    <row r="122" spans="2:22" x14ac:dyDescent="0.3">
      <c r="B122" s="598" t="s">
        <v>710</v>
      </c>
      <c r="C122" s="584" t="s">
        <v>296</v>
      </c>
      <c r="D122" s="574">
        <f t="shared" si="25"/>
        <v>0</v>
      </c>
      <c r="E122" s="574">
        <f t="shared" si="26"/>
        <v>20.07791453750238</v>
      </c>
      <c r="F122" s="574">
        <f t="shared" si="27"/>
        <v>19.280584246066255</v>
      </c>
      <c r="G122" s="611">
        <f t="shared" si="28"/>
        <v>-21.335322915755796</v>
      </c>
      <c r="H122" s="574">
        <f t="shared" si="29"/>
        <v>-19.998298835359549</v>
      </c>
      <c r="I122" s="611">
        <f t="shared" si="30"/>
        <v>-16.410412033498034</v>
      </c>
      <c r="J122" s="574">
        <f t="shared" si="31"/>
        <v>-2.3120590123548368</v>
      </c>
      <c r="K122" s="574">
        <f t="shared" si="32"/>
        <v>0.33575813645929031</v>
      </c>
      <c r="M122" s="598" t="s">
        <v>710</v>
      </c>
      <c r="N122" s="584" t="s">
        <v>296</v>
      </c>
      <c r="O122" s="1081">
        <v>31.649349088478541</v>
      </c>
      <c r="P122" s="799">
        <v>65.392725357575387</v>
      </c>
      <c r="Q122" s="799">
        <v>68.300673032562784</v>
      </c>
      <c r="R122" s="840">
        <v>61.806571910104964</v>
      </c>
      <c r="S122" s="799">
        <v>54.513240374072325</v>
      </c>
      <c r="T122" s="840">
        <v>115.3662468341368</v>
      </c>
      <c r="U122" s="799">
        <v>114.53056990954934</v>
      </c>
      <c r="V122" s="799">
        <v>115.4793679992106</v>
      </c>
    </row>
    <row r="123" spans="2:22" x14ac:dyDescent="0.3">
      <c r="B123" s="598" t="s">
        <v>666</v>
      </c>
      <c r="C123" s="584" t="s">
        <v>296</v>
      </c>
      <c r="D123" s="574">
        <f t="shared" si="25"/>
        <v>0</v>
      </c>
      <c r="E123" s="574">
        <f t="shared" si="26"/>
        <v>28.266488027484428</v>
      </c>
      <c r="F123" s="574">
        <f t="shared" si="27"/>
        <v>20.104293924126608</v>
      </c>
      <c r="G123" s="611">
        <f t="shared" si="28"/>
        <v>20.106502483988848</v>
      </c>
      <c r="H123" s="574">
        <f t="shared" si="29"/>
        <v>21.32788320024811</v>
      </c>
      <c r="I123" s="611">
        <f t="shared" si="30"/>
        <v>27.213433648224367</v>
      </c>
      <c r="J123" s="574">
        <f t="shared" si="31"/>
        <v>19.398245921154313</v>
      </c>
      <c r="K123" s="574">
        <f t="shared" si="32"/>
        <v>27.61943008994038</v>
      </c>
      <c r="M123" s="598" t="s">
        <v>666</v>
      </c>
      <c r="N123" s="584" t="s">
        <v>296</v>
      </c>
      <c r="O123" s="1081">
        <v>21.039960000000001</v>
      </c>
      <c r="P123" s="799">
        <v>127.40065786623887</v>
      </c>
      <c r="Q123" s="799">
        <v>128.01682458988637</v>
      </c>
      <c r="R123" s="840">
        <v>121.92063314974861</v>
      </c>
      <c r="S123" s="799">
        <v>115.6238177652383</v>
      </c>
      <c r="T123" s="840">
        <v>201.23040734743142</v>
      </c>
      <c r="U123" s="799">
        <v>181.17574134249386</v>
      </c>
      <c r="V123" s="799">
        <v>178.21156058798826</v>
      </c>
    </row>
    <row r="124" spans="2:22" x14ac:dyDescent="0.3">
      <c r="B124" s="598" t="s">
        <v>298</v>
      </c>
      <c r="C124" s="584" t="s">
        <v>296</v>
      </c>
      <c r="D124" s="574">
        <f t="shared" si="25"/>
        <v>0</v>
      </c>
      <c r="E124" s="574">
        <f t="shared" si="26"/>
        <v>-156.58401601149524</v>
      </c>
      <c r="F124" s="574">
        <f t="shared" si="27"/>
        <v>-184.51734673198877</v>
      </c>
      <c r="G124" s="574">
        <f t="shared" si="28"/>
        <v>-130.11222597361706</v>
      </c>
      <c r="H124" s="574">
        <f t="shared" si="29"/>
        <v>-117.73033442663399</v>
      </c>
      <c r="I124" s="574">
        <f t="shared" si="30"/>
        <v>-91.293387569560082</v>
      </c>
      <c r="J124" s="574">
        <f t="shared" si="31"/>
        <v>-57.304856991060831</v>
      </c>
      <c r="K124" s="574">
        <f t="shared" si="32"/>
        <v>-62.642716176110071</v>
      </c>
      <c r="M124" s="598" t="s">
        <v>298</v>
      </c>
      <c r="N124" s="584" t="s">
        <v>296</v>
      </c>
      <c r="O124" s="1081">
        <v>580.6068678319632</v>
      </c>
      <c r="P124" s="799">
        <v>-61.250024280606169</v>
      </c>
      <c r="Q124" s="799">
        <v>-51.868101347644824</v>
      </c>
      <c r="R124" s="799">
        <v>-88.901395558964225</v>
      </c>
      <c r="S124" s="799">
        <v>-100.97585765047171</v>
      </c>
      <c r="T124" s="799">
        <v>120.91310793126718</v>
      </c>
      <c r="U124" s="799">
        <v>209.50013743571526</v>
      </c>
      <c r="V124" s="799">
        <v>175.54474609388245</v>
      </c>
    </row>
    <row r="125" spans="2:22" x14ac:dyDescent="0.3">
      <c r="B125" s="622" t="s">
        <v>420</v>
      </c>
      <c r="C125" s="606"/>
      <c r="D125" s="606"/>
      <c r="E125" s="613"/>
      <c r="F125" s="613"/>
      <c r="G125" s="596"/>
      <c r="H125" s="596"/>
      <c r="I125" s="610"/>
      <c r="J125" s="613"/>
      <c r="K125" s="596"/>
      <c r="M125" s="622" t="s">
        <v>420</v>
      </c>
      <c r="N125" s="606"/>
      <c r="O125" s="1077"/>
      <c r="P125" s="837"/>
      <c r="Q125" s="837"/>
      <c r="R125" s="838"/>
      <c r="S125" s="838"/>
      <c r="T125" s="839"/>
      <c r="U125" s="837"/>
      <c r="V125" s="838"/>
    </row>
    <row r="126" spans="2:22" x14ac:dyDescent="0.3">
      <c r="B126" s="597" t="s">
        <v>404</v>
      </c>
      <c r="C126" s="586" t="s">
        <v>296</v>
      </c>
      <c r="D126" s="586">
        <f t="shared" si="25"/>
        <v>0</v>
      </c>
      <c r="E126" s="574">
        <f t="shared" si="26"/>
        <v>0</v>
      </c>
      <c r="F126" s="574">
        <f t="shared" si="27"/>
        <v>0</v>
      </c>
      <c r="G126" s="574">
        <f t="shared" si="28"/>
        <v>0</v>
      </c>
      <c r="H126" s="574">
        <f t="shared" si="29"/>
        <v>0</v>
      </c>
      <c r="I126" s="611">
        <f t="shared" si="30"/>
        <v>0</v>
      </c>
      <c r="J126" s="574">
        <f t="shared" si="31"/>
        <v>0</v>
      </c>
      <c r="K126" s="584">
        <f t="shared" si="32"/>
        <v>0</v>
      </c>
      <c r="M126" s="597" t="s">
        <v>404</v>
      </c>
      <c r="N126" s="586" t="s">
        <v>296</v>
      </c>
      <c r="O126" s="1083">
        <v>0</v>
      </c>
      <c r="P126" s="799">
        <v>5.522169483588633</v>
      </c>
      <c r="Q126" s="799">
        <v>12.823704689666901</v>
      </c>
      <c r="R126" s="799">
        <v>18.593163244406124</v>
      </c>
      <c r="S126" s="799">
        <v>24.403526758283057</v>
      </c>
      <c r="T126" s="840">
        <v>30.213890272160047</v>
      </c>
      <c r="U126" s="799">
        <v>36.876440434738932</v>
      </c>
      <c r="V126" s="842">
        <v>44.003819678427938</v>
      </c>
    </row>
    <row r="127" spans="2:22" x14ac:dyDescent="0.3">
      <c r="B127" s="598" t="s">
        <v>405</v>
      </c>
      <c r="C127" s="574" t="s">
        <v>296</v>
      </c>
      <c r="D127" s="574">
        <f t="shared" si="25"/>
        <v>0</v>
      </c>
      <c r="E127" s="586">
        <f t="shared" si="26"/>
        <v>-1.3691735303345887E-2</v>
      </c>
      <c r="F127" s="586">
        <f t="shared" si="27"/>
        <v>-5.4941029980899447E-3</v>
      </c>
      <c r="G127" s="584">
        <f t="shared" si="28"/>
        <v>-7.2434630354960561E-3</v>
      </c>
      <c r="H127" s="586">
        <f t="shared" si="29"/>
        <v>-6.2929775754584361E-3</v>
      </c>
      <c r="I127" s="219">
        <f t="shared" si="30"/>
        <v>0</v>
      </c>
      <c r="J127" s="586">
        <f t="shared" si="31"/>
        <v>0</v>
      </c>
      <c r="K127" s="614">
        <f t="shared" si="32"/>
        <v>19.117499631046169</v>
      </c>
      <c r="M127" s="598" t="s">
        <v>405</v>
      </c>
      <c r="N127" s="574" t="s">
        <v>296</v>
      </c>
      <c r="O127" s="1081">
        <v>0.96732016014967515</v>
      </c>
      <c r="P127" s="841">
        <v>1.1577914088617109</v>
      </c>
      <c r="Q127" s="841">
        <v>1.1568500749074426</v>
      </c>
      <c r="R127" s="842">
        <v>1.0777254263711165</v>
      </c>
      <c r="S127" s="841">
        <v>0.60533009851187536</v>
      </c>
      <c r="T127" s="843">
        <v>0.59289576238933572</v>
      </c>
      <c r="U127" s="841">
        <v>0</v>
      </c>
      <c r="V127" s="844">
        <v>19.117499631046169</v>
      </c>
    </row>
    <row r="128" spans="2:22" x14ac:dyDescent="0.3">
      <c r="B128" s="573" t="s">
        <v>406</v>
      </c>
      <c r="C128" s="574" t="s">
        <v>296</v>
      </c>
      <c r="D128" s="574">
        <f t="shared" si="25"/>
        <v>0</v>
      </c>
      <c r="E128" s="574">
        <f t="shared" si="26"/>
        <v>-148.63925555867115</v>
      </c>
      <c r="F128" s="574">
        <f t="shared" si="27"/>
        <v>-144.45642118257553</v>
      </c>
      <c r="G128" s="219">
        <f t="shared" si="28"/>
        <v>-114.32556377391607</v>
      </c>
      <c r="H128" s="591">
        <f t="shared" si="29"/>
        <v>-87.995640841578393</v>
      </c>
      <c r="I128" s="612">
        <f t="shared" si="30"/>
        <v>-72.19889067959663</v>
      </c>
      <c r="J128" s="591">
        <f t="shared" si="31"/>
        <v>-27.987580998057123</v>
      </c>
      <c r="K128" s="592">
        <f t="shared" si="32"/>
        <v>-20.926557022542735</v>
      </c>
      <c r="M128" s="573" t="s">
        <v>406</v>
      </c>
      <c r="N128" s="574" t="s">
        <v>296</v>
      </c>
      <c r="O128" s="1081">
        <v>0</v>
      </c>
      <c r="P128" s="799">
        <v>0</v>
      </c>
      <c r="Q128" s="799">
        <v>0</v>
      </c>
      <c r="R128" s="843">
        <v>0</v>
      </c>
      <c r="S128" s="845">
        <v>0</v>
      </c>
      <c r="T128" s="846">
        <v>0</v>
      </c>
      <c r="U128" s="845">
        <v>0</v>
      </c>
      <c r="V128" s="847">
        <v>0</v>
      </c>
    </row>
    <row r="129" spans="2:22" x14ac:dyDescent="0.3">
      <c r="B129" s="597" t="s">
        <v>407</v>
      </c>
      <c r="C129" s="574" t="s">
        <v>296</v>
      </c>
      <c r="D129" s="586">
        <f t="shared" si="25"/>
        <v>0</v>
      </c>
      <c r="E129" s="586">
        <f t="shared" si="26"/>
        <v>0</v>
      </c>
      <c r="F129" s="219">
        <f t="shared" si="27"/>
        <v>0</v>
      </c>
      <c r="G129" s="582">
        <f t="shared" si="28"/>
        <v>0</v>
      </c>
      <c r="H129" s="574">
        <f t="shared" si="29"/>
        <v>0</v>
      </c>
      <c r="I129" s="582">
        <f t="shared" si="30"/>
        <v>0</v>
      </c>
      <c r="J129" s="574">
        <f t="shared" si="31"/>
        <v>0</v>
      </c>
      <c r="K129" s="575">
        <f t="shared" si="32"/>
        <v>0</v>
      </c>
      <c r="M129" s="597" t="s">
        <v>407</v>
      </c>
      <c r="N129" s="574" t="s">
        <v>296</v>
      </c>
      <c r="O129" s="1083">
        <v>0</v>
      </c>
      <c r="P129" s="841">
        <v>0</v>
      </c>
      <c r="Q129" s="843">
        <v>0</v>
      </c>
      <c r="R129" s="848">
        <v>0</v>
      </c>
      <c r="S129" s="799">
        <v>0</v>
      </c>
      <c r="T129" s="848">
        <v>0</v>
      </c>
      <c r="U129" s="799">
        <v>0</v>
      </c>
      <c r="V129" s="849">
        <v>0</v>
      </c>
    </row>
    <row r="130" spans="2:22" x14ac:dyDescent="0.3">
      <c r="B130" s="573" t="s">
        <v>408</v>
      </c>
      <c r="C130" s="586" t="s">
        <v>296</v>
      </c>
      <c r="D130" s="591">
        <f t="shared" si="25"/>
        <v>0</v>
      </c>
      <c r="E130" s="591">
        <f t="shared" si="26"/>
        <v>-35.343279381162795</v>
      </c>
      <c r="F130" s="592">
        <f t="shared" si="27"/>
        <v>-12.874719428442011</v>
      </c>
      <c r="G130" s="582">
        <f t="shared" si="28"/>
        <v>-11.085834121677687</v>
      </c>
      <c r="H130" s="574">
        <f t="shared" si="29"/>
        <v>-7.7904284380329418</v>
      </c>
      <c r="I130" s="575">
        <f t="shared" si="30"/>
        <v>-0.25066913228029286</v>
      </c>
      <c r="J130" s="583">
        <f t="shared" si="31"/>
        <v>0</v>
      </c>
      <c r="K130" s="584">
        <f t="shared" si="32"/>
        <v>0</v>
      </c>
      <c r="M130" s="573" t="s">
        <v>408</v>
      </c>
      <c r="N130" s="586" t="s">
        <v>296</v>
      </c>
      <c r="O130" s="1087">
        <v>94.197991088552314</v>
      </c>
      <c r="P130" s="845">
        <v>0</v>
      </c>
      <c r="Q130" s="847">
        <v>0</v>
      </c>
      <c r="R130" s="848">
        <v>0</v>
      </c>
      <c r="S130" s="799">
        <v>0</v>
      </c>
      <c r="T130" s="849">
        <v>0</v>
      </c>
      <c r="U130" s="850">
        <v>0</v>
      </c>
      <c r="V130" s="842">
        <v>0</v>
      </c>
    </row>
    <row r="131" spans="2:22" x14ac:dyDescent="0.3">
      <c r="B131" s="593" t="s">
        <v>409</v>
      </c>
      <c r="C131" s="574" t="s">
        <v>296</v>
      </c>
      <c r="D131" s="574">
        <f t="shared" si="25"/>
        <v>0</v>
      </c>
      <c r="E131" s="574">
        <f t="shared" si="26"/>
        <v>-40.897156900629952</v>
      </c>
      <c r="F131" s="575">
        <f t="shared" si="27"/>
        <v>0</v>
      </c>
      <c r="G131" s="219">
        <f t="shared" si="28"/>
        <v>-4.4507483225848514E-2</v>
      </c>
      <c r="H131" s="586">
        <f t="shared" si="29"/>
        <v>-4.5473421926910333E-2</v>
      </c>
      <c r="I131" s="219">
        <f t="shared" si="30"/>
        <v>0</v>
      </c>
      <c r="J131" s="582">
        <f t="shared" si="31"/>
        <v>0</v>
      </c>
      <c r="K131" s="574">
        <f t="shared" si="32"/>
        <v>0</v>
      </c>
      <c r="M131" s="593" t="s">
        <v>409</v>
      </c>
      <c r="N131" s="574" t="s">
        <v>296</v>
      </c>
      <c r="O131" s="1081">
        <v>172.08553810366237</v>
      </c>
      <c r="P131" s="799">
        <v>0</v>
      </c>
      <c r="Q131" s="849">
        <v>0</v>
      </c>
      <c r="R131" s="843">
        <v>0</v>
      </c>
      <c r="S131" s="841">
        <v>0</v>
      </c>
      <c r="T131" s="843">
        <v>0</v>
      </c>
      <c r="U131" s="848">
        <v>0</v>
      </c>
      <c r="V131" s="799">
        <v>0</v>
      </c>
    </row>
    <row r="132" spans="2:22" x14ac:dyDescent="0.3">
      <c r="B132" s="593" t="s">
        <v>410</v>
      </c>
      <c r="C132" s="574" t="s">
        <v>296</v>
      </c>
      <c r="D132" s="574">
        <f t="shared" si="25"/>
        <v>0</v>
      </c>
      <c r="E132" s="574">
        <f t="shared" si="26"/>
        <v>217.87657034656246</v>
      </c>
      <c r="F132" s="575">
        <f t="shared" si="27"/>
        <v>219.99081554299005</v>
      </c>
      <c r="G132" s="582">
        <f t="shared" si="28"/>
        <v>200.1435520801939</v>
      </c>
      <c r="H132" s="574">
        <f t="shared" si="29"/>
        <v>185.45878949667741</v>
      </c>
      <c r="I132" s="575">
        <f t="shared" si="30"/>
        <v>139.37144439120647</v>
      </c>
      <c r="J132" s="611">
        <f t="shared" si="31"/>
        <v>57.576804471403818</v>
      </c>
      <c r="K132" s="574">
        <f t="shared" si="32"/>
        <v>62.207606390772341</v>
      </c>
      <c r="M132" s="593" t="s">
        <v>410</v>
      </c>
      <c r="N132" s="574" t="s">
        <v>296</v>
      </c>
      <c r="O132" s="1081">
        <v>33.288971558098083</v>
      </c>
      <c r="P132" s="799">
        <v>287.7360374866048</v>
      </c>
      <c r="Q132" s="849">
        <v>323.27603033606823</v>
      </c>
      <c r="R132" s="848">
        <v>307.38519858457033</v>
      </c>
      <c r="S132" s="799">
        <v>295.72289943954809</v>
      </c>
      <c r="T132" s="849">
        <v>242.42281088859318</v>
      </c>
      <c r="U132" s="840">
        <v>144.88051666819092</v>
      </c>
      <c r="V132" s="799">
        <v>132.43123353417073</v>
      </c>
    </row>
    <row r="133" spans="2:22" x14ac:dyDescent="0.3">
      <c r="B133" s="595" t="s">
        <v>45</v>
      </c>
      <c r="C133" s="596"/>
      <c r="D133" s="606"/>
      <c r="E133" s="606"/>
      <c r="F133" s="607"/>
      <c r="G133" s="607"/>
      <c r="H133" s="607"/>
      <c r="I133" s="607"/>
      <c r="J133" s="607"/>
      <c r="K133" s="606"/>
      <c r="M133" s="595" t="s">
        <v>45</v>
      </c>
      <c r="N133" s="596"/>
      <c r="O133" s="1077"/>
      <c r="P133" s="836"/>
      <c r="Q133" s="851"/>
      <c r="R133" s="852"/>
      <c r="S133" s="836"/>
      <c r="T133" s="853"/>
      <c r="U133" s="839"/>
      <c r="V133" s="836"/>
    </row>
    <row r="134" spans="2:22" x14ac:dyDescent="0.3">
      <c r="B134" s="594" t="s">
        <v>411</v>
      </c>
      <c r="C134" s="583" t="s">
        <v>296</v>
      </c>
      <c r="D134" s="584">
        <f t="shared" si="25"/>
        <v>0</v>
      </c>
      <c r="E134" s="584">
        <f t="shared" si="26"/>
        <v>55.344885881369443</v>
      </c>
      <c r="F134" s="587">
        <f t="shared" si="27"/>
        <v>-78.773424675667954</v>
      </c>
      <c r="G134" s="574">
        <f t="shared" si="27"/>
        <v>0</v>
      </c>
      <c r="H134" s="587">
        <f t="shared" si="27"/>
        <v>6.0721298980727632</v>
      </c>
      <c r="I134" s="574">
        <f t="shared" si="27"/>
        <v>32.662858397362015</v>
      </c>
      <c r="J134" s="575">
        <f t="shared" si="31"/>
        <v>10.325965720188876</v>
      </c>
      <c r="K134" s="589">
        <f t="shared" si="32"/>
        <v>121.13459985836616</v>
      </c>
      <c r="M134" s="594" t="s">
        <v>411</v>
      </c>
      <c r="N134" s="583" t="s">
        <v>296</v>
      </c>
      <c r="O134" s="1084"/>
      <c r="P134" s="842">
        <v>111.58887819050572</v>
      </c>
      <c r="Q134" s="854">
        <v>0.17560878551998235</v>
      </c>
      <c r="R134" s="799">
        <v>0</v>
      </c>
      <c r="S134" s="854">
        <v>32.757887505279349</v>
      </c>
      <c r="T134" s="799">
        <v>470.88693267623086</v>
      </c>
      <c r="U134" s="849">
        <v>110.07952212187759</v>
      </c>
      <c r="V134" s="855">
        <v>148.84730024190966</v>
      </c>
    </row>
    <row r="135" spans="2:22" x14ac:dyDescent="0.3">
      <c r="B135" s="595" t="s">
        <v>711</v>
      </c>
      <c r="C135" s="596"/>
      <c r="D135" s="606"/>
      <c r="E135" s="606"/>
      <c r="F135" s="607"/>
      <c r="G135" s="607"/>
      <c r="H135" s="607"/>
      <c r="I135" s="607"/>
      <c r="J135" s="607"/>
      <c r="K135" s="606"/>
      <c r="M135" s="595" t="s">
        <v>711</v>
      </c>
      <c r="N135" s="596"/>
      <c r="O135" s="1077"/>
      <c r="P135" s="836"/>
      <c r="Q135" s="851"/>
      <c r="R135" s="851"/>
      <c r="S135" s="836"/>
      <c r="T135" s="836"/>
      <c r="U135" s="836"/>
      <c r="V135" s="836"/>
    </row>
    <row r="136" spans="2:22" ht="13.5" customHeight="1" x14ac:dyDescent="0.3">
      <c r="B136" s="594" t="s">
        <v>711</v>
      </c>
      <c r="C136" s="583" t="s">
        <v>296</v>
      </c>
      <c r="D136" s="584">
        <f t="shared" si="25"/>
        <v>0</v>
      </c>
      <c r="E136" s="584">
        <f t="shared" si="26"/>
        <v>0</v>
      </c>
      <c r="F136" s="584">
        <f t="shared" si="27"/>
        <v>0</v>
      </c>
      <c r="G136" s="584">
        <f t="shared" si="28"/>
        <v>0</v>
      </c>
      <c r="H136" s="584">
        <f t="shared" si="29"/>
        <v>0</v>
      </c>
      <c r="I136" s="584">
        <f t="shared" si="30"/>
        <v>0</v>
      </c>
      <c r="J136" s="584">
        <f t="shared" si="31"/>
        <v>0</v>
      </c>
      <c r="K136" s="584">
        <f t="shared" si="32"/>
        <v>0</v>
      </c>
      <c r="M136" s="594" t="s">
        <v>711</v>
      </c>
      <c r="N136" s="583" t="s">
        <v>296</v>
      </c>
      <c r="O136" s="1084">
        <v>0</v>
      </c>
      <c r="P136" s="842">
        <v>0</v>
      </c>
      <c r="Q136" s="842">
        <v>0</v>
      </c>
      <c r="R136" s="842">
        <v>0</v>
      </c>
      <c r="S136" s="842">
        <v>0</v>
      </c>
      <c r="T136" s="842">
        <v>0</v>
      </c>
      <c r="U136" s="842">
        <v>0</v>
      </c>
      <c r="V136" s="842">
        <v>0</v>
      </c>
    </row>
    <row r="137" spans="2:22" x14ac:dyDescent="0.3">
      <c r="B137" s="595" t="s">
        <v>712</v>
      </c>
      <c r="C137" s="596"/>
      <c r="D137" s="606"/>
      <c r="E137" s="606"/>
      <c r="F137" s="607"/>
      <c r="G137" s="608"/>
      <c r="H137" s="608"/>
      <c r="I137" s="608"/>
      <c r="J137" s="608"/>
      <c r="K137" s="606"/>
      <c r="M137" s="595" t="s">
        <v>712</v>
      </c>
      <c r="N137" s="596"/>
      <c r="O137" s="1077"/>
      <c r="P137" s="836"/>
      <c r="Q137" s="851"/>
      <c r="R137" s="852"/>
      <c r="S137" s="836"/>
      <c r="T137" s="853"/>
      <c r="U137" s="839"/>
      <c r="V137" s="836"/>
    </row>
    <row r="138" spans="2:22" x14ac:dyDescent="0.3">
      <c r="B138" s="597" t="s">
        <v>634</v>
      </c>
      <c r="C138" s="582" t="s">
        <v>75</v>
      </c>
      <c r="D138" s="577">
        <f t="shared" si="25"/>
        <v>0</v>
      </c>
      <c r="E138" s="577">
        <f t="shared" si="26"/>
        <v>-6898.0402372099452</v>
      </c>
      <c r="F138" s="577">
        <f t="shared" si="27"/>
        <v>-4417.567242062365</v>
      </c>
      <c r="G138" s="577">
        <f t="shared" si="28"/>
        <v>-3104.0057023267254</v>
      </c>
      <c r="H138" s="577">
        <f t="shared" si="29"/>
        <v>-1347.984129512457</v>
      </c>
      <c r="I138" s="577">
        <f t="shared" si="30"/>
        <v>-797.61235023595054</v>
      </c>
      <c r="J138" s="577">
        <f t="shared" si="31"/>
        <v>-618.0043392971711</v>
      </c>
      <c r="K138" s="577">
        <f t="shared" si="32"/>
        <v>1454.732396863601</v>
      </c>
      <c r="M138" s="597" t="s">
        <v>634</v>
      </c>
      <c r="N138" s="582" t="s">
        <v>75</v>
      </c>
      <c r="O138" s="1098">
        <v>13157.170940781345</v>
      </c>
      <c r="P138" s="800">
        <v>-8915.714068529147</v>
      </c>
      <c r="Q138" s="800">
        <v>-8904.4133342268342</v>
      </c>
      <c r="R138" s="800">
        <v>-13129.075035765642</v>
      </c>
      <c r="S138" s="800">
        <v>-18235.92947967504</v>
      </c>
      <c r="T138" s="800">
        <v>-6096.7070763825259</v>
      </c>
      <c r="U138" s="800">
        <v>-10328.978256022974</v>
      </c>
      <c r="V138" s="800">
        <v>-12563.411045520896</v>
      </c>
    </row>
    <row r="139" spans="2:22" x14ac:dyDescent="0.3">
      <c r="B139" s="594" t="s">
        <v>634</v>
      </c>
      <c r="C139" s="574" t="s">
        <v>296</v>
      </c>
      <c r="D139" s="574">
        <f t="shared" si="25"/>
        <v>0</v>
      </c>
      <c r="E139" s="574">
        <f t="shared" si="26"/>
        <v>-126.59787486059246</v>
      </c>
      <c r="F139" s="575">
        <f t="shared" si="27"/>
        <v>-83.57116662085258</v>
      </c>
      <c r="G139" s="582">
        <f t="shared" si="28"/>
        <v>-58.391226977744196</v>
      </c>
      <c r="H139" s="582">
        <f t="shared" si="29"/>
        <v>-25.503605670701177</v>
      </c>
      <c r="I139" s="582">
        <f t="shared" si="30"/>
        <v>-16.78053027392707</v>
      </c>
      <c r="J139" s="582">
        <f t="shared" si="31"/>
        <v>-17.215422478492314</v>
      </c>
      <c r="K139" s="574">
        <f t="shared" si="32"/>
        <v>16.748134024033476</v>
      </c>
      <c r="M139" s="594" t="s">
        <v>634</v>
      </c>
      <c r="N139" s="574" t="s">
        <v>296</v>
      </c>
      <c r="O139" s="1098">
        <v>288.38408027760482</v>
      </c>
      <c r="P139" s="799">
        <v>-162.71145288666185</v>
      </c>
      <c r="Q139" s="849">
        <v>-168.13180692876978</v>
      </c>
      <c r="R139" s="848">
        <v>-243.33072693630749</v>
      </c>
      <c r="S139" s="848">
        <v>-352.40065489432317</v>
      </c>
      <c r="T139" s="848">
        <v>-124.51890011700226</v>
      </c>
      <c r="U139" s="848">
        <v>-215.62662632616454</v>
      </c>
      <c r="V139" s="799">
        <v>-253.27082107083655</v>
      </c>
    </row>
    <row r="140" spans="2:22" x14ac:dyDescent="0.3">
      <c r="B140" s="595" t="s">
        <v>713</v>
      </c>
      <c r="C140" s="596"/>
      <c r="D140" s="606"/>
      <c r="E140" s="606"/>
      <c r="F140" s="607"/>
      <c r="G140" s="608"/>
      <c r="H140" s="606"/>
      <c r="I140" s="609"/>
      <c r="J140" s="610"/>
      <c r="K140" s="606"/>
      <c r="M140" s="595" t="s">
        <v>713</v>
      </c>
      <c r="N140" s="596"/>
      <c r="O140" s="1101"/>
      <c r="P140" s="836"/>
      <c r="Q140" s="851"/>
      <c r="R140" s="852"/>
      <c r="S140" s="836"/>
      <c r="T140" s="853"/>
      <c r="U140" s="839"/>
      <c r="V140" s="836"/>
    </row>
    <row r="141" spans="2:22" x14ac:dyDescent="0.3">
      <c r="B141" s="597" t="s">
        <v>787</v>
      </c>
      <c r="C141" s="582" t="s">
        <v>412</v>
      </c>
      <c r="D141" s="577">
        <f t="shared" si="25"/>
        <v>0</v>
      </c>
      <c r="E141" s="577">
        <f t="shared" ref="E141:E147" si="33">P141-E33</f>
        <v>-1868.6832381304721</v>
      </c>
      <c r="F141" s="577">
        <f t="shared" ref="F141:F147" si="34">Q141-F33</f>
        <v>-967.23650449979323</v>
      </c>
      <c r="G141" s="577">
        <f t="shared" ref="G141:G147" si="35">R141-G33</f>
        <v>-598.00894922382486</v>
      </c>
      <c r="H141" s="577">
        <f t="shared" ref="H141:H147" si="36">S141-H33</f>
        <v>-215.75715136301915</v>
      </c>
      <c r="I141" s="577">
        <f t="shared" ref="I141:I147" si="37">T141-I33</f>
        <v>-489.96901776287177</v>
      </c>
      <c r="J141" s="577">
        <f t="shared" ref="J141:J147" si="38">U141-J33</f>
        <v>-511.94339361861103</v>
      </c>
      <c r="K141" s="577">
        <f t="shared" ref="K141:K147" si="39">V141-K33</f>
        <v>-103.35335357350368</v>
      </c>
      <c r="M141" s="597" t="s">
        <v>787</v>
      </c>
      <c r="N141" s="582" t="s">
        <v>412</v>
      </c>
      <c r="O141" s="1098">
        <v>13777.672069342803</v>
      </c>
      <c r="P141" s="824">
        <v>5328.5564957310689</v>
      </c>
      <c r="Q141" s="834">
        <v>5775.7347204948928</v>
      </c>
      <c r="R141" s="800">
        <v>5330.1792332662753</v>
      </c>
      <c r="S141" s="834">
        <v>4987.0049726525376</v>
      </c>
      <c r="T141" s="800">
        <v>4134.9912303069323</v>
      </c>
      <c r="U141" s="800">
        <v>2668.3300025396934</v>
      </c>
      <c r="V141" s="800">
        <v>2672.5210438019553</v>
      </c>
    </row>
    <row r="142" spans="2:22" x14ac:dyDescent="0.3">
      <c r="B142" s="597" t="s">
        <v>714</v>
      </c>
      <c r="C142" s="582" t="s">
        <v>412</v>
      </c>
      <c r="D142" s="572">
        <f t="shared" ref="D142:D147" si="40">O142-D34</f>
        <v>0</v>
      </c>
      <c r="E142" s="572">
        <f t="shared" si="33"/>
        <v>0</v>
      </c>
      <c r="F142" s="585">
        <f t="shared" si="34"/>
        <v>0</v>
      </c>
      <c r="G142" s="577">
        <f t="shared" si="35"/>
        <v>0</v>
      </c>
      <c r="H142" s="577">
        <f t="shared" si="36"/>
        <v>0</v>
      </c>
      <c r="I142" s="577">
        <f t="shared" si="37"/>
        <v>0</v>
      </c>
      <c r="J142" s="577">
        <f t="shared" si="38"/>
        <v>0</v>
      </c>
      <c r="K142" s="577">
        <f t="shared" si="39"/>
        <v>0</v>
      </c>
      <c r="M142" s="597" t="s">
        <v>714</v>
      </c>
      <c r="N142" s="582" t="s">
        <v>412</v>
      </c>
      <c r="O142" s="1098">
        <v>16000</v>
      </c>
      <c r="P142" s="800">
        <v>14666</v>
      </c>
      <c r="Q142" s="800">
        <v>12000</v>
      </c>
      <c r="R142" s="800">
        <v>10583</v>
      </c>
      <c r="S142" s="800">
        <v>10583</v>
      </c>
      <c r="T142" s="800">
        <v>10583</v>
      </c>
      <c r="U142" s="800">
        <v>10583</v>
      </c>
      <c r="V142" s="800">
        <v>10583</v>
      </c>
    </row>
    <row r="143" spans="2:22" x14ac:dyDescent="0.3">
      <c r="B143" s="573" t="s">
        <v>308</v>
      </c>
      <c r="C143" s="580" t="s">
        <v>412</v>
      </c>
      <c r="D143" s="581">
        <f t="shared" si="40"/>
        <v>0</v>
      </c>
      <c r="E143" s="572">
        <f t="shared" si="33"/>
        <v>-5740.8283161491281</v>
      </c>
      <c r="F143" s="585">
        <f t="shared" si="34"/>
        <v>-4671.2475876266408</v>
      </c>
      <c r="G143" s="577">
        <f t="shared" si="35"/>
        <v>-3799.328555360682</v>
      </c>
      <c r="H143" s="585">
        <f t="shared" si="36"/>
        <v>-3040.9367337985645</v>
      </c>
      <c r="I143" s="577">
        <f t="shared" si="37"/>
        <v>-2547.7989006617659</v>
      </c>
      <c r="J143" s="577">
        <f t="shared" si="38"/>
        <v>-1324.563699466551</v>
      </c>
      <c r="K143" s="577">
        <f t="shared" si="39"/>
        <v>-1129.2431743111388</v>
      </c>
      <c r="M143" s="573" t="s">
        <v>308</v>
      </c>
      <c r="N143" s="580" t="s">
        <v>412</v>
      </c>
      <c r="O143" s="1107">
        <v>13111</v>
      </c>
      <c r="P143" s="824">
        <v>105.85670399999987</v>
      </c>
      <c r="Q143" s="834">
        <v>105.13165199999978</v>
      </c>
      <c r="R143" s="800">
        <v>104.64832099999967</v>
      </c>
      <c r="S143" s="834">
        <v>104.10453199999969</v>
      </c>
      <c r="T143" s="800">
        <v>103.56078000000011</v>
      </c>
      <c r="U143" s="800">
        <v>103.071381</v>
      </c>
      <c r="V143" s="800">
        <v>102.58198200000011</v>
      </c>
    </row>
    <row r="144" spans="2:22" x14ac:dyDescent="0.3">
      <c r="B144" s="597" t="s">
        <v>715</v>
      </c>
      <c r="C144" s="582" t="s">
        <v>412</v>
      </c>
      <c r="D144" s="577">
        <f t="shared" si="40"/>
        <v>0</v>
      </c>
      <c r="E144" s="578">
        <f t="shared" si="33"/>
        <v>5740.828316149129</v>
      </c>
      <c r="F144" s="579">
        <f t="shared" si="34"/>
        <v>4671.2475876266408</v>
      </c>
      <c r="G144" s="572">
        <f t="shared" si="35"/>
        <v>3799.3285553606811</v>
      </c>
      <c r="H144" s="588">
        <f t="shared" si="36"/>
        <v>3040.936733798565</v>
      </c>
      <c r="I144" s="572">
        <f t="shared" si="37"/>
        <v>2547.7989006617663</v>
      </c>
      <c r="J144" s="576">
        <f t="shared" si="38"/>
        <v>1324.563699466551</v>
      </c>
      <c r="K144" s="577">
        <f t="shared" si="39"/>
        <v>1129.2431743111392</v>
      </c>
      <c r="M144" s="597" t="s">
        <v>715</v>
      </c>
      <c r="N144" s="582" t="s">
        <v>412</v>
      </c>
      <c r="O144" s="1098">
        <v>2889</v>
      </c>
      <c r="P144" s="835">
        <v>14560.143296</v>
      </c>
      <c r="Q144" s="856">
        <v>11894.868348</v>
      </c>
      <c r="R144" s="824">
        <v>10478.351678999999</v>
      </c>
      <c r="S144" s="825">
        <v>10478.895468000001</v>
      </c>
      <c r="T144" s="824">
        <v>10479.43922</v>
      </c>
      <c r="U144" s="826">
        <v>10479.928619</v>
      </c>
      <c r="V144" s="800">
        <v>10480.418018</v>
      </c>
    </row>
    <row r="145" spans="2:22" x14ac:dyDescent="0.3">
      <c r="B145" s="597" t="s">
        <v>308</v>
      </c>
      <c r="C145" s="582" t="s">
        <v>296</v>
      </c>
      <c r="D145" s="574">
        <f t="shared" si="40"/>
        <v>0</v>
      </c>
      <c r="E145" s="575">
        <f t="shared" si="33"/>
        <v>-86.112424742236925</v>
      </c>
      <c r="F145" s="583">
        <f t="shared" si="34"/>
        <v>-97.395512202015482</v>
      </c>
      <c r="G145" s="584">
        <f t="shared" si="35"/>
        <v>-94.033381745176882</v>
      </c>
      <c r="H145" s="587">
        <f t="shared" si="36"/>
        <v>-91.228102013956942</v>
      </c>
      <c r="I145" s="584">
        <f t="shared" si="37"/>
        <v>-89.172961523161817</v>
      </c>
      <c r="J145" s="589">
        <f t="shared" si="38"/>
        <v>-52.982547978662041</v>
      </c>
      <c r="K145" s="574">
        <f t="shared" si="39"/>
        <v>-50.815942844001249</v>
      </c>
      <c r="M145" s="597" t="s">
        <v>308</v>
      </c>
      <c r="N145" s="582" t="s">
        <v>296</v>
      </c>
      <c r="O145" s="1098">
        <v>94.399673057917241</v>
      </c>
      <c r="P145" s="849">
        <v>1.5878505599999981</v>
      </c>
      <c r="Q145" s="850">
        <v>2.1919949441999957</v>
      </c>
      <c r="R145" s="842">
        <v>2.5900459447499915</v>
      </c>
      <c r="S145" s="854">
        <v>3.1231359599999911</v>
      </c>
      <c r="T145" s="842">
        <v>3.6246273000000038</v>
      </c>
      <c r="U145" s="855">
        <v>4.1228552399999998</v>
      </c>
      <c r="V145" s="799">
        <v>4.6161891900000045</v>
      </c>
    </row>
    <row r="146" spans="2:22" x14ac:dyDescent="0.3">
      <c r="B146" s="597" t="s">
        <v>716</v>
      </c>
      <c r="C146" s="582" t="s">
        <v>296</v>
      </c>
      <c r="D146" s="574">
        <f t="shared" si="40"/>
        <v>0</v>
      </c>
      <c r="E146" s="574">
        <f t="shared" si="33"/>
        <v>0</v>
      </c>
      <c r="F146" s="574">
        <f t="shared" si="34"/>
        <v>0</v>
      </c>
      <c r="G146" s="574">
        <f t="shared" si="35"/>
        <v>0</v>
      </c>
      <c r="H146" s="574">
        <f t="shared" si="36"/>
        <v>0</v>
      </c>
      <c r="I146" s="574">
        <f t="shared" si="37"/>
        <v>0</v>
      </c>
      <c r="J146" s="574">
        <f t="shared" si="38"/>
        <v>0</v>
      </c>
      <c r="K146" s="574">
        <f t="shared" si="39"/>
        <v>0</v>
      </c>
      <c r="M146" s="597" t="s">
        <v>716</v>
      </c>
      <c r="N146" s="582" t="s">
        <v>296</v>
      </c>
      <c r="O146" s="1098">
        <v>0</v>
      </c>
      <c r="P146" s="1098">
        <v>0</v>
      </c>
      <c r="Q146" s="1098">
        <v>0</v>
      </c>
      <c r="R146" s="1098">
        <v>0</v>
      </c>
      <c r="S146" s="1098">
        <v>0</v>
      </c>
      <c r="T146" s="1098">
        <v>0</v>
      </c>
      <c r="U146" s="1098">
        <v>0</v>
      </c>
      <c r="V146" s="1098">
        <v>0</v>
      </c>
    </row>
    <row r="147" spans="2:22" x14ac:dyDescent="0.3">
      <c r="B147" s="597" t="s">
        <v>717</v>
      </c>
      <c r="C147" s="582" t="s">
        <v>296</v>
      </c>
      <c r="D147" s="574">
        <f t="shared" si="40"/>
        <v>0</v>
      </c>
      <c r="E147" s="574">
        <f t="shared" si="33"/>
        <v>-86.112424742236925</v>
      </c>
      <c r="F147" s="574">
        <f t="shared" si="34"/>
        <v>-97.395512202015482</v>
      </c>
      <c r="G147" s="574">
        <f t="shared" si="35"/>
        <v>-94.033381745176882</v>
      </c>
      <c r="H147" s="574">
        <f t="shared" si="36"/>
        <v>-91.228102013956942</v>
      </c>
      <c r="I147" s="574">
        <f t="shared" si="37"/>
        <v>-89.172961523161817</v>
      </c>
      <c r="J147" s="574">
        <f t="shared" si="38"/>
        <v>-52.982547978662041</v>
      </c>
      <c r="K147" s="574">
        <f t="shared" si="39"/>
        <v>-50.815942844001249</v>
      </c>
      <c r="M147" s="597" t="s">
        <v>717</v>
      </c>
      <c r="N147" s="582" t="s">
        <v>296</v>
      </c>
      <c r="O147" s="1098">
        <v>94.399673057917241</v>
      </c>
      <c r="P147" s="1098">
        <v>1.5878505599999981</v>
      </c>
      <c r="Q147" s="1098">
        <v>2.1919949441999957</v>
      </c>
      <c r="R147" s="1098">
        <v>2.5900459447499915</v>
      </c>
      <c r="S147" s="1098">
        <v>3.1231359599999911</v>
      </c>
      <c r="T147" s="1098">
        <v>3.6246273000000038</v>
      </c>
      <c r="U147" s="1098">
        <v>4.1228552399999998</v>
      </c>
      <c r="V147" s="1098">
        <v>4.6161891900000045</v>
      </c>
    </row>
    <row r="149" spans="2:22" x14ac:dyDescent="0.3">
      <c r="B149" s="603" t="s">
        <v>791</v>
      </c>
      <c r="C149" s="615"/>
      <c r="D149" s="615"/>
      <c r="E149" s="615"/>
      <c r="F149" s="615"/>
      <c r="G149" s="615"/>
      <c r="H149" s="615"/>
      <c r="I149" s="615"/>
      <c r="J149" s="615"/>
      <c r="K149" s="605"/>
      <c r="M149" s="603" t="s">
        <v>790</v>
      </c>
      <c r="N149" s="615"/>
      <c r="O149" s="615"/>
      <c r="P149" s="615"/>
      <c r="Q149" s="615"/>
      <c r="R149" s="615"/>
      <c r="S149" s="615"/>
      <c r="T149" s="615"/>
      <c r="U149" s="615"/>
      <c r="V149" s="605"/>
    </row>
    <row r="150" spans="2:22" x14ac:dyDescent="0.3">
      <c r="B150" s="602"/>
      <c r="C150" s="600" t="s">
        <v>293</v>
      </c>
      <c r="D150" s="618">
        <v>2012</v>
      </c>
      <c r="E150" s="617">
        <v>2020</v>
      </c>
      <c r="F150" s="618">
        <v>2026</v>
      </c>
      <c r="G150" s="619">
        <v>2030</v>
      </c>
      <c r="H150" s="620">
        <v>2035</v>
      </c>
      <c r="I150" s="600">
        <v>2040</v>
      </c>
      <c r="J150" s="617">
        <v>2045</v>
      </c>
      <c r="K150" s="621">
        <v>2050</v>
      </c>
      <c r="M150" s="602"/>
      <c r="N150" s="600" t="s">
        <v>293</v>
      </c>
      <c r="O150" s="618">
        <v>2012</v>
      </c>
      <c r="P150" s="617">
        <v>2020</v>
      </c>
      <c r="Q150" s="618">
        <v>2026</v>
      </c>
      <c r="R150" s="619">
        <v>2030</v>
      </c>
      <c r="S150" s="620">
        <v>2035</v>
      </c>
      <c r="T150" s="600">
        <v>2040</v>
      </c>
      <c r="U150" s="617">
        <v>2045</v>
      </c>
      <c r="V150" s="621">
        <v>2050</v>
      </c>
    </row>
    <row r="151" spans="2:22" x14ac:dyDescent="0.3">
      <c r="B151" s="595" t="s">
        <v>54</v>
      </c>
      <c r="C151" s="596"/>
      <c r="D151" s="596"/>
      <c r="E151" s="596"/>
      <c r="F151" s="596"/>
      <c r="G151" s="596"/>
      <c r="H151" s="596"/>
      <c r="I151" s="626"/>
      <c r="J151" s="596"/>
      <c r="K151" s="596"/>
      <c r="M151" s="595" t="s">
        <v>54</v>
      </c>
      <c r="N151" s="596"/>
      <c r="O151" s="596"/>
      <c r="P151" s="596"/>
      <c r="Q151" s="596"/>
      <c r="R151" s="596"/>
      <c r="S151" s="596"/>
      <c r="T151" s="626"/>
      <c r="U151" s="596"/>
      <c r="V151" s="596"/>
    </row>
    <row r="152" spans="2:22" x14ac:dyDescent="0.3">
      <c r="B152" s="627" t="s">
        <v>294</v>
      </c>
      <c r="C152" s="584" t="s">
        <v>75</v>
      </c>
      <c r="D152" s="1034">
        <f t="shared" ref="D152:K156" si="41">O152-D8</f>
        <v>0</v>
      </c>
      <c r="E152" s="1034">
        <f t="shared" si="41"/>
        <v>30130.087844750975</v>
      </c>
      <c r="F152" s="1034">
        <f t="shared" si="41"/>
        <v>-7893.765753335676</v>
      </c>
      <c r="G152" s="1035">
        <f t="shared" si="41"/>
        <v>-15528.63875409255</v>
      </c>
      <c r="H152" s="1034">
        <f t="shared" si="41"/>
        <v>-11699.467102420451</v>
      </c>
      <c r="I152" s="1035">
        <f t="shared" si="41"/>
        <v>-10214.721241871521</v>
      </c>
      <c r="J152" s="1034">
        <f t="shared" si="41"/>
        <v>-2067.1059678768579</v>
      </c>
      <c r="K152" s="1037">
        <f t="shared" si="41"/>
        <v>68.200964025738358</v>
      </c>
      <c r="M152" s="627" t="s">
        <v>294</v>
      </c>
      <c r="N152" s="584" t="s">
        <v>75</v>
      </c>
      <c r="O152" s="1064">
        <v>134082.17222006113</v>
      </c>
      <c r="P152" s="824">
        <v>101057.54844546161</v>
      </c>
      <c r="Q152" s="824">
        <v>58073.179574883085</v>
      </c>
      <c r="R152" s="825">
        <v>41785.782506887765</v>
      </c>
      <c r="S152" s="824">
        <v>37891.760478893782</v>
      </c>
      <c r="T152" s="825">
        <v>33201.673182690909</v>
      </c>
      <c r="U152" s="824">
        <v>26127.218674416679</v>
      </c>
      <c r="V152" s="826">
        <v>24034.961360583209</v>
      </c>
    </row>
    <row r="153" spans="2:22" x14ac:dyDescent="0.3">
      <c r="B153" s="573" t="s">
        <v>323</v>
      </c>
      <c r="C153" s="580" t="s">
        <v>75</v>
      </c>
      <c r="D153" s="1034">
        <f t="shared" si="41"/>
        <v>0</v>
      </c>
      <c r="E153" s="1039">
        <f t="shared" si="41"/>
        <v>52875.368788685038</v>
      </c>
      <c r="F153" s="629">
        <f t="shared" si="41"/>
        <v>24858.78262632517</v>
      </c>
      <c r="G153" s="221">
        <f t="shared" si="41"/>
        <v>20744.29123066819</v>
      </c>
      <c r="H153" s="1040">
        <f t="shared" si="41"/>
        <v>24809.300701502645</v>
      </c>
      <c r="I153" s="221">
        <f t="shared" si="41"/>
        <v>26700.950034140846</v>
      </c>
      <c r="J153" s="1040">
        <f t="shared" si="41"/>
        <v>35923.568177799498</v>
      </c>
      <c r="K153" s="1041">
        <f t="shared" si="41"/>
        <v>36534.986926874088</v>
      </c>
      <c r="M153" s="573" t="s">
        <v>323</v>
      </c>
      <c r="N153" s="580" t="s">
        <v>75</v>
      </c>
      <c r="O153" s="1064">
        <v>128963.83279029057</v>
      </c>
      <c r="P153" s="827">
        <v>116445.66294816459</v>
      </c>
      <c r="Q153" s="800">
        <v>77039.384808287927</v>
      </c>
      <c r="R153" s="828">
        <v>63721.481199516747</v>
      </c>
      <c r="S153" s="829">
        <v>59645.994347025415</v>
      </c>
      <c r="T153" s="828">
        <v>56058.899141063885</v>
      </c>
      <c r="U153" s="829">
        <v>52587.162354135151</v>
      </c>
      <c r="V153" s="830">
        <v>51191.453017328102</v>
      </c>
    </row>
    <row r="154" spans="2:22" x14ac:dyDescent="0.3">
      <c r="B154" s="597" t="s">
        <v>648</v>
      </c>
      <c r="C154" s="591" t="s">
        <v>75</v>
      </c>
      <c r="D154" s="1038">
        <f t="shared" si="41"/>
        <v>0</v>
      </c>
      <c r="E154" s="1038">
        <f t="shared" si="41"/>
        <v>-3451.0637686749778</v>
      </c>
      <c r="F154" s="1038">
        <f t="shared" si="41"/>
        <v>-2792.1457120819505</v>
      </c>
      <c r="G154" s="1042">
        <f t="shared" si="41"/>
        <v>790.10586555197006</v>
      </c>
      <c r="H154" s="1038">
        <f t="shared" si="41"/>
        <v>690.97151355322421</v>
      </c>
      <c r="I154" s="1042">
        <f t="shared" si="41"/>
        <v>575.84217734289996</v>
      </c>
      <c r="J154" s="1038">
        <f t="shared" si="41"/>
        <v>-478.84815601801893</v>
      </c>
      <c r="K154" s="1043">
        <f t="shared" si="41"/>
        <v>1062.2101282629883</v>
      </c>
      <c r="M154" s="597" t="s">
        <v>648</v>
      </c>
      <c r="N154" s="591" t="s">
        <v>75</v>
      </c>
      <c r="O154" s="1072">
        <v>7118.4799066936312</v>
      </c>
      <c r="P154" s="831">
        <v>13549.831863383961</v>
      </c>
      <c r="Q154" s="831">
        <v>20613.124701414014</v>
      </c>
      <c r="R154" s="832">
        <v>24781.421878719557</v>
      </c>
      <c r="S154" s="831">
        <v>24984.259626935316</v>
      </c>
      <c r="T154" s="832">
        <v>23976.110142361256</v>
      </c>
      <c r="U154" s="831">
        <v>20568.7980899742</v>
      </c>
      <c r="V154" s="833">
        <v>19923.197627051846</v>
      </c>
    </row>
    <row r="155" spans="2:22" x14ac:dyDescent="0.3">
      <c r="B155" s="599" t="s">
        <v>649</v>
      </c>
      <c r="C155" s="574" t="s">
        <v>75</v>
      </c>
      <c r="D155" s="629">
        <f t="shared" si="41"/>
        <v>0</v>
      </c>
      <c r="E155" s="629">
        <f t="shared" si="41"/>
        <v>-3451.0637686749942</v>
      </c>
      <c r="F155" s="629">
        <f t="shared" si="41"/>
        <v>-2792.1457120819578</v>
      </c>
      <c r="G155" s="1044">
        <f t="shared" si="41"/>
        <v>790.10586555197733</v>
      </c>
      <c r="H155" s="629">
        <f t="shared" si="41"/>
        <v>690.97151355320239</v>
      </c>
      <c r="I155" s="1044">
        <f t="shared" si="41"/>
        <v>575.84217734289632</v>
      </c>
      <c r="J155" s="629">
        <f t="shared" si="41"/>
        <v>-478.8481560180262</v>
      </c>
      <c r="K155" s="1036">
        <f t="shared" si="41"/>
        <v>1062.2101282629828</v>
      </c>
      <c r="M155" s="599" t="s">
        <v>649</v>
      </c>
      <c r="N155" s="574" t="s">
        <v>75</v>
      </c>
      <c r="O155" s="1068">
        <v>7118.4799066936139</v>
      </c>
      <c r="P155" s="800">
        <v>10688.83986338395</v>
      </c>
      <c r="Q155" s="800">
        <v>17771.728701414002</v>
      </c>
      <c r="R155" s="834">
        <v>21953.088878719562</v>
      </c>
      <c r="S155" s="800">
        <v>22170.623626935303</v>
      </c>
      <c r="T155" s="834">
        <v>21177.170142361254</v>
      </c>
      <c r="U155" s="800">
        <v>17783.085089974196</v>
      </c>
      <c r="V155" s="835">
        <v>17150.711627051845</v>
      </c>
    </row>
    <row r="156" spans="2:22" x14ac:dyDescent="0.3">
      <c r="B156" s="593" t="s">
        <v>305</v>
      </c>
      <c r="C156" s="574" t="s">
        <v>306</v>
      </c>
      <c r="D156" s="629">
        <f t="shared" si="41"/>
        <v>0</v>
      </c>
      <c r="E156" s="629">
        <f t="shared" si="41"/>
        <v>0</v>
      </c>
      <c r="F156" s="629">
        <f t="shared" si="41"/>
        <v>0</v>
      </c>
      <c r="G156" s="1044">
        <f t="shared" si="41"/>
        <v>0</v>
      </c>
      <c r="H156" s="629">
        <f t="shared" si="41"/>
        <v>0</v>
      </c>
      <c r="I156" s="1044">
        <f t="shared" si="41"/>
        <v>0</v>
      </c>
      <c r="J156" s="629">
        <f t="shared" si="41"/>
        <v>0</v>
      </c>
      <c r="K156" s="629">
        <f t="shared" si="41"/>
        <v>0</v>
      </c>
      <c r="M156" s="593" t="s">
        <v>305</v>
      </c>
      <c r="N156" s="574" t="s">
        <v>306</v>
      </c>
      <c r="O156" s="1068">
        <v>0</v>
      </c>
      <c r="P156" s="800">
        <v>0</v>
      </c>
      <c r="Q156" s="800">
        <v>0</v>
      </c>
      <c r="R156" s="834">
        <v>0</v>
      </c>
      <c r="S156" s="800">
        <v>0</v>
      </c>
      <c r="T156" s="834">
        <v>0</v>
      </c>
      <c r="U156" s="800">
        <v>0</v>
      </c>
      <c r="V156" s="800">
        <v>0</v>
      </c>
    </row>
    <row r="157" spans="2:22" x14ac:dyDescent="0.3">
      <c r="B157" s="595" t="s">
        <v>709</v>
      </c>
      <c r="C157" s="606"/>
      <c r="D157" s="606"/>
      <c r="E157" s="613"/>
      <c r="F157" s="613"/>
      <c r="G157" s="596"/>
      <c r="H157" s="596"/>
      <c r="I157" s="610"/>
      <c r="J157" s="613"/>
      <c r="K157" s="596"/>
      <c r="M157" s="595" t="s">
        <v>709</v>
      </c>
      <c r="N157" s="606"/>
      <c r="O157" s="1077"/>
      <c r="P157" s="837"/>
      <c r="Q157" s="837"/>
      <c r="R157" s="838"/>
      <c r="S157" s="838"/>
      <c r="T157" s="839"/>
      <c r="U157" s="837"/>
      <c r="V157" s="838"/>
    </row>
    <row r="158" spans="2:22" x14ac:dyDescent="0.3">
      <c r="B158" s="598" t="s">
        <v>710</v>
      </c>
      <c r="C158" s="584" t="s">
        <v>296</v>
      </c>
      <c r="D158" s="574">
        <f t="shared" ref="D158:K160" si="42">O158-D14</f>
        <v>0</v>
      </c>
      <c r="E158" s="574">
        <f t="shared" si="42"/>
        <v>18.798372027462591</v>
      </c>
      <c r="F158" s="574">
        <f t="shared" si="42"/>
        <v>17.850922379154667</v>
      </c>
      <c r="G158" s="611">
        <f t="shared" si="42"/>
        <v>-3.6356927334673657</v>
      </c>
      <c r="H158" s="574">
        <f t="shared" si="42"/>
        <v>-0.52045908431293242</v>
      </c>
      <c r="I158" s="611">
        <f t="shared" si="42"/>
        <v>1.3707580283816299</v>
      </c>
      <c r="J158" s="574">
        <f t="shared" si="42"/>
        <v>18.399657701431806</v>
      </c>
      <c r="K158" s="574">
        <f t="shared" si="42"/>
        <v>26.857626794000481</v>
      </c>
      <c r="M158" s="598" t="s">
        <v>710</v>
      </c>
      <c r="N158" s="584" t="s">
        <v>296</v>
      </c>
      <c r="O158" s="1081">
        <v>31.649349088478541</v>
      </c>
      <c r="P158" s="799">
        <v>64.113182847535597</v>
      </c>
      <c r="Q158" s="799">
        <v>66.871011165651197</v>
      </c>
      <c r="R158" s="840">
        <v>79.506202092393394</v>
      </c>
      <c r="S158" s="799">
        <v>73.991080125118941</v>
      </c>
      <c r="T158" s="840">
        <v>133.14741689601647</v>
      </c>
      <c r="U158" s="799">
        <v>135.24228662333599</v>
      </c>
      <c r="V158" s="799">
        <v>142.00123665675179</v>
      </c>
    </row>
    <row r="159" spans="2:22" x14ac:dyDescent="0.3">
      <c r="B159" s="598" t="s">
        <v>666</v>
      </c>
      <c r="C159" s="584" t="s">
        <v>296</v>
      </c>
      <c r="D159" s="574">
        <f t="shared" si="42"/>
        <v>0</v>
      </c>
      <c r="E159" s="574">
        <f t="shared" si="42"/>
        <v>-45.303428725664695</v>
      </c>
      <c r="F159" s="574">
        <f t="shared" si="42"/>
        <v>-36.904989489833071</v>
      </c>
      <c r="G159" s="611">
        <f t="shared" si="42"/>
        <v>-13.880254257400793</v>
      </c>
      <c r="H159" s="574">
        <f t="shared" si="42"/>
        <v>-11.217606740917404</v>
      </c>
      <c r="I159" s="611">
        <f t="shared" si="42"/>
        <v>-10.464555721821966</v>
      </c>
      <c r="J159" s="574">
        <f t="shared" si="42"/>
        <v>7.3516373237524419</v>
      </c>
      <c r="K159" s="574">
        <f t="shared" si="42"/>
        <v>20.36172372097306</v>
      </c>
      <c r="M159" s="598" t="s">
        <v>666</v>
      </c>
      <c r="N159" s="584" t="s">
        <v>296</v>
      </c>
      <c r="O159" s="1081">
        <v>21.039960000000001</v>
      </c>
      <c r="P159" s="799">
        <v>53.830741113089751</v>
      </c>
      <c r="Q159" s="799">
        <v>71.00754117592669</v>
      </c>
      <c r="R159" s="840">
        <v>87.933876408358969</v>
      </c>
      <c r="S159" s="799">
        <v>83.078327824072787</v>
      </c>
      <c r="T159" s="840">
        <v>163.55241797738509</v>
      </c>
      <c r="U159" s="799">
        <v>169.12913274509199</v>
      </c>
      <c r="V159" s="799">
        <v>170.95385421902094</v>
      </c>
    </row>
    <row r="160" spans="2:22" x14ac:dyDescent="0.3">
      <c r="B160" s="598" t="s">
        <v>298</v>
      </c>
      <c r="C160" s="584" t="s">
        <v>296</v>
      </c>
      <c r="D160" s="574">
        <f t="shared" si="42"/>
        <v>0</v>
      </c>
      <c r="E160" s="574">
        <f t="shared" si="42"/>
        <v>374.71431108167207</v>
      </c>
      <c r="F160" s="574">
        <f t="shared" si="42"/>
        <v>303.97887868889364</v>
      </c>
      <c r="G160" s="574">
        <f t="shared" si="42"/>
        <v>280.71847607983671</v>
      </c>
      <c r="H160" s="574">
        <f t="shared" si="42"/>
        <v>284.77861052729611</v>
      </c>
      <c r="I160" s="574">
        <f t="shared" si="42"/>
        <v>189.82669920521596</v>
      </c>
      <c r="J160" s="574">
        <f t="shared" si="42"/>
        <v>134.06972530976782</v>
      </c>
      <c r="K160" s="574">
        <f t="shared" si="42"/>
        <v>122.29526591180479</v>
      </c>
      <c r="M160" s="598" t="s">
        <v>298</v>
      </c>
      <c r="N160" s="584" t="s">
        <v>296</v>
      </c>
      <c r="O160" s="1081">
        <v>580.6068678319632</v>
      </c>
      <c r="P160" s="799">
        <v>470.04830281256113</v>
      </c>
      <c r="Q160" s="799">
        <v>436.62812407323759</v>
      </c>
      <c r="R160" s="799">
        <v>321.92930649448954</v>
      </c>
      <c r="S160" s="799">
        <v>301.53308730345839</v>
      </c>
      <c r="T160" s="799">
        <v>402.03319470604322</v>
      </c>
      <c r="U160" s="799">
        <v>400.87471973654391</v>
      </c>
      <c r="V160" s="799">
        <v>360.48272818179731</v>
      </c>
    </row>
    <row r="161" spans="2:22" x14ac:dyDescent="0.3">
      <c r="B161" s="622" t="s">
        <v>420</v>
      </c>
      <c r="C161" s="606"/>
      <c r="D161" s="606"/>
      <c r="E161" s="613"/>
      <c r="F161" s="613"/>
      <c r="G161" s="596"/>
      <c r="H161" s="596"/>
      <c r="I161" s="610"/>
      <c r="J161" s="613"/>
      <c r="K161" s="596"/>
      <c r="M161" s="622" t="s">
        <v>420</v>
      </c>
      <c r="N161" s="606"/>
      <c r="O161" s="1077"/>
      <c r="P161" s="837"/>
      <c r="Q161" s="837"/>
      <c r="R161" s="838"/>
      <c r="S161" s="838"/>
      <c r="T161" s="839"/>
      <c r="U161" s="837"/>
      <c r="V161" s="838"/>
    </row>
    <row r="162" spans="2:22" x14ac:dyDescent="0.3">
      <c r="B162" s="597" t="s">
        <v>404</v>
      </c>
      <c r="C162" s="586" t="s">
        <v>296</v>
      </c>
      <c r="D162" s="586">
        <f t="shared" ref="D162:K168" si="43">O162-D18</f>
        <v>0</v>
      </c>
      <c r="E162" s="574">
        <f t="shared" si="43"/>
        <v>0</v>
      </c>
      <c r="F162" s="574">
        <f t="shared" si="43"/>
        <v>0</v>
      </c>
      <c r="G162" s="574">
        <f t="shared" si="43"/>
        <v>0</v>
      </c>
      <c r="H162" s="574">
        <f t="shared" si="43"/>
        <v>0</v>
      </c>
      <c r="I162" s="611">
        <f t="shared" si="43"/>
        <v>0</v>
      </c>
      <c r="J162" s="574">
        <f t="shared" si="43"/>
        <v>0</v>
      </c>
      <c r="K162" s="584">
        <f t="shared" si="43"/>
        <v>0</v>
      </c>
      <c r="M162" s="597" t="s">
        <v>404</v>
      </c>
      <c r="N162" s="586" t="s">
        <v>296</v>
      </c>
      <c r="O162" s="1083">
        <v>0</v>
      </c>
      <c r="P162" s="799">
        <v>5.522169483588633</v>
      </c>
      <c r="Q162" s="799">
        <v>12.823704689666901</v>
      </c>
      <c r="R162" s="799">
        <v>18.593163244406124</v>
      </c>
      <c r="S162" s="799">
        <v>24.403526758283057</v>
      </c>
      <c r="T162" s="840">
        <v>30.213890272160047</v>
      </c>
      <c r="U162" s="799">
        <v>36.876440434738932</v>
      </c>
      <c r="V162" s="842">
        <v>44.003819678427938</v>
      </c>
    </row>
    <row r="163" spans="2:22" x14ac:dyDescent="0.3">
      <c r="B163" s="598" t="s">
        <v>405</v>
      </c>
      <c r="C163" s="574" t="s">
        <v>296</v>
      </c>
      <c r="D163" s="574">
        <f t="shared" si="43"/>
        <v>0</v>
      </c>
      <c r="E163" s="586">
        <f t="shared" si="43"/>
        <v>-1.4291611025280426E-2</v>
      </c>
      <c r="F163" s="586">
        <f t="shared" si="43"/>
        <v>-1.7552796823834038E-2</v>
      </c>
      <c r="G163" s="584">
        <f t="shared" si="43"/>
        <v>-1.8489535753126063E-2</v>
      </c>
      <c r="H163" s="586">
        <f t="shared" si="43"/>
        <v>-1.0632182039500337E-2</v>
      </c>
      <c r="I163" s="219">
        <f t="shared" si="43"/>
        <v>0</v>
      </c>
      <c r="J163" s="586">
        <f t="shared" si="43"/>
        <v>0</v>
      </c>
      <c r="K163" s="614">
        <f t="shared" si="43"/>
        <v>0</v>
      </c>
      <c r="M163" s="598" t="s">
        <v>405</v>
      </c>
      <c r="N163" s="574" t="s">
        <v>296</v>
      </c>
      <c r="O163" s="1081">
        <v>0.96732016014967515</v>
      </c>
      <c r="P163" s="841">
        <v>1.1571915331397764</v>
      </c>
      <c r="Q163" s="841">
        <v>1.1447913810816985</v>
      </c>
      <c r="R163" s="842">
        <v>1.0664793536534865</v>
      </c>
      <c r="S163" s="841">
        <v>0.60099089404783346</v>
      </c>
      <c r="T163" s="843">
        <v>0.59289576238933572</v>
      </c>
      <c r="U163" s="841">
        <v>0</v>
      </c>
      <c r="V163" s="844">
        <v>0</v>
      </c>
    </row>
    <row r="164" spans="2:22" x14ac:dyDescent="0.3">
      <c r="B164" s="573" t="s">
        <v>406</v>
      </c>
      <c r="C164" s="574" t="s">
        <v>296</v>
      </c>
      <c r="D164" s="574">
        <f t="shared" si="43"/>
        <v>0</v>
      </c>
      <c r="E164" s="574">
        <f t="shared" si="43"/>
        <v>-148.63925555867115</v>
      </c>
      <c r="F164" s="574">
        <f t="shared" si="43"/>
        <v>-134.04332574700743</v>
      </c>
      <c r="G164" s="219">
        <f t="shared" si="43"/>
        <v>-57.492168946259767</v>
      </c>
      <c r="H164" s="591">
        <f t="shared" si="43"/>
        <v>-43.859671731574011</v>
      </c>
      <c r="I164" s="612">
        <f t="shared" si="43"/>
        <v>-38.541377049320701</v>
      </c>
      <c r="J164" s="591">
        <f t="shared" si="43"/>
        <v>-5.4595925515243415</v>
      </c>
      <c r="K164" s="592">
        <f t="shared" si="43"/>
        <v>-3.3379600400461911</v>
      </c>
      <c r="M164" s="573" t="s">
        <v>406</v>
      </c>
      <c r="N164" s="574" t="s">
        <v>296</v>
      </c>
      <c r="O164" s="1081">
        <v>0</v>
      </c>
      <c r="P164" s="799">
        <v>0</v>
      </c>
      <c r="Q164" s="799">
        <v>10.41309543556811</v>
      </c>
      <c r="R164" s="843">
        <v>56.833394827656306</v>
      </c>
      <c r="S164" s="845">
        <v>44.135969110004382</v>
      </c>
      <c r="T164" s="846">
        <v>33.657513630275929</v>
      </c>
      <c r="U164" s="845">
        <v>22.527988446532781</v>
      </c>
      <c r="V164" s="847">
        <v>17.588596982496544</v>
      </c>
    </row>
    <row r="165" spans="2:22" x14ac:dyDescent="0.3">
      <c r="B165" s="597" t="s">
        <v>407</v>
      </c>
      <c r="C165" s="574" t="s">
        <v>296</v>
      </c>
      <c r="D165" s="586">
        <f t="shared" si="43"/>
        <v>0</v>
      </c>
      <c r="E165" s="586">
        <f t="shared" si="43"/>
        <v>0</v>
      </c>
      <c r="F165" s="219">
        <f t="shared" si="43"/>
        <v>0</v>
      </c>
      <c r="G165" s="582">
        <f t="shared" si="43"/>
        <v>0</v>
      </c>
      <c r="H165" s="574">
        <f t="shared" si="43"/>
        <v>0</v>
      </c>
      <c r="I165" s="582">
        <f t="shared" si="43"/>
        <v>0</v>
      </c>
      <c r="J165" s="574">
        <f t="shared" si="43"/>
        <v>0</v>
      </c>
      <c r="K165" s="575">
        <f t="shared" si="43"/>
        <v>0</v>
      </c>
      <c r="M165" s="597" t="s">
        <v>407</v>
      </c>
      <c r="N165" s="574" t="s">
        <v>296</v>
      </c>
      <c r="O165" s="1083">
        <v>0</v>
      </c>
      <c r="P165" s="841">
        <v>0</v>
      </c>
      <c r="Q165" s="843">
        <v>0</v>
      </c>
      <c r="R165" s="848">
        <v>0</v>
      </c>
      <c r="S165" s="799">
        <v>0</v>
      </c>
      <c r="T165" s="848">
        <v>0</v>
      </c>
      <c r="U165" s="799">
        <v>0</v>
      </c>
      <c r="V165" s="849">
        <v>0</v>
      </c>
    </row>
    <row r="166" spans="2:22" x14ac:dyDescent="0.3">
      <c r="B166" s="573" t="s">
        <v>408</v>
      </c>
      <c r="C166" s="586" t="s">
        <v>296</v>
      </c>
      <c r="D166" s="591">
        <f t="shared" si="43"/>
        <v>0</v>
      </c>
      <c r="E166" s="591">
        <f t="shared" si="43"/>
        <v>2.3631320978443568</v>
      </c>
      <c r="F166" s="592">
        <f t="shared" si="43"/>
        <v>-9.5971011413158891E-2</v>
      </c>
      <c r="G166" s="582">
        <f>R166-G22</f>
        <v>-6.5322158986287349E-2</v>
      </c>
      <c r="H166" s="574">
        <f t="shared" si="43"/>
        <v>-0.47664178993024287</v>
      </c>
      <c r="I166" s="575">
        <f t="shared" si="43"/>
        <v>1.8571105608905181E-2</v>
      </c>
      <c r="J166" s="583">
        <f t="shared" si="43"/>
        <v>0</v>
      </c>
      <c r="K166" s="584">
        <f t="shared" si="43"/>
        <v>0</v>
      </c>
      <c r="M166" s="573" t="s">
        <v>408</v>
      </c>
      <c r="N166" s="586" t="s">
        <v>296</v>
      </c>
      <c r="O166" s="1087">
        <v>94.197991088552314</v>
      </c>
      <c r="P166" s="845">
        <v>37.706411479007151</v>
      </c>
      <c r="Q166" s="847">
        <v>12.778748417028853</v>
      </c>
      <c r="R166" s="848">
        <v>11.020511962691399</v>
      </c>
      <c r="S166" s="799">
        <v>7.313786648102699</v>
      </c>
      <c r="T166" s="849">
        <v>0.26924023788919804</v>
      </c>
      <c r="U166" s="850">
        <v>0</v>
      </c>
      <c r="V166" s="842">
        <v>0</v>
      </c>
    </row>
    <row r="167" spans="2:22" x14ac:dyDescent="0.3">
      <c r="B167" s="593" t="s">
        <v>409</v>
      </c>
      <c r="C167" s="574" t="s">
        <v>296</v>
      </c>
      <c r="D167" s="574">
        <f t="shared" si="43"/>
        <v>0</v>
      </c>
      <c r="E167" s="574">
        <f t="shared" si="43"/>
        <v>105.02764309936968</v>
      </c>
      <c r="F167" s="575">
        <f t="shared" si="43"/>
        <v>65.982839999999868</v>
      </c>
      <c r="G167" s="219">
        <f t="shared" si="43"/>
        <v>0.83329251677414939</v>
      </c>
      <c r="H167" s="586">
        <f t="shared" si="43"/>
        <v>0.92472657807308878</v>
      </c>
      <c r="I167" s="219">
        <f t="shared" si="43"/>
        <v>1.0709999999999973</v>
      </c>
      <c r="J167" s="582">
        <f t="shared" si="43"/>
        <v>0</v>
      </c>
      <c r="K167" s="574">
        <f t="shared" si="43"/>
        <v>0</v>
      </c>
      <c r="M167" s="593" t="s">
        <v>409</v>
      </c>
      <c r="N167" s="574" t="s">
        <v>296</v>
      </c>
      <c r="O167" s="1081">
        <v>172.08553810366237</v>
      </c>
      <c r="P167" s="799">
        <v>145.92479999999964</v>
      </c>
      <c r="Q167" s="849">
        <v>65.982839999999868</v>
      </c>
      <c r="R167" s="843">
        <v>0.87779999999999792</v>
      </c>
      <c r="S167" s="841">
        <v>0.97019999999999906</v>
      </c>
      <c r="T167" s="843">
        <v>1.0709999999999973</v>
      </c>
      <c r="U167" s="848">
        <v>0</v>
      </c>
      <c r="V167" s="799">
        <v>0</v>
      </c>
    </row>
    <row r="168" spans="2:22" x14ac:dyDescent="0.3">
      <c r="B168" s="593" t="s">
        <v>410</v>
      </c>
      <c r="C168" s="574" t="s">
        <v>296</v>
      </c>
      <c r="D168" s="574">
        <f t="shared" si="43"/>
        <v>0</v>
      </c>
      <c r="E168" s="574">
        <f t="shared" si="43"/>
        <v>-18.623722235384911</v>
      </c>
      <c r="F168" s="575">
        <f t="shared" si="43"/>
        <v>-15.898428081058611</v>
      </c>
      <c r="G168" s="582">
        <f t="shared" si="43"/>
        <v>4.7600599377475135</v>
      </c>
      <c r="H168" s="574">
        <f t="shared" si="43"/>
        <v>4.3644387186399882</v>
      </c>
      <c r="I168" s="575">
        <f t="shared" si="43"/>
        <v>3.7429442091751639</v>
      </c>
      <c r="J168" s="611">
        <f t="shared" si="43"/>
        <v>-3.2561414117912619</v>
      </c>
      <c r="K168" s="574">
        <f t="shared" si="43"/>
        <v>7.5416315776145666</v>
      </c>
      <c r="M168" s="593" t="s">
        <v>410</v>
      </c>
      <c r="N168" s="574" t="s">
        <v>296</v>
      </c>
      <c r="O168" s="1081">
        <v>33.288971558098083</v>
      </c>
      <c r="P168" s="799">
        <v>51.23574490465743</v>
      </c>
      <c r="Q168" s="849">
        <v>87.386786712019571</v>
      </c>
      <c r="R168" s="848">
        <v>112.00170644212393</v>
      </c>
      <c r="S168" s="799">
        <v>114.62854866151065</v>
      </c>
      <c r="T168" s="849">
        <v>106.79431070656187</v>
      </c>
      <c r="U168" s="840">
        <v>84.047570784995841</v>
      </c>
      <c r="V168" s="799">
        <v>77.765258721012955</v>
      </c>
    </row>
    <row r="169" spans="2:22" x14ac:dyDescent="0.3">
      <c r="B169" s="595" t="s">
        <v>45</v>
      </c>
      <c r="C169" s="596"/>
      <c r="D169" s="606"/>
      <c r="E169" s="606"/>
      <c r="F169" s="607"/>
      <c r="G169" s="608"/>
      <c r="H169" s="606"/>
      <c r="I169" s="609"/>
      <c r="J169" s="610"/>
      <c r="K169" s="606"/>
      <c r="M169" s="595" t="s">
        <v>45</v>
      </c>
      <c r="N169" s="596"/>
      <c r="O169" s="1077"/>
      <c r="P169" s="836"/>
      <c r="Q169" s="851"/>
      <c r="R169" s="852"/>
      <c r="S169" s="836"/>
      <c r="T169" s="853"/>
      <c r="U169" s="839"/>
      <c r="V169" s="836"/>
    </row>
    <row r="170" spans="2:22" x14ac:dyDescent="0.3">
      <c r="B170" s="594" t="s">
        <v>411</v>
      </c>
      <c r="C170" s="583" t="s">
        <v>296</v>
      </c>
      <c r="D170" s="584">
        <f t="shared" ref="D170:K170" si="44">O170-D26</f>
        <v>0</v>
      </c>
      <c r="E170" s="584">
        <f t="shared" si="44"/>
        <v>10.435348473954924</v>
      </c>
      <c r="F170" s="587">
        <f t="shared" si="44"/>
        <v>20.882258106635859</v>
      </c>
      <c r="G170" s="574">
        <f t="shared" si="44"/>
        <v>73.105600744904876</v>
      </c>
      <c r="H170" s="587">
        <f t="shared" si="44"/>
        <v>10.500812006450129</v>
      </c>
      <c r="I170" s="574">
        <f>T170-I26</f>
        <v>0.88211359314919946</v>
      </c>
      <c r="J170" s="575">
        <f t="shared" si="44"/>
        <v>-65.360865723759076</v>
      </c>
      <c r="K170" s="589">
        <f t="shared" si="44"/>
        <v>77.93572693685914</v>
      </c>
      <c r="M170" s="594" t="s">
        <v>411</v>
      </c>
      <c r="N170" s="583" t="s">
        <v>296</v>
      </c>
      <c r="O170" s="1084"/>
      <c r="P170" s="842">
        <v>66.679340783091206</v>
      </c>
      <c r="Q170" s="854">
        <v>99.831291567823797</v>
      </c>
      <c r="R170" s="799">
        <v>73.105600744904876</v>
      </c>
      <c r="S170" s="854">
        <v>37.186569613656715</v>
      </c>
      <c r="T170" s="799">
        <v>439.10618787201804</v>
      </c>
      <c r="U170" s="849">
        <v>34.392690677929643</v>
      </c>
      <c r="V170" s="855">
        <v>105.64842732040265</v>
      </c>
    </row>
    <row r="171" spans="2:22" x14ac:dyDescent="0.3">
      <c r="B171" s="595" t="s">
        <v>711</v>
      </c>
      <c r="C171" s="596"/>
      <c r="D171" s="606"/>
      <c r="E171" s="606"/>
      <c r="F171" s="607"/>
      <c r="G171" s="607"/>
      <c r="H171" s="606"/>
      <c r="I171" s="606"/>
      <c r="J171" s="606"/>
      <c r="K171" s="606"/>
      <c r="M171" s="595" t="s">
        <v>711</v>
      </c>
      <c r="N171" s="596"/>
      <c r="O171" s="1077"/>
      <c r="P171" s="836"/>
      <c r="Q171" s="851"/>
      <c r="R171" s="851"/>
      <c r="S171" s="836"/>
      <c r="T171" s="836"/>
      <c r="U171" s="836"/>
      <c r="V171" s="836"/>
    </row>
    <row r="172" spans="2:22" x14ac:dyDescent="0.3">
      <c r="B172" s="594" t="s">
        <v>711</v>
      </c>
      <c r="C172" s="583" t="s">
        <v>296</v>
      </c>
      <c r="D172" s="584">
        <f>O172-D28</f>
        <v>0</v>
      </c>
      <c r="E172" s="584">
        <f t="shared" ref="E172:K172" si="45">P172-E28</f>
        <v>0</v>
      </c>
      <c r="F172" s="584">
        <f t="shared" si="45"/>
        <v>0</v>
      </c>
      <c r="G172" s="584">
        <f t="shared" si="45"/>
        <v>0</v>
      </c>
      <c r="H172" s="584">
        <f t="shared" si="45"/>
        <v>0</v>
      </c>
      <c r="I172" s="584">
        <f t="shared" si="45"/>
        <v>0</v>
      </c>
      <c r="J172" s="584">
        <f t="shared" si="45"/>
        <v>0</v>
      </c>
      <c r="K172" s="584">
        <f t="shared" si="45"/>
        <v>0</v>
      </c>
      <c r="M172" s="594" t="s">
        <v>711</v>
      </c>
      <c r="N172" s="583" t="s">
        <v>296</v>
      </c>
      <c r="O172" s="1084">
        <v>0</v>
      </c>
      <c r="P172" s="842">
        <v>0</v>
      </c>
      <c r="Q172" s="842">
        <v>0</v>
      </c>
      <c r="R172" s="842">
        <v>0</v>
      </c>
      <c r="S172" s="842">
        <v>0</v>
      </c>
      <c r="T172" s="842">
        <v>0</v>
      </c>
      <c r="U172" s="842">
        <v>0</v>
      </c>
      <c r="V172" s="842">
        <v>0</v>
      </c>
    </row>
    <row r="173" spans="2:22" x14ac:dyDescent="0.3">
      <c r="B173" s="595" t="s">
        <v>712</v>
      </c>
      <c r="C173" s="596"/>
      <c r="D173" s="606"/>
      <c r="E173" s="606"/>
      <c r="F173" s="607"/>
      <c r="G173" s="608"/>
      <c r="H173" s="606"/>
      <c r="I173" s="609"/>
      <c r="J173" s="610"/>
      <c r="K173" s="606"/>
      <c r="M173" s="595" t="s">
        <v>712</v>
      </c>
      <c r="N173" s="596"/>
      <c r="O173" s="1077"/>
      <c r="P173" s="836"/>
      <c r="Q173" s="851"/>
      <c r="R173" s="852"/>
      <c r="S173" s="836"/>
      <c r="T173" s="853"/>
      <c r="U173" s="839"/>
      <c r="V173" s="836"/>
    </row>
    <row r="174" spans="2:22" x14ac:dyDescent="0.3">
      <c r="B174" s="597" t="s">
        <v>634</v>
      </c>
      <c r="C174" s="582" t="s">
        <v>75</v>
      </c>
      <c r="D174" s="577">
        <f t="shared" ref="D174:K175" si="46">O174-D30</f>
        <v>0</v>
      </c>
      <c r="E174" s="577">
        <f t="shared" si="46"/>
        <v>7516.3041733455111</v>
      </c>
      <c r="F174" s="577">
        <f t="shared" si="46"/>
        <v>15656.524155986344</v>
      </c>
      <c r="G174" s="577">
        <f t="shared" si="46"/>
        <v>20842.519966342341</v>
      </c>
      <c r="H174" s="577">
        <f t="shared" si="46"/>
        <v>20563.284662389702</v>
      </c>
      <c r="I174" s="577">
        <f t="shared" si="46"/>
        <v>11070.019587217004</v>
      </c>
      <c r="J174" s="577">
        <f t="shared" si="46"/>
        <v>11566.931756950045</v>
      </c>
      <c r="K174" s="577">
        <f t="shared" si="46"/>
        <v>11754.96801226067</v>
      </c>
      <c r="M174" s="597" t="s">
        <v>634</v>
      </c>
      <c r="N174" s="582" t="s">
        <v>75</v>
      </c>
      <c r="O174" s="1098">
        <v>13157.170940781345</v>
      </c>
      <c r="P174" s="800">
        <v>5498.6303420263093</v>
      </c>
      <c r="Q174" s="800">
        <v>11169.678063821875</v>
      </c>
      <c r="R174" s="800">
        <v>10817.450632903427</v>
      </c>
      <c r="S174" s="800">
        <v>3675.3393122271177</v>
      </c>
      <c r="T174" s="800">
        <v>5770.924861070429</v>
      </c>
      <c r="U174" s="800">
        <v>1855.9578402242423</v>
      </c>
      <c r="V174" s="800">
        <v>-2263.1754301238279</v>
      </c>
    </row>
    <row r="175" spans="2:22" x14ac:dyDescent="0.3">
      <c r="B175" s="594" t="s">
        <v>634</v>
      </c>
      <c r="C175" s="574" t="s">
        <v>296</v>
      </c>
      <c r="D175" s="574">
        <f t="shared" si="46"/>
        <v>0</v>
      </c>
      <c r="E175" s="574">
        <f t="shared" si="46"/>
        <v>131.06574635926302</v>
      </c>
      <c r="F175" s="575">
        <f t="shared" si="46"/>
        <v>294.67314502365525</v>
      </c>
      <c r="G175" s="582">
        <f t="shared" si="46"/>
        <v>384.48911752147717</v>
      </c>
      <c r="H175" s="582">
        <f t="shared" si="46"/>
        <v>397.38196262140923</v>
      </c>
      <c r="I175" s="582">
        <f t="shared" si="46"/>
        <v>222.558158468952</v>
      </c>
      <c r="J175" s="582">
        <f t="shared" si="46"/>
        <v>235.56758574311556</v>
      </c>
      <c r="K175" s="574">
        <f t="shared" si="46"/>
        <v>226.27517876538582</v>
      </c>
      <c r="M175" s="594" t="s">
        <v>634</v>
      </c>
      <c r="N175" s="574" t="s">
        <v>296</v>
      </c>
      <c r="O175" s="1098">
        <v>288.38408027760482</v>
      </c>
      <c r="P175" s="799">
        <v>94.952168333193612</v>
      </c>
      <c r="Q175" s="849">
        <v>210.11250471573808</v>
      </c>
      <c r="R175" s="848">
        <v>199.54961756291385</v>
      </c>
      <c r="S175" s="848">
        <v>70.48491339778721</v>
      </c>
      <c r="T175" s="848">
        <v>114.8197886258768</v>
      </c>
      <c r="U175" s="848">
        <v>37.156381895443317</v>
      </c>
      <c r="V175" s="799">
        <v>-43.743776329484191</v>
      </c>
    </row>
    <row r="176" spans="2:22" x14ac:dyDescent="0.3">
      <c r="B176" s="595" t="s">
        <v>713</v>
      </c>
      <c r="C176" s="596"/>
      <c r="D176" s="606"/>
      <c r="E176" s="606"/>
      <c r="F176" s="607"/>
      <c r="G176" s="608"/>
      <c r="H176" s="606"/>
      <c r="I176" s="609"/>
      <c r="J176" s="610"/>
      <c r="K176" s="606"/>
      <c r="M176" s="595" t="s">
        <v>713</v>
      </c>
      <c r="N176" s="596"/>
      <c r="O176" s="1101"/>
      <c r="P176" s="836"/>
      <c r="Q176" s="851"/>
      <c r="R176" s="852"/>
      <c r="S176" s="836"/>
      <c r="T176" s="853"/>
      <c r="U176" s="839"/>
      <c r="V176" s="836"/>
    </row>
    <row r="177" spans="2:22" x14ac:dyDescent="0.3">
      <c r="B177" s="597" t="s">
        <v>787</v>
      </c>
      <c r="C177" s="582" t="s">
        <v>412</v>
      </c>
      <c r="D177" s="577">
        <f t="shared" ref="D177:K183" si="47">O177-D33</f>
        <v>0</v>
      </c>
      <c r="E177" s="577">
        <f t="shared" si="47"/>
        <v>4806.5973344556769</v>
      </c>
      <c r="F177" s="577">
        <f t="shared" si="47"/>
        <v>1325.6536103238805</v>
      </c>
      <c r="G177" s="577">
        <f t="shared" si="47"/>
        <v>635.58322267300355</v>
      </c>
      <c r="H177" s="577">
        <f t="shared" si="47"/>
        <v>1007.9993600399503</v>
      </c>
      <c r="I177" s="577">
        <f t="shared" si="47"/>
        <v>1164.0085239839236</v>
      </c>
      <c r="J177" s="577">
        <f t="shared" si="47"/>
        <v>1933.2498588093194</v>
      </c>
      <c r="K177" s="577">
        <f t="shared" si="47"/>
        <v>2138.0673912592756</v>
      </c>
      <c r="M177" s="597" t="s">
        <v>787</v>
      </c>
      <c r="N177" s="582" t="s">
        <v>412</v>
      </c>
      <c r="O177" s="1098">
        <v>13777.672069342803</v>
      </c>
      <c r="P177" s="824">
        <v>12003.837068317218</v>
      </c>
      <c r="Q177" s="834">
        <v>8068.6248353185665</v>
      </c>
      <c r="R177" s="800">
        <v>6563.7714051631037</v>
      </c>
      <c r="S177" s="834">
        <v>6210.761484055507</v>
      </c>
      <c r="T177" s="800">
        <v>5788.9687720537277</v>
      </c>
      <c r="U177" s="800">
        <v>5113.5232549676239</v>
      </c>
      <c r="V177" s="800">
        <v>4913.9417886347346</v>
      </c>
    </row>
    <row r="178" spans="2:22" x14ac:dyDescent="0.3">
      <c r="B178" s="597" t="s">
        <v>714</v>
      </c>
      <c r="C178" s="582" t="s">
        <v>412</v>
      </c>
      <c r="D178" s="572">
        <f t="shared" si="47"/>
        <v>0</v>
      </c>
      <c r="E178" s="572">
        <f t="shared" si="47"/>
        <v>0</v>
      </c>
      <c r="F178" s="585">
        <f t="shared" si="47"/>
        <v>0</v>
      </c>
      <c r="G178" s="577">
        <f t="shared" si="47"/>
        <v>0</v>
      </c>
      <c r="H178" s="577">
        <f t="shared" si="47"/>
        <v>0</v>
      </c>
      <c r="I178" s="577">
        <f t="shared" si="47"/>
        <v>0</v>
      </c>
      <c r="J178" s="577">
        <f t="shared" si="47"/>
        <v>0</v>
      </c>
      <c r="K178" s="577">
        <f t="shared" si="47"/>
        <v>0</v>
      </c>
      <c r="M178" s="597" t="s">
        <v>714</v>
      </c>
      <c r="N178" s="582" t="s">
        <v>412</v>
      </c>
      <c r="O178" s="1098">
        <v>16000</v>
      </c>
      <c r="P178" s="800">
        <v>14666</v>
      </c>
      <c r="Q178" s="800">
        <v>12000</v>
      </c>
      <c r="R178" s="800">
        <v>10583</v>
      </c>
      <c r="S178" s="800">
        <v>10583</v>
      </c>
      <c r="T178" s="800">
        <v>10583</v>
      </c>
      <c r="U178" s="800">
        <v>10583</v>
      </c>
      <c r="V178" s="800">
        <v>10583</v>
      </c>
    </row>
    <row r="179" spans="2:22" x14ac:dyDescent="0.3">
      <c r="B179" s="573" t="s">
        <v>308</v>
      </c>
      <c r="C179" s="580" t="s">
        <v>412</v>
      </c>
      <c r="D179" s="581">
        <f t="shared" si="47"/>
        <v>0</v>
      </c>
      <c r="E179" s="572">
        <f t="shared" si="47"/>
        <v>5137.7245002705486</v>
      </c>
      <c r="F179" s="585">
        <f t="shared" si="47"/>
        <v>1593.5168027207555</v>
      </c>
      <c r="G179" s="577">
        <f t="shared" si="47"/>
        <v>559.63832012134844</v>
      </c>
      <c r="H179" s="585">
        <f t="shared" si="47"/>
        <v>941.62046359966826</v>
      </c>
      <c r="I179" s="577">
        <f t="shared" si="47"/>
        <v>1108.7436705750429</v>
      </c>
      <c r="J179" s="577">
        <f t="shared" si="47"/>
        <v>1979.2059804493827</v>
      </c>
      <c r="K179" s="577">
        <f t="shared" si="47"/>
        <v>2036.1247247829256</v>
      </c>
      <c r="M179" s="573" t="s">
        <v>308</v>
      </c>
      <c r="N179" s="580" t="s">
        <v>412</v>
      </c>
      <c r="O179" s="1107">
        <v>13111</v>
      </c>
      <c r="P179" s="824">
        <v>10984.409520419676</v>
      </c>
      <c r="Q179" s="834">
        <v>6369.8960423473964</v>
      </c>
      <c r="R179" s="800">
        <v>4463.6151964820301</v>
      </c>
      <c r="S179" s="834">
        <v>4086.6617293982326</v>
      </c>
      <c r="T179" s="800">
        <v>3760.103351236809</v>
      </c>
      <c r="U179" s="800">
        <v>3406.8410609159337</v>
      </c>
      <c r="V179" s="800">
        <v>3267.9498810940645</v>
      </c>
    </row>
    <row r="180" spans="2:22" x14ac:dyDescent="0.3">
      <c r="B180" s="597" t="s">
        <v>715</v>
      </c>
      <c r="C180" s="582" t="s">
        <v>412</v>
      </c>
      <c r="D180" s="577">
        <f t="shared" si="47"/>
        <v>0</v>
      </c>
      <c r="E180" s="578">
        <f t="shared" si="47"/>
        <v>-5137.7245002705477</v>
      </c>
      <c r="F180" s="579">
        <f t="shared" si="47"/>
        <v>-1593.5168027207555</v>
      </c>
      <c r="G180" s="572">
        <f t="shared" si="47"/>
        <v>-559.63832012134844</v>
      </c>
      <c r="H180" s="588">
        <f t="shared" si="47"/>
        <v>-941.62046359966826</v>
      </c>
      <c r="I180" s="572">
        <f t="shared" si="47"/>
        <v>-1108.7436705750424</v>
      </c>
      <c r="J180" s="576">
        <f t="shared" si="47"/>
        <v>-1979.2059804493829</v>
      </c>
      <c r="K180" s="577">
        <f t="shared" si="47"/>
        <v>-2036.1247247829251</v>
      </c>
      <c r="M180" s="597" t="s">
        <v>715</v>
      </c>
      <c r="N180" s="582" t="s">
        <v>412</v>
      </c>
      <c r="O180" s="1098">
        <v>2889</v>
      </c>
      <c r="P180" s="835">
        <v>3681.5904795803235</v>
      </c>
      <c r="Q180" s="856">
        <v>5630.1039576526036</v>
      </c>
      <c r="R180" s="824">
        <v>6119.3848035179699</v>
      </c>
      <c r="S180" s="825">
        <v>6496.3382706017674</v>
      </c>
      <c r="T180" s="824">
        <v>6822.8966487631915</v>
      </c>
      <c r="U180" s="826">
        <v>7176.1589390840663</v>
      </c>
      <c r="V180" s="800">
        <v>7315.050118905936</v>
      </c>
    </row>
    <row r="181" spans="2:22" x14ac:dyDescent="0.3">
      <c r="B181" s="597" t="s">
        <v>308</v>
      </c>
      <c r="C181" s="582" t="s">
        <v>296</v>
      </c>
      <c r="D181" s="574">
        <f t="shared" si="47"/>
        <v>0</v>
      </c>
      <c r="E181" s="575">
        <f t="shared" si="47"/>
        <v>77.065867504058247</v>
      </c>
      <c r="F181" s="583">
        <f t="shared" si="47"/>
        <v>33.224825336727747</v>
      </c>
      <c r="G181" s="584">
        <f t="shared" si="47"/>
        <v>13.851048423003377</v>
      </c>
      <c r="H181" s="587">
        <f t="shared" si="47"/>
        <v>28.248613907990048</v>
      </c>
      <c r="I181" s="584">
        <f t="shared" si="47"/>
        <v>38.806028470126506</v>
      </c>
      <c r="J181" s="589">
        <f t="shared" si="47"/>
        <v>79.168239217975298</v>
      </c>
      <c r="K181" s="574">
        <f t="shared" si="47"/>
        <v>91.625612615231631</v>
      </c>
      <c r="M181" s="597" t="s">
        <v>308</v>
      </c>
      <c r="N181" s="582" t="s">
        <v>296</v>
      </c>
      <c r="O181" s="1098">
        <v>94.399673057917241</v>
      </c>
      <c r="P181" s="849">
        <v>164.76614280629516</v>
      </c>
      <c r="Q181" s="850">
        <v>132.81233248294322</v>
      </c>
      <c r="R181" s="842">
        <v>110.47447611293025</v>
      </c>
      <c r="S181" s="854">
        <v>122.59985188194698</v>
      </c>
      <c r="T181" s="842">
        <v>131.60361729328832</v>
      </c>
      <c r="U181" s="855">
        <v>136.27364243663735</v>
      </c>
      <c r="V181" s="799">
        <v>147.05774464923289</v>
      </c>
    </row>
    <row r="182" spans="2:22" x14ac:dyDescent="0.3">
      <c r="B182" s="597" t="s">
        <v>716</v>
      </c>
      <c r="C182" s="582" t="s">
        <v>296</v>
      </c>
      <c r="D182" s="574">
        <f t="shared" si="47"/>
        <v>0</v>
      </c>
      <c r="E182" s="574">
        <f t="shared" si="47"/>
        <v>0</v>
      </c>
      <c r="F182" s="574">
        <f t="shared" si="47"/>
        <v>0</v>
      </c>
      <c r="G182" s="574">
        <f t="shared" si="47"/>
        <v>0</v>
      </c>
      <c r="H182" s="574">
        <f t="shared" si="47"/>
        <v>0</v>
      </c>
      <c r="I182" s="574">
        <f t="shared" si="47"/>
        <v>0</v>
      </c>
      <c r="J182" s="574">
        <f t="shared" si="47"/>
        <v>0</v>
      </c>
      <c r="K182" s="574">
        <f t="shared" si="47"/>
        <v>0</v>
      </c>
      <c r="M182" s="597" t="s">
        <v>716</v>
      </c>
      <c r="N182" s="582" t="s">
        <v>296</v>
      </c>
      <c r="O182" s="1098">
        <v>0</v>
      </c>
      <c r="P182" s="1098">
        <v>0</v>
      </c>
      <c r="Q182" s="1098">
        <v>0</v>
      </c>
      <c r="R182" s="1098">
        <v>0</v>
      </c>
      <c r="S182" s="1098">
        <v>0</v>
      </c>
      <c r="T182" s="1098">
        <v>0</v>
      </c>
      <c r="U182" s="1098">
        <v>0</v>
      </c>
      <c r="V182" s="1098">
        <v>0</v>
      </c>
    </row>
    <row r="183" spans="2:22" x14ac:dyDescent="0.3">
      <c r="B183" s="597" t="s">
        <v>717</v>
      </c>
      <c r="C183" s="582" t="s">
        <v>296</v>
      </c>
      <c r="D183" s="574">
        <f t="shared" si="47"/>
        <v>0</v>
      </c>
      <c r="E183" s="574">
        <f t="shared" si="47"/>
        <v>77.065867504058247</v>
      </c>
      <c r="F183" s="574">
        <f t="shared" si="47"/>
        <v>33.224825336727747</v>
      </c>
      <c r="G183" s="574">
        <f t="shared" si="47"/>
        <v>13.851048423003377</v>
      </c>
      <c r="H183" s="574">
        <f t="shared" si="47"/>
        <v>28.248613907990048</v>
      </c>
      <c r="I183" s="574">
        <f t="shared" si="47"/>
        <v>38.806028470126506</v>
      </c>
      <c r="J183" s="574">
        <f t="shared" si="47"/>
        <v>79.168239217975298</v>
      </c>
      <c r="K183" s="574">
        <f t="shared" si="47"/>
        <v>91.625612615231631</v>
      </c>
      <c r="M183" s="597" t="s">
        <v>717</v>
      </c>
      <c r="N183" s="582" t="s">
        <v>296</v>
      </c>
      <c r="O183" s="1098">
        <v>94.399673057917241</v>
      </c>
      <c r="P183" s="1098">
        <v>164.76614280629516</v>
      </c>
      <c r="Q183" s="1098">
        <v>132.81233248294322</v>
      </c>
      <c r="R183" s="1098">
        <v>110.47447611293025</v>
      </c>
      <c r="S183" s="1098">
        <v>122.59985188194698</v>
      </c>
      <c r="T183" s="1098">
        <v>131.60361729328832</v>
      </c>
      <c r="U183" s="1098">
        <v>136.27364243663735</v>
      </c>
      <c r="V183" s="1098">
        <v>147.05774464923289</v>
      </c>
    </row>
    <row r="186" spans="2:22" x14ac:dyDescent="0.3">
      <c r="B186" s="179" t="s">
        <v>418</v>
      </c>
      <c r="C186" s="180"/>
      <c r="D186" s="180"/>
      <c r="E186" s="180"/>
      <c r="F186" s="180"/>
      <c r="G186" s="180"/>
      <c r="H186" s="180"/>
      <c r="I186" s="180"/>
      <c r="J186" s="180"/>
      <c r="K186" s="180"/>
    </row>
    <row r="187" spans="2:22" x14ac:dyDescent="0.3">
      <c r="B187" s="809"/>
      <c r="C187" s="809" t="s">
        <v>318</v>
      </c>
      <c r="D187" s="857">
        <v>2012</v>
      </c>
      <c r="E187" s="809">
        <v>2020</v>
      </c>
      <c r="F187" s="857">
        <v>2026</v>
      </c>
      <c r="G187" s="809">
        <v>2030</v>
      </c>
      <c r="H187" s="809">
        <v>2035</v>
      </c>
      <c r="I187" s="809">
        <v>2040</v>
      </c>
      <c r="J187" s="809">
        <v>2045</v>
      </c>
      <c r="K187" s="809">
        <v>2050</v>
      </c>
    </row>
    <row r="188" spans="2:22" x14ac:dyDescent="0.3">
      <c r="B188" s="809"/>
      <c r="C188" s="816">
        <v>1</v>
      </c>
      <c r="D188" s="817">
        <v>2</v>
      </c>
      <c r="E188" s="816">
        <v>3</v>
      </c>
      <c r="F188" s="817">
        <v>4</v>
      </c>
      <c r="G188" s="816">
        <v>5</v>
      </c>
      <c r="H188" s="817">
        <v>6</v>
      </c>
      <c r="I188" s="816">
        <v>7</v>
      </c>
      <c r="J188" s="817">
        <v>8</v>
      </c>
      <c r="K188" s="816">
        <v>9</v>
      </c>
    </row>
    <row r="189" spans="2:22" x14ac:dyDescent="0.3">
      <c r="B189" s="818" t="s">
        <v>231</v>
      </c>
      <c r="C189" s="809">
        <v>1</v>
      </c>
      <c r="D189" s="802">
        <f t="shared" ref="D189:K189" si="48">SUMPRODUCT($O8:$O39,D$44:D$75)</f>
        <v>0</v>
      </c>
      <c r="E189" s="802">
        <f t="shared" si="48"/>
        <v>0</v>
      </c>
      <c r="F189" s="802">
        <f t="shared" si="48"/>
        <v>0</v>
      </c>
      <c r="G189" s="802">
        <f t="shared" si="48"/>
        <v>-7.3485200931489025E-4</v>
      </c>
      <c r="H189" s="802">
        <f t="shared" si="48"/>
        <v>0</v>
      </c>
      <c r="I189" s="802">
        <f t="shared" si="48"/>
        <v>0</v>
      </c>
      <c r="J189" s="802">
        <f t="shared" si="48"/>
        <v>0</v>
      </c>
      <c r="K189" s="802">
        <f t="shared" si="48"/>
        <v>0</v>
      </c>
    </row>
    <row r="190" spans="2:22" x14ac:dyDescent="0.3">
      <c r="B190" s="818" t="s">
        <v>209</v>
      </c>
      <c r="C190" s="809">
        <v>2</v>
      </c>
      <c r="D190" s="802">
        <f t="shared" ref="D190:K190" si="49">SUMPRODUCT($P8:$P39,D$44:D$75)</f>
        <v>0</v>
      </c>
      <c r="E190" s="802">
        <f t="shared" si="49"/>
        <v>0</v>
      </c>
      <c r="F190" s="802">
        <f t="shared" si="49"/>
        <v>0</v>
      </c>
      <c r="G190" s="802">
        <f t="shared" si="49"/>
        <v>1.0454699461206474E-2</v>
      </c>
      <c r="H190" s="802">
        <f t="shared" si="49"/>
        <v>0.24687515092919909</v>
      </c>
      <c r="I190" s="802">
        <f t="shared" si="49"/>
        <v>3.2072333695168709E-2</v>
      </c>
      <c r="J190" s="802">
        <f t="shared" si="49"/>
        <v>-10.635892950454902</v>
      </c>
      <c r="K190" s="802">
        <f t="shared" si="49"/>
        <v>-2.0997760997041723</v>
      </c>
    </row>
    <row r="191" spans="2:22" x14ac:dyDescent="0.3">
      <c r="B191" s="818" t="s">
        <v>417</v>
      </c>
      <c r="C191" s="809">
        <v>4</v>
      </c>
      <c r="D191" s="802">
        <f t="shared" ref="D191:K191" si="50">SUMPRODUCT($Q8:$Q39,D$44:D$75)</f>
        <v>0</v>
      </c>
      <c r="E191" s="802">
        <f t="shared" si="50"/>
        <v>-1.5631940186722204E-13</v>
      </c>
      <c r="F191" s="802">
        <f t="shared" si="50"/>
        <v>0</v>
      </c>
      <c r="G191" s="802">
        <f t="shared" si="50"/>
        <v>0</v>
      </c>
      <c r="H191" s="802">
        <f t="shared" si="50"/>
        <v>0</v>
      </c>
      <c r="I191" s="802">
        <f t="shared" si="50"/>
        <v>0</v>
      </c>
      <c r="J191" s="802">
        <f t="shared" si="50"/>
        <v>0</v>
      </c>
      <c r="K191" s="802">
        <f t="shared" si="50"/>
        <v>0</v>
      </c>
    </row>
    <row r="192" spans="2:22" x14ac:dyDescent="0.3">
      <c r="B192" s="818" t="s">
        <v>124</v>
      </c>
      <c r="C192" s="809">
        <v>10</v>
      </c>
      <c r="D192" s="802">
        <f t="shared" ref="D192:K192" si="51">SUMPRODUCT($R8:$R39,D$44:D$75)</f>
        <v>0</v>
      </c>
      <c r="E192" s="802">
        <f t="shared" si="51"/>
        <v>0</v>
      </c>
      <c r="F192" s="802">
        <f t="shared" si="51"/>
        <v>0</v>
      </c>
      <c r="G192" s="802">
        <f t="shared" si="51"/>
        <v>0</v>
      </c>
      <c r="H192" s="802">
        <f t="shared" si="51"/>
        <v>0</v>
      </c>
      <c r="I192" s="802">
        <f t="shared" si="51"/>
        <v>0</v>
      </c>
      <c r="J192" s="802">
        <f t="shared" si="51"/>
        <v>0</v>
      </c>
      <c r="K192" s="802">
        <f t="shared" si="51"/>
        <v>0</v>
      </c>
    </row>
    <row r="193" spans="2:11" x14ac:dyDescent="0.3">
      <c r="B193" s="818" t="s">
        <v>133</v>
      </c>
      <c r="C193" s="809">
        <v>23</v>
      </c>
      <c r="D193" s="802">
        <f t="shared" ref="D193:K193" si="52">SUMPRODUCT($S8:$S39,D$44:D$75)</f>
        <v>0</v>
      </c>
      <c r="E193" s="802">
        <f t="shared" si="52"/>
        <v>0</v>
      </c>
      <c r="F193" s="802">
        <f t="shared" si="52"/>
        <v>0</v>
      </c>
      <c r="G193" s="802">
        <f t="shared" si="52"/>
        <v>4.5709631236334758E-3</v>
      </c>
      <c r="H193" s="802">
        <f t="shared" si="52"/>
        <v>-0.17389154135335971</v>
      </c>
      <c r="I193" s="802">
        <f t="shared" si="52"/>
        <v>-5.8140057106633947E-2</v>
      </c>
      <c r="J193" s="802">
        <f t="shared" si="52"/>
        <v>3.7013936091311805</v>
      </c>
      <c r="K193" s="802">
        <f t="shared" si="52"/>
        <v>5.1263362353475515</v>
      </c>
    </row>
    <row r="194" spans="2:11" x14ac:dyDescent="0.3">
      <c r="B194" s="818" t="s">
        <v>285</v>
      </c>
      <c r="C194" s="809">
        <v>24</v>
      </c>
      <c r="D194" s="802">
        <f t="shared" ref="D194:K194" si="53">SUMPRODUCT($T8:$T39,D$44:D$75)</f>
        <v>0</v>
      </c>
      <c r="E194" s="802">
        <f t="shared" si="53"/>
        <v>0</v>
      </c>
      <c r="F194" s="802">
        <f t="shared" si="53"/>
        <v>0</v>
      </c>
      <c r="G194" s="802">
        <f t="shared" si="53"/>
        <v>0</v>
      </c>
      <c r="H194" s="802">
        <f t="shared" si="53"/>
        <v>0</v>
      </c>
      <c r="I194" s="802">
        <f t="shared" si="53"/>
        <v>0</v>
      </c>
      <c r="J194" s="802">
        <f t="shared" si="53"/>
        <v>0</v>
      </c>
      <c r="K194" s="802">
        <f t="shared" si="53"/>
        <v>0</v>
      </c>
    </row>
    <row r="195" spans="2:11" x14ac:dyDescent="0.3">
      <c r="B195" s="818" t="s">
        <v>315</v>
      </c>
      <c r="C195" s="809">
        <v>26</v>
      </c>
      <c r="D195" s="802">
        <f t="shared" ref="D195:K195" si="54">SUMPRODUCT($U8:$U39,D$44:D$75)</f>
        <v>0</v>
      </c>
      <c r="E195" s="802">
        <f t="shared" si="54"/>
        <v>0</v>
      </c>
      <c r="F195" s="802">
        <f t="shared" si="54"/>
        <v>0</v>
      </c>
      <c r="G195" s="802">
        <f t="shared" si="54"/>
        <v>0</v>
      </c>
      <c r="H195" s="802">
        <f t="shared" si="54"/>
        <v>0</v>
      </c>
      <c r="I195" s="802">
        <f t="shared" si="54"/>
        <v>0</v>
      </c>
      <c r="J195" s="802">
        <f t="shared" si="54"/>
        <v>0</v>
      </c>
      <c r="K195" s="802">
        <f t="shared" si="54"/>
        <v>0</v>
      </c>
    </row>
    <row r="196" spans="2:11" x14ac:dyDescent="0.3">
      <c r="B196" s="818" t="s">
        <v>38</v>
      </c>
      <c r="C196" s="809">
        <v>29</v>
      </c>
      <c r="D196" s="802">
        <f t="shared" ref="D196:K196" si="55">SUMPRODUCT($V8:$V39,D$44:D$75)</f>
        <v>0</v>
      </c>
      <c r="E196" s="802">
        <f t="shared" si="55"/>
        <v>0</v>
      </c>
      <c r="F196" s="802">
        <f t="shared" si="55"/>
        <v>1.3536714226188167</v>
      </c>
      <c r="G196" s="802">
        <f t="shared" si="55"/>
        <v>1.5236543745444919E-3</v>
      </c>
      <c r="H196" s="802">
        <f t="shared" si="55"/>
        <v>-0.58129912814428131</v>
      </c>
      <c r="I196" s="802">
        <f t="shared" si="55"/>
        <v>0.26685648019415426</v>
      </c>
      <c r="J196" s="802">
        <f t="shared" si="55"/>
        <v>14.398066983330363</v>
      </c>
      <c r="K196" s="802">
        <f t="shared" si="55"/>
        <v>14.107885965096569</v>
      </c>
    </row>
    <row r="197" spans="2:11" x14ac:dyDescent="0.3">
      <c r="B197" s="818" t="s">
        <v>136</v>
      </c>
      <c r="C197" s="809">
        <v>30</v>
      </c>
      <c r="D197" s="802">
        <f t="shared" ref="D197:K197" si="56">SUMPRODUCT($W8:$W39,D$44:D$75)</f>
        <v>0</v>
      </c>
      <c r="E197" s="802">
        <f t="shared" si="56"/>
        <v>0</v>
      </c>
      <c r="F197" s="802">
        <f t="shared" si="56"/>
        <v>0</v>
      </c>
      <c r="G197" s="802">
        <f t="shared" si="56"/>
        <v>0</v>
      </c>
      <c r="H197" s="802">
        <f t="shared" si="56"/>
        <v>0</v>
      </c>
      <c r="I197" s="802">
        <f t="shared" si="56"/>
        <v>0</v>
      </c>
      <c r="J197" s="802">
        <f t="shared" si="56"/>
        <v>0</v>
      </c>
      <c r="K197" s="802">
        <f t="shared" si="56"/>
        <v>0</v>
      </c>
    </row>
    <row r="198" spans="2:11" x14ac:dyDescent="0.3">
      <c r="B198" s="818" t="s">
        <v>360</v>
      </c>
      <c r="C198" s="809">
        <v>31</v>
      </c>
      <c r="D198" s="802">
        <f t="shared" ref="D198:K198" si="57">SUMPRODUCT($X8:$X39,D$44:D$75)</f>
        <v>0</v>
      </c>
      <c r="E198" s="802">
        <f t="shared" si="57"/>
        <v>0</v>
      </c>
      <c r="F198" s="802">
        <f t="shared" si="57"/>
        <v>0</v>
      </c>
      <c r="G198" s="802">
        <f t="shared" si="57"/>
        <v>0</v>
      </c>
      <c r="H198" s="802">
        <f t="shared" si="57"/>
        <v>0</v>
      </c>
      <c r="I198" s="802">
        <f t="shared" si="57"/>
        <v>0</v>
      </c>
      <c r="J198" s="802">
        <f t="shared" si="57"/>
        <v>0</v>
      </c>
      <c r="K198" s="802">
        <f t="shared" si="57"/>
        <v>0</v>
      </c>
    </row>
    <row r="199" spans="2:11" x14ac:dyDescent="0.3">
      <c r="B199" s="818" t="s">
        <v>361</v>
      </c>
      <c r="C199" s="809">
        <v>32</v>
      </c>
      <c r="D199" s="802">
        <f t="shared" ref="D199:K199" si="58">SUMPRODUCT($Y8:$Y39,D$44:D$75)</f>
        <v>0</v>
      </c>
      <c r="E199" s="802">
        <f t="shared" si="58"/>
        <v>0</v>
      </c>
      <c r="F199" s="802">
        <f t="shared" si="58"/>
        <v>0</v>
      </c>
      <c r="G199" s="802">
        <f t="shared" si="58"/>
        <v>0</v>
      </c>
      <c r="H199" s="802">
        <f t="shared" si="58"/>
        <v>0</v>
      </c>
      <c r="I199" s="802">
        <f t="shared" si="58"/>
        <v>0</v>
      </c>
      <c r="J199" s="802">
        <f t="shared" si="58"/>
        <v>0</v>
      </c>
      <c r="K199" s="802">
        <f t="shared" si="58"/>
        <v>0</v>
      </c>
    </row>
    <row r="200" spans="2:11" x14ac:dyDescent="0.3">
      <c r="B200" s="818" t="s">
        <v>362</v>
      </c>
      <c r="C200" s="809">
        <v>33</v>
      </c>
      <c r="D200" s="802">
        <f t="shared" ref="D200:K200" si="59">SUMPRODUCT($Z8:$Z39,D$44:D$75)</f>
        <v>0</v>
      </c>
      <c r="E200" s="802">
        <f t="shared" si="59"/>
        <v>0</v>
      </c>
      <c r="F200" s="802">
        <f t="shared" si="59"/>
        <v>0</v>
      </c>
      <c r="G200" s="802">
        <f t="shared" si="59"/>
        <v>0</v>
      </c>
      <c r="H200" s="802">
        <f t="shared" si="59"/>
        <v>0</v>
      </c>
      <c r="I200" s="802">
        <f t="shared" si="59"/>
        <v>0</v>
      </c>
      <c r="J200" s="802">
        <f t="shared" si="59"/>
        <v>0</v>
      </c>
      <c r="K200" s="802">
        <f t="shared" si="59"/>
        <v>0</v>
      </c>
    </row>
    <row r="201" spans="2:11" x14ac:dyDescent="0.3">
      <c r="B201" s="818" t="s">
        <v>363</v>
      </c>
      <c r="C201" s="809">
        <v>55</v>
      </c>
      <c r="D201" s="802">
        <f t="shared" ref="D201:K201" si="60">SUMPRODUCT($AA8:$AA39,D$44:D$75)</f>
        <v>0</v>
      </c>
      <c r="E201" s="802">
        <f t="shared" si="60"/>
        <v>0</v>
      </c>
      <c r="F201" s="802">
        <f t="shared" si="60"/>
        <v>0</v>
      </c>
      <c r="G201" s="802">
        <f t="shared" si="60"/>
        <v>0</v>
      </c>
      <c r="H201" s="802">
        <f t="shared" si="60"/>
        <v>0</v>
      </c>
      <c r="I201" s="802">
        <f t="shared" si="60"/>
        <v>0</v>
      </c>
      <c r="J201" s="802">
        <f t="shared" si="60"/>
        <v>0</v>
      </c>
      <c r="K201" s="802">
        <f t="shared" si="60"/>
        <v>0</v>
      </c>
    </row>
    <row r="202" spans="2:11" x14ac:dyDescent="0.3">
      <c r="B202" s="858" t="s">
        <v>204</v>
      </c>
      <c r="C202" s="859">
        <v>101</v>
      </c>
      <c r="D202" s="802">
        <f t="shared" ref="D202:K202" si="61">SUMPRODUCT($AB8:$AB39,D$44:D$75)</f>
        <v>0</v>
      </c>
      <c r="E202" s="802">
        <f t="shared" si="61"/>
        <v>1.7053025658242404E-13</v>
      </c>
      <c r="F202" s="802">
        <f t="shared" si="61"/>
        <v>-2.11756943273258E-2</v>
      </c>
      <c r="G202" s="802">
        <f t="shared" si="61"/>
        <v>0.12983721536993187</v>
      </c>
      <c r="H202" s="802">
        <f t="shared" si="61"/>
        <v>-0.48683277776358125</v>
      </c>
      <c r="I202" s="802">
        <f t="shared" si="61"/>
        <v>-0.31600511373838458</v>
      </c>
      <c r="J202" s="802">
        <f t="shared" si="61"/>
        <v>-57.011919381356215</v>
      </c>
      <c r="K202" s="802">
        <f t="shared" si="61"/>
        <v>-68.830275058376401</v>
      </c>
    </row>
    <row r="203" spans="2:11" x14ac:dyDescent="0.3">
      <c r="B203" s="858" t="s">
        <v>364</v>
      </c>
      <c r="C203" s="859">
        <v>102</v>
      </c>
      <c r="D203" s="802">
        <f t="shared" ref="D203:K203" si="62">SUMPRODUCT($AC8:$AC39,D$44:D$75)</f>
        <v>0</v>
      </c>
      <c r="E203" s="802">
        <f t="shared" si="62"/>
        <v>0</v>
      </c>
      <c r="F203" s="802">
        <f t="shared" si="62"/>
        <v>0</v>
      </c>
      <c r="G203" s="802">
        <f t="shared" si="62"/>
        <v>0</v>
      </c>
      <c r="H203" s="802">
        <f t="shared" si="62"/>
        <v>0</v>
      </c>
      <c r="I203" s="802">
        <f t="shared" si="62"/>
        <v>0</v>
      </c>
      <c r="J203" s="802">
        <f t="shared" si="62"/>
        <v>0</v>
      </c>
      <c r="K203" s="802">
        <f t="shared" si="62"/>
        <v>0</v>
      </c>
    </row>
    <row r="204" spans="2:11" x14ac:dyDescent="0.3">
      <c r="B204" s="858" t="s">
        <v>457</v>
      </c>
      <c r="C204" s="859">
        <v>103</v>
      </c>
      <c r="D204" s="802">
        <f>-SUMPRODUCT($AD8:$AD39,D$44:D$75)</f>
        <v>0</v>
      </c>
      <c r="E204" s="802">
        <f t="shared" ref="E204:K204" si="63">-SUMPRODUCT($AD8:$AD39,E$44:E$75)</f>
        <v>5.6970748549645123E-4</v>
      </c>
      <c r="F204" s="802">
        <f t="shared" si="63"/>
        <v>-2.046697124078861</v>
      </c>
      <c r="G204" s="802">
        <f t="shared" si="63"/>
        <v>-0.49112831732239215</v>
      </c>
      <c r="H204" s="802">
        <f t="shared" si="63"/>
        <v>-0.72604817340392536</v>
      </c>
      <c r="I204" s="802">
        <f t="shared" si="63"/>
        <v>-0.78837378026756544</v>
      </c>
      <c r="J204" s="802">
        <f t="shared" si="63"/>
        <v>-38.637392154831389</v>
      </c>
      <c r="K204" s="802">
        <f t="shared" si="63"/>
        <v>-43.299805609407201</v>
      </c>
    </row>
    <row r="205" spans="2:11" x14ac:dyDescent="0.3">
      <c r="B205" s="858" t="s">
        <v>110</v>
      </c>
      <c r="C205" s="859">
        <v>104</v>
      </c>
      <c r="D205" s="802">
        <f t="shared" ref="D205:K205" si="64">SUMPRODUCT($AE8:$AE39,D$44:D$75)</f>
        <v>0</v>
      </c>
      <c r="E205" s="802">
        <f t="shared" si="64"/>
        <v>0</v>
      </c>
      <c r="F205" s="802">
        <f t="shared" si="64"/>
        <v>0</v>
      </c>
      <c r="G205" s="802">
        <f t="shared" si="64"/>
        <v>0</v>
      </c>
      <c r="H205" s="802">
        <f t="shared" si="64"/>
        <v>0</v>
      </c>
      <c r="I205" s="802">
        <f t="shared" si="64"/>
        <v>0</v>
      </c>
      <c r="J205" s="802">
        <f t="shared" si="64"/>
        <v>0</v>
      </c>
      <c r="K205" s="802">
        <f t="shared" si="64"/>
        <v>0</v>
      </c>
    </row>
    <row r="206" spans="2:11" x14ac:dyDescent="0.3">
      <c r="B206" s="858" t="s">
        <v>53</v>
      </c>
      <c r="C206" s="859">
        <v>105</v>
      </c>
      <c r="D206" s="802">
        <f>-SUMPRODUCT($AF8:$AF39,D$44:D$75)</f>
        <v>0</v>
      </c>
      <c r="E206" s="802">
        <f t="shared" ref="E206:K206" si="65">-SUMPRODUCT($AF8:$AF39,E$44:E$75)</f>
        <v>0</v>
      </c>
      <c r="F206" s="802">
        <f t="shared" si="65"/>
        <v>0</v>
      </c>
      <c r="G206" s="802">
        <f t="shared" si="65"/>
        <v>0</v>
      </c>
      <c r="H206" s="802">
        <f t="shared" si="65"/>
        <v>0</v>
      </c>
      <c r="I206" s="802">
        <f t="shared" si="65"/>
        <v>0</v>
      </c>
      <c r="J206" s="802">
        <f t="shared" si="65"/>
        <v>-164.55336392024958</v>
      </c>
      <c r="K206" s="802">
        <f t="shared" si="65"/>
        <v>-154.98884024975897</v>
      </c>
    </row>
    <row r="207" spans="2:11" x14ac:dyDescent="0.3">
      <c r="B207" s="858" t="s">
        <v>666</v>
      </c>
      <c r="C207" s="859">
        <v>106</v>
      </c>
      <c r="D207" s="802">
        <f>SUMPRODUCT($AG8:$AG39,D$44:D$75)</f>
        <v>0</v>
      </c>
      <c r="E207" s="802">
        <f t="shared" ref="E207:K207" si="66">SUMPRODUCT($AG8:$AG39,E$44:E$75)</f>
        <v>0</v>
      </c>
      <c r="F207" s="802">
        <f t="shared" si="66"/>
        <v>0</v>
      </c>
      <c r="G207" s="802">
        <f t="shared" si="66"/>
        <v>0</v>
      </c>
      <c r="H207" s="802">
        <f t="shared" si="66"/>
        <v>-0.29414567513903478</v>
      </c>
      <c r="I207" s="802">
        <f t="shared" si="66"/>
        <v>-0.12271904150324531</v>
      </c>
      <c r="J207" s="802">
        <f t="shared" si="66"/>
        <v>7.0060554050379267</v>
      </c>
      <c r="K207" s="802">
        <f t="shared" si="66"/>
        <v>15.65059616727072</v>
      </c>
    </row>
    <row r="209" spans="2:11" x14ac:dyDescent="0.3">
      <c r="B209" s="179" t="s">
        <v>421</v>
      </c>
      <c r="C209" s="180"/>
      <c r="D209" s="180"/>
      <c r="E209" s="180"/>
      <c r="F209" s="180"/>
      <c r="G209" s="180"/>
      <c r="H209" s="180"/>
      <c r="I209" s="180"/>
      <c r="J209" s="180"/>
      <c r="K209" s="180"/>
    </row>
    <row r="210" spans="2:11" x14ac:dyDescent="0.3">
      <c r="B210" s="809"/>
      <c r="C210" s="809" t="s">
        <v>318</v>
      </c>
      <c r="D210" s="857">
        <v>2012</v>
      </c>
      <c r="E210" s="809">
        <v>2020</v>
      </c>
      <c r="F210" s="857">
        <v>2026</v>
      </c>
      <c r="G210" s="809">
        <v>2030</v>
      </c>
      <c r="H210" s="809">
        <v>2035</v>
      </c>
      <c r="I210" s="809">
        <v>2040</v>
      </c>
      <c r="J210" s="809">
        <v>2045</v>
      </c>
      <c r="K210" s="809">
        <v>2050</v>
      </c>
    </row>
    <row r="211" spans="2:11" x14ac:dyDescent="0.3">
      <c r="B211" s="809"/>
      <c r="C211" s="816">
        <v>1</v>
      </c>
      <c r="D211" s="817">
        <v>2</v>
      </c>
      <c r="E211" s="816">
        <v>3</v>
      </c>
      <c r="F211" s="817">
        <v>4</v>
      </c>
      <c r="G211" s="816">
        <v>5</v>
      </c>
      <c r="H211" s="817">
        <v>6</v>
      </c>
      <c r="I211" s="816">
        <v>7</v>
      </c>
      <c r="J211" s="817">
        <v>8</v>
      </c>
      <c r="K211" s="816">
        <v>9</v>
      </c>
    </row>
    <row r="212" spans="2:11" x14ac:dyDescent="0.3">
      <c r="B212" s="818" t="s">
        <v>231</v>
      </c>
      <c r="C212" s="809">
        <v>1</v>
      </c>
      <c r="D212" s="802">
        <f t="shared" ref="D212:K212" si="67">SUMPRODUCT($O8:$O39,D$80:D$111)</f>
        <v>0</v>
      </c>
      <c r="E212" s="802">
        <f t="shared" si="67"/>
        <v>-3.6970108827771853E-4</v>
      </c>
      <c r="F212" s="802">
        <f t="shared" si="67"/>
        <v>-5.8731778238096943E-4</v>
      </c>
      <c r="G212" s="802">
        <f t="shared" si="67"/>
        <v>-7.3485200931489025E-4</v>
      </c>
      <c r="H212" s="802">
        <f t="shared" si="67"/>
        <v>0</v>
      </c>
      <c r="I212" s="802">
        <f t="shared" si="67"/>
        <v>0</v>
      </c>
      <c r="J212" s="802">
        <f t="shared" si="67"/>
        <v>0</v>
      </c>
      <c r="K212" s="802">
        <f t="shared" si="67"/>
        <v>0</v>
      </c>
    </row>
    <row r="213" spans="2:11" x14ac:dyDescent="0.3">
      <c r="B213" s="818" t="s">
        <v>209</v>
      </c>
      <c r="C213" s="809">
        <v>2</v>
      </c>
      <c r="D213" s="802">
        <f t="shared" ref="D213:K213" si="68">SUMPRODUCT($P8:$P39,D$80:D$111)</f>
        <v>0</v>
      </c>
      <c r="E213" s="802">
        <f t="shared" si="68"/>
        <v>0.47030170541995631</v>
      </c>
      <c r="F213" s="802">
        <f t="shared" si="68"/>
        <v>1.7034173381675402</v>
      </c>
      <c r="G213" s="802">
        <f t="shared" si="68"/>
        <v>1.8362664722434374</v>
      </c>
      <c r="H213" s="802">
        <f t="shared" si="68"/>
        <v>1.8671556245964922</v>
      </c>
      <c r="I213" s="802">
        <f t="shared" si="68"/>
        <v>1.3194810980410949</v>
      </c>
      <c r="J213" s="802">
        <f t="shared" si="68"/>
        <v>8.963225613935677</v>
      </c>
      <c r="K213" s="802">
        <f t="shared" si="68"/>
        <v>24.912196926793285</v>
      </c>
    </row>
    <row r="214" spans="2:11" x14ac:dyDescent="0.3">
      <c r="B214" s="818" t="s">
        <v>417</v>
      </c>
      <c r="C214" s="809">
        <v>4</v>
      </c>
      <c r="D214" s="802">
        <f t="shared" ref="D214:K214" si="69">SUMPRODUCT($Q8:$Q39,D$80:D$111)</f>
        <v>0</v>
      </c>
      <c r="E214" s="802">
        <f t="shared" si="69"/>
        <v>2.5826122064430024E-2</v>
      </c>
      <c r="F214" s="802">
        <f t="shared" si="69"/>
        <v>0</v>
      </c>
      <c r="G214" s="802">
        <f t="shared" si="69"/>
        <v>0</v>
      </c>
      <c r="H214" s="802">
        <f t="shared" si="69"/>
        <v>0</v>
      </c>
      <c r="I214" s="802">
        <f t="shared" si="69"/>
        <v>0</v>
      </c>
      <c r="J214" s="802">
        <f t="shared" si="69"/>
        <v>0</v>
      </c>
      <c r="K214" s="802">
        <f t="shared" si="69"/>
        <v>0</v>
      </c>
    </row>
    <row r="215" spans="2:11" x14ac:dyDescent="0.3">
      <c r="B215" s="818" t="s">
        <v>124</v>
      </c>
      <c r="C215" s="809">
        <v>10</v>
      </c>
      <c r="D215" s="802">
        <f t="shared" ref="D215:K215" si="70">SUMPRODUCT($R8:$R39,D$80:D$111)</f>
        <v>0</v>
      </c>
      <c r="E215" s="802">
        <f t="shared" si="70"/>
        <v>0</v>
      </c>
      <c r="F215" s="802">
        <f t="shared" si="70"/>
        <v>0</v>
      </c>
      <c r="G215" s="802">
        <f t="shared" si="70"/>
        <v>0</v>
      </c>
      <c r="H215" s="802">
        <f t="shared" si="70"/>
        <v>0</v>
      </c>
      <c r="I215" s="802">
        <f t="shared" si="70"/>
        <v>0</v>
      </c>
      <c r="J215" s="802">
        <f t="shared" si="70"/>
        <v>0</v>
      </c>
      <c r="K215" s="802">
        <f t="shared" si="70"/>
        <v>0</v>
      </c>
    </row>
    <row r="216" spans="2:11" x14ac:dyDescent="0.3">
      <c r="B216" s="818" t="s">
        <v>133</v>
      </c>
      <c r="C216" s="809">
        <v>23</v>
      </c>
      <c r="D216" s="802">
        <f t="shared" ref="D216:K216" si="71">SUMPRODUCT($S8:$S39,D$80:D$111)</f>
        <v>0</v>
      </c>
      <c r="E216" s="802">
        <f t="shared" si="71"/>
        <v>2.8248976407663662E-2</v>
      </c>
      <c r="F216" s="802">
        <f t="shared" si="71"/>
        <v>4.2702448683294278</v>
      </c>
      <c r="G216" s="802">
        <f t="shared" si="71"/>
        <v>20.985471080265039</v>
      </c>
      <c r="H216" s="802">
        <f t="shared" si="71"/>
        <v>41.877771456450986</v>
      </c>
      <c r="I216" s="802">
        <f t="shared" si="71"/>
        <v>16.058817386703829</v>
      </c>
      <c r="J216" s="802">
        <f t="shared" si="71"/>
        <v>31.519673641699129</v>
      </c>
      <c r="K216" s="802">
        <f t="shared" si="71"/>
        <v>52.421936971148753</v>
      </c>
    </row>
    <row r="217" spans="2:11" x14ac:dyDescent="0.3">
      <c r="B217" s="818" t="s">
        <v>285</v>
      </c>
      <c r="C217" s="809">
        <v>24</v>
      </c>
      <c r="D217" s="802">
        <f t="shared" ref="D217:K217" si="72">SUMPRODUCT($T8:$T39,D$80:D$111)</f>
        <v>0</v>
      </c>
      <c r="E217" s="802">
        <f t="shared" si="72"/>
        <v>0</v>
      </c>
      <c r="F217" s="802">
        <f t="shared" si="72"/>
        <v>0</v>
      </c>
      <c r="G217" s="802">
        <f t="shared" si="72"/>
        <v>0</v>
      </c>
      <c r="H217" s="802">
        <f t="shared" si="72"/>
        <v>0</v>
      </c>
      <c r="I217" s="802">
        <f t="shared" si="72"/>
        <v>0</v>
      </c>
      <c r="J217" s="802">
        <f t="shared" si="72"/>
        <v>0</v>
      </c>
      <c r="K217" s="802">
        <f t="shared" si="72"/>
        <v>0</v>
      </c>
    </row>
    <row r="218" spans="2:11" x14ac:dyDescent="0.3">
      <c r="B218" s="818" t="s">
        <v>315</v>
      </c>
      <c r="C218" s="809">
        <v>26</v>
      </c>
      <c r="D218" s="802">
        <f t="shared" ref="D218:K218" si="73">SUMPRODUCT($U8:$U39,D$80:D$111)</f>
        <v>0</v>
      </c>
      <c r="E218" s="802">
        <f t="shared" si="73"/>
        <v>0</v>
      </c>
      <c r="F218" s="802">
        <f t="shared" si="73"/>
        <v>0</v>
      </c>
      <c r="G218" s="802">
        <f t="shared" si="73"/>
        <v>0</v>
      </c>
      <c r="H218" s="802">
        <f t="shared" si="73"/>
        <v>0</v>
      </c>
      <c r="I218" s="802">
        <f t="shared" si="73"/>
        <v>0</v>
      </c>
      <c r="J218" s="802">
        <f t="shared" si="73"/>
        <v>0</v>
      </c>
      <c r="K218" s="802">
        <f t="shared" si="73"/>
        <v>0</v>
      </c>
    </row>
    <row r="219" spans="2:11" x14ac:dyDescent="0.3">
      <c r="B219" s="818" t="s">
        <v>38</v>
      </c>
      <c r="C219" s="809">
        <v>29</v>
      </c>
      <c r="D219" s="802">
        <f t="shared" ref="D219:K219" si="74">SUMPRODUCT($V8:$V39,D$80:D$111)</f>
        <v>0</v>
      </c>
      <c r="E219" s="802">
        <f t="shared" si="74"/>
        <v>0.15367513841823452</v>
      </c>
      <c r="F219" s="802">
        <f t="shared" si="74"/>
        <v>23.980456999655356</v>
      </c>
      <c r="G219" s="802">
        <f t="shared" si="74"/>
        <v>105.22096136060497</v>
      </c>
      <c r="H219" s="802">
        <f t="shared" si="74"/>
        <v>89.872892259045912</v>
      </c>
      <c r="I219" s="802">
        <f t="shared" si="74"/>
        <v>-91.90358276570106</v>
      </c>
      <c r="J219" s="802">
        <f t="shared" si="74"/>
        <v>66.082575936623371</v>
      </c>
      <c r="K219" s="802">
        <f t="shared" si="74"/>
        <v>145.45801300544895</v>
      </c>
    </row>
    <row r="220" spans="2:11" x14ac:dyDescent="0.3">
      <c r="B220" s="818" t="s">
        <v>136</v>
      </c>
      <c r="C220" s="809">
        <v>30</v>
      </c>
      <c r="D220" s="802">
        <f t="shared" ref="D220:K220" si="75">SUMPRODUCT($W8:$W39,D$80:D$111)</f>
        <v>0</v>
      </c>
      <c r="E220" s="802">
        <f t="shared" si="75"/>
        <v>0</v>
      </c>
      <c r="F220" s="802">
        <f t="shared" si="75"/>
        <v>0</v>
      </c>
      <c r="G220" s="802">
        <f t="shared" si="75"/>
        <v>0</v>
      </c>
      <c r="H220" s="802">
        <f t="shared" si="75"/>
        <v>0</v>
      </c>
      <c r="I220" s="802">
        <f t="shared" si="75"/>
        <v>0</v>
      </c>
      <c r="J220" s="802">
        <f t="shared" si="75"/>
        <v>0</v>
      </c>
      <c r="K220" s="802">
        <f t="shared" si="75"/>
        <v>0</v>
      </c>
    </row>
    <row r="221" spans="2:11" x14ac:dyDescent="0.3">
      <c r="B221" s="818" t="s">
        <v>360</v>
      </c>
      <c r="C221" s="809">
        <v>31</v>
      </c>
      <c r="D221" s="802">
        <f t="shared" ref="D221:K221" si="76">SUMPRODUCT($X8:$X39,D$80:D$111)</f>
        <v>0</v>
      </c>
      <c r="E221" s="802">
        <f t="shared" si="76"/>
        <v>0</v>
      </c>
      <c r="F221" s="802">
        <f t="shared" si="76"/>
        <v>0</v>
      </c>
      <c r="G221" s="802">
        <f t="shared" si="76"/>
        <v>0</v>
      </c>
      <c r="H221" s="802">
        <f t="shared" si="76"/>
        <v>0</v>
      </c>
      <c r="I221" s="802">
        <f t="shared" si="76"/>
        <v>0</v>
      </c>
      <c r="J221" s="802">
        <f t="shared" si="76"/>
        <v>0</v>
      </c>
      <c r="K221" s="802">
        <f t="shared" si="76"/>
        <v>0</v>
      </c>
    </row>
    <row r="222" spans="2:11" x14ac:dyDescent="0.3">
      <c r="B222" s="818" t="s">
        <v>361</v>
      </c>
      <c r="C222" s="809">
        <v>32</v>
      </c>
      <c r="D222" s="802">
        <f t="shared" ref="D222:K222" si="77">SUMPRODUCT($Y8:$Y39,D$80:D$111)</f>
        <v>0</v>
      </c>
      <c r="E222" s="802">
        <f t="shared" si="77"/>
        <v>0</v>
      </c>
      <c r="F222" s="802">
        <f t="shared" si="77"/>
        <v>0</v>
      </c>
      <c r="G222" s="802">
        <f t="shared" si="77"/>
        <v>0</v>
      </c>
      <c r="H222" s="802">
        <f t="shared" si="77"/>
        <v>0</v>
      </c>
      <c r="I222" s="802">
        <f t="shared" si="77"/>
        <v>0</v>
      </c>
      <c r="J222" s="802">
        <f t="shared" si="77"/>
        <v>0</v>
      </c>
      <c r="K222" s="802">
        <f t="shared" si="77"/>
        <v>0</v>
      </c>
    </row>
    <row r="223" spans="2:11" x14ac:dyDescent="0.3">
      <c r="B223" s="818" t="s">
        <v>362</v>
      </c>
      <c r="C223" s="809">
        <v>33</v>
      </c>
      <c r="D223" s="802">
        <f t="shared" ref="D223:K223" si="78">SUMPRODUCT($Z8:$Z39,D$80:D$111)</f>
        <v>0</v>
      </c>
      <c r="E223" s="802">
        <f t="shared" si="78"/>
        <v>0</v>
      </c>
      <c r="F223" s="802">
        <f t="shared" si="78"/>
        <v>0</v>
      </c>
      <c r="G223" s="802">
        <f t="shared" si="78"/>
        <v>0</v>
      </c>
      <c r="H223" s="802">
        <f t="shared" si="78"/>
        <v>0</v>
      </c>
      <c r="I223" s="802">
        <f t="shared" si="78"/>
        <v>0</v>
      </c>
      <c r="J223" s="802">
        <f t="shared" si="78"/>
        <v>0</v>
      </c>
      <c r="K223" s="802">
        <f t="shared" si="78"/>
        <v>0</v>
      </c>
    </row>
    <row r="224" spans="2:11" x14ac:dyDescent="0.3">
      <c r="B224" s="818" t="s">
        <v>363</v>
      </c>
      <c r="C224" s="809">
        <v>55</v>
      </c>
      <c r="D224" s="802">
        <f t="shared" ref="D224:K224" si="79">SUMPRODUCT($AA8:$AA39,D$80:D$111)</f>
        <v>0</v>
      </c>
      <c r="E224" s="802">
        <f t="shared" si="79"/>
        <v>0</v>
      </c>
      <c r="F224" s="802">
        <f t="shared" si="79"/>
        <v>0</v>
      </c>
      <c r="G224" s="802">
        <f t="shared" si="79"/>
        <v>0</v>
      </c>
      <c r="H224" s="802">
        <f t="shared" si="79"/>
        <v>0</v>
      </c>
      <c r="I224" s="802">
        <f t="shared" si="79"/>
        <v>0</v>
      </c>
      <c r="J224" s="802">
        <f t="shared" si="79"/>
        <v>0</v>
      </c>
      <c r="K224" s="802">
        <f t="shared" si="79"/>
        <v>0</v>
      </c>
    </row>
    <row r="225" spans="2:34" x14ac:dyDescent="0.3">
      <c r="B225" s="858" t="s">
        <v>204</v>
      </c>
      <c r="C225" s="859">
        <v>101</v>
      </c>
      <c r="D225" s="802">
        <f t="shared" ref="D225:K225" si="80">SUMPRODUCT($AB8:$AB39,D$80:D$111)</f>
        <v>0</v>
      </c>
      <c r="E225" s="802">
        <f t="shared" si="80"/>
        <v>-0.14151767655319247</v>
      </c>
      <c r="F225" s="802">
        <f t="shared" si="80"/>
        <v>15.903306152388808</v>
      </c>
      <c r="G225" s="802">
        <f t="shared" si="80"/>
        <v>75.764514193250818</v>
      </c>
      <c r="H225" s="802">
        <f t="shared" si="80"/>
        <v>167.37206898964664</v>
      </c>
      <c r="I225" s="802">
        <f t="shared" si="80"/>
        <v>69.832781134028082</v>
      </c>
      <c r="J225" s="802">
        <f t="shared" si="80"/>
        <v>125.04072249727966</v>
      </c>
      <c r="K225" s="802">
        <f t="shared" si="80"/>
        <v>194.27181523358354</v>
      </c>
    </row>
    <row r="226" spans="2:34" x14ac:dyDescent="0.3">
      <c r="B226" s="858" t="s">
        <v>364</v>
      </c>
      <c r="C226" s="859">
        <v>102</v>
      </c>
      <c r="D226" s="802">
        <f t="shared" ref="D226:K226" si="81">SUMPRODUCT($AC8:$AC39,D$80:D$111)</f>
        <v>0</v>
      </c>
      <c r="E226" s="802">
        <f t="shared" si="81"/>
        <v>0</v>
      </c>
      <c r="F226" s="802">
        <f t="shared" si="81"/>
        <v>0</v>
      </c>
      <c r="G226" s="802">
        <f t="shared" si="81"/>
        <v>0</v>
      </c>
      <c r="H226" s="802">
        <f t="shared" si="81"/>
        <v>0</v>
      </c>
      <c r="I226" s="802">
        <f t="shared" si="81"/>
        <v>0</v>
      </c>
      <c r="J226" s="802">
        <f t="shared" si="81"/>
        <v>0</v>
      </c>
      <c r="K226" s="802">
        <f t="shared" si="81"/>
        <v>0</v>
      </c>
    </row>
    <row r="227" spans="2:34" x14ac:dyDescent="0.3">
      <c r="B227" s="858" t="s">
        <v>457</v>
      </c>
      <c r="C227" s="859">
        <v>103</v>
      </c>
      <c r="D227" s="802">
        <f>-SUMPRODUCT($AD8:$AD39,D$80:D$111)</f>
        <v>0</v>
      </c>
      <c r="E227" s="802">
        <f t="shared" ref="E227:K227" si="82">-SUMPRODUCT($AD8:$AD39,E$80:E$111)</f>
        <v>0.24029725871990734</v>
      </c>
      <c r="F227" s="802">
        <f t="shared" si="82"/>
        <v>-2.6393382430129293</v>
      </c>
      <c r="G227" s="802">
        <f t="shared" si="82"/>
        <v>-2.7064079217558401</v>
      </c>
      <c r="H227" s="802">
        <f t="shared" si="82"/>
        <v>187.15569446254764</v>
      </c>
      <c r="I227" s="802">
        <f t="shared" si="82"/>
        <v>268.10499528872532</v>
      </c>
      <c r="J227" s="802">
        <f t="shared" si="82"/>
        <v>162.09332045283756</v>
      </c>
      <c r="K227" s="802">
        <f t="shared" si="82"/>
        <v>215.58495743195385</v>
      </c>
    </row>
    <row r="228" spans="2:34" x14ac:dyDescent="0.3">
      <c r="B228" s="858" t="s">
        <v>110</v>
      </c>
      <c r="C228" s="859">
        <v>104</v>
      </c>
      <c r="D228" s="802">
        <f t="shared" ref="D228:K228" si="83">SUMPRODUCT($AE8:$AE39,D$80:D$111)</f>
        <v>0</v>
      </c>
      <c r="E228" s="802">
        <f t="shared" si="83"/>
        <v>0</v>
      </c>
      <c r="F228" s="802">
        <f t="shared" si="83"/>
        <v>0</v>
      </c>
      <c r="G228" s="802">
        <f t="shared" si="83"/>
        <v>0</v>
      </c>
      <c r="H228" s="802">
        <f t="shared" si="83"/>
        <v>0</v>
      </c>
      <c r="I228" s="802">
        <f t="shared" si="83"/>
        <v>0</v>
      </c>
      <c r="J228" s="802">
        <f t="shared" si="83"/>
        <v>0</v>
      </c>
      <c r="K228" s="802">
        <f t="shared" si="83"/>
        <v>0</v>
      </c>
    </row>
    <row r="229" spans="2:34" x14ac:dyDescent="0.3">
      <c r="B229" s="858" t="s">
        <v>53</v>
      </c>
      <c r="C229" s="859">
        <v>105</v>
      </c>
      <c r="D229" s="802">
        <f>-SUMPRODUCT($AF8:$AF39,D$80:D$111)</f>
        <v>0</v>
      </c>
      <c r="E229" s="802">
        <f t="shared" ref="E229:K229" si="84">-SUMPRODUCT($AF8:$AF39,E$80:E$111)</f>
        <v>0</v>
      </c>
      <c r="F229" s="802">
        <f t="shared" si="84"/>
        <v>-2.48</v>
      </c>
      <c r="G229" s="802">
        <f t="shared" si="84"/>
        <v>-4.1100000000000003</v>
      </c>
      <c r="H229" s="802">
        <f t="shared" si="84"/>
        <v>-4.68</v>
      </c>
      <c r="I229" s="802">
        <f t="shared" si="84"/>
        <v>-6.37</v>
      </c>
      <c r="J229" s="802">
        <f t="shared" si="84"/>
        <v>-24.64</v>
      </c>
      <c r="K229" s="802">
        <f t="shared" si="84"/>
        <v>-105.76</v>
      </c>
    </row>
    <row r="230" spans="2:34" x14ac:dyDescent="0.3">
      <c r="B230" s="858" t="s">
        <v>666</v>
      </c>
      <c r="C230" s="859">
        <v>106</v>
      </c>
      <c r="D230" s="802">
        <f>SUMPRODUCT($AG8:$AG39,D$80:D$111)</f>
        <v>0</v>
      </c>
      <c r="E230" s="802">
        <f t="shared" ref="E230:K230" si="85">SUMPRODUCT($AG8:$AG39,E$80:E$111)</f>
        <v>7.7739936130399201E-2</v>
      </c>
      <c r="F230" s="802">
        <f t="shared" si="85"/>
        <v>8.0453934885055673</v>
      </c>
      <c r="G230" s="802">
        <f t="shared" si="85"/>
        <v>38.459118976540452</v>
      </c>
      <c r="H230" s="802">
        <f t="shared" si="85"/>
        <v>76.410942682961817</v>
      </c>
      <c r="I230" s="802">
        <f t="shared" si="85"/>
        <v>28.967679240326532</v>
      </c>
      <c r="J230" s="802">
        <f t="shared" si="85"/>
        <v>56.925581907528112</v>
      </c>
      <c r="K230" s="802">
        <f t="shared" si="85"/>
        <v>87.491767415825393</v>
      </c>
    </row>
    <row r="231" spans="2:34" x14ac:dyDescent="0.3">
      <c r="M231" s="181" t="s">
        <v>928</v>
      </c>
    </row>
    <row r="232" spans="2:34" ht="145.19999999999999" x14ac:dyDescent="0.3">
      <c r="B232" s="179" t="s">
        <v>793</v>
      </c>
      <c r="C232" s="180"/>
      <c r="D232" s="180"/>
      <c r="E232" s="180"/>
      <c r="F232" s="180"/>
      <c r="G232" s="180"/>
      <c r="H232" s="180"/>
      <c r="I232" s="180"/>
      <c r="J232" s="180"/>
      <c r="K232" s="180"/>
      <c r="M232" s="802" t="s">
        <v>627</v>
      </c>
      <c r="N232" s="287"/>
      <c r="O232" s="287" t="s">
        <v>231</v>
      </c>
      <c r="P232" s="287" t="s">
        <v>209</v>
      </c>
      <c r="Q232" s="287" t="s">
        <v>417</v>
      </c>
      <c r="R232" s="287" t="s">
        <v>124</v>
      </c>
      <c r="S232" s="287" t="s">
        <v>133</v>
      </c>
      <c r="T232" s="287" t="s">
        <v>285</v>
      </c>
      <c r="U232" s="287" t="s">
        <v>315</v>
      </c>
      <c r="V232" s="287" t="s">
        <v>38</v>
      </c>
      <c r="W232" s="287" t="s">
        <v>136</v>
      </c>
      <c r="X232" s="287" t="s">
        <v>360</v>
      </c>
      <c r="Y232" s="287" t="s">
        <v>361</v>
      </c>
      <c r="Z232" s="287" t="s">
        <v>362</v>
      </c>
      <c r="AA232" s="287" t="s">
        <v>363</v>
      </c>
      <c r="AB232" s="287" t="s">
        <v>204</v>
      </c>
      <c r="AC232" s="287" t="s">
        <v>364</v>
      </c>
      <c r="AD232" s="287" t="s">
        <v>457</v>
      </c>
      <c r="AE232" s="287" t="s">
        <v>110</v>
      </c>
      <c r="AF232" s="287" t="s">
        <v>53</v>
      </c>
      <c r="AG232" s="287" t="s">
        <v>708</v>
      </c>
      <c r="AH232" s="803" t="s">
        <v>201</v>
      </c>
    </row>
    <row r="233" spans="2:34" x14ac:dyDescent="0.3">
      <c r="B233" s="809"/>
      <c r="C233" s="809" t="s">
        <v>318</v>
      </c>
      <c r="D233" s="857">
        <v>2012</v>
      </c>
      <c r="E233" s="809">
        <v>2020</v>
      </c>
      <c r="F233" s="857">
        <v>2026</v>
      </c>
      <c r="G233" s="809">
        <v>2030</v>
      </c>
      <c r="H233" s="809">
        <v>2035</v>
      </c>
      <c r="I233" s="809">
        <v>2040</v>
      </c>
      <c r="J233" s="809">
        <v>2045</v>
      </c>
      <c r="K233" s="809">
        <v>2050</v>
      </c>
      <c r="M233" s="804" t="s">
        <v>419</v>
      </c>
      <c r="N233" s="809" t="s">
        <v>293</v>
      </c>
      <c r="O233" s="249">
        <v>1</v>
      </c>
      <c r="P233" s="249">
        <v>2</v>
      </c>
      <c r="Q233" s="249">
        <v>4</v>
      </c>
      <c r="R233" s="249">
        <v>10</v>
      </c>
      <c r="S233" s="249">
        <v>23</v>
      </c>
      <c r="T233" s="249">
        <v>24</v>
      </c>
      <c r="U233" s="249">
        <v>26</v>
      </c>
      <c r="V233" s="249">
        <v>29</v>
      </c>
      <c r="W233" s="249">
        <v>30</v>
      </c>
      <c r="X233" s="249">
        <v>31</v>
      </c>
      <c r="Y233" s="249">
        <v>32</v>
      </c>
      <c r="Z233" s="249">
        <v>33</v>
      </c>
      <c r="AA233" s="249">
        <v>55</v>
      </c>
      <c r="AB233" s="249">
        <v>101</v>
      </c>
      <c r="AC233" s="249">
        <v>102</v>
      </c>
      <c r="AD233" s="249">
        <v>103</v>
      </c>
      <c r="AE233" s="249">
        <v>104</v>
      </c>
      <c r="AF233" s="249">
        <v>105</v>
      </c>
      <c r="AG233" s="249">
        <v>106</v>
      </c>
      <c r="AH233" s="805"/>
    </row>
    <row r="234" spans="2:34" x14ac:dyDescent="0.3">
      <c r="B234" s="809"/>
      <c r="C234" s="816">
        <v>1</v>
      </c>
      <c r="D234" s="817">
        <v>2</v>
      </c>
      <c r="E234" s="816">
        <v>3</v>
      </c>
      <c r="F234" s="817">
        <v>4</v>
      </c>
      <c r="G234" s="816">
        <v>5</v>
      </c>
      <c r="H234" s="817">
        <v>6</v>
      </c>
      <c r="I234" s="816">
        <v>7</v>
      </c>
      <c r="J234" s="817">
        <v>8</v>
      </c>
      <c r="K234" s="816">
        <v>9</v>
      </c>
      <c r="M234" s="819" t="s">
        <v>54</v>
      </c>
      <c r="N234" s="820"/>
      <c r="O234" s="820"/>
      <c r="P234" s="820"/>
      <c r="Q234" s="820"/>
      <c r="R234" s="820"/>
      <c r="S234" s="820"/>
      <c r="T234" s="820"/>
      <c r="U234" s="820"/>
      <c r="V234" s="820"/>
      <c r="W234" s="820"/>
      <c r="X234" s="820"/>
      <c r="Y234" s="820"/>
      <c r="Z234" s="820"/>
      <c r="AA234" s="820"/>
      <c r="AB234" s="820"/>
      <c r="AC234" s="820"/>
      <c r="AD234" s="820"/>
      <c r="AE234" s="820"/>
      <c r="AF234" s="820"/>
      <c r="AG234" s="820"/>
      <c r="AH234" s="821"/>
    </row>
    <row r="235" spans="2:34" x14ac:dyDescent="0.3">
      <c r="B235" s="818" t="s">
        <v>231</v>
      </c>
      <c r="C235" s="809">
        <v>1</v>
      </c>
      <c r="D235" s="802">
        <f>SUMPRODUCT($O8:$O39,D$116:D$147)</f>
        <v>0</v>
      </c>
      <c r="E235" s="802">
        <f t="shared" ref="E235:K235" si="86">SUMPRODUCT($O8:$O39,E$116:E$147)</f>
        <v>-1.3691735303345887E-2</v>
      </c>
      <c r="F235" s="802">
        <f t="shared" si="86"/>
        <v>-5.4941029980899447E-3</v>
      </c>
      <c r="G235" s="802">
        <f t="shared" si="86"/>
        <v>-7.2434630354960561E-3</v>
      </c>
      <c r="H235" s="802">
        <f t="shared" si="86"/>
        <v>-6.2929775754584361E-3</v>
      </c>
      <c r="I235" s="802">
        <f t="shared" si="86"/>
        <v>0</v>
      </c>
      <c r="J235" s="802">
        <f t="shared" si="86"/>
        <v>0</v>
      </c>
      <c r="K235" s="802">
        <f t="shared" si="86"/>
        <v>19.117499631046169</v>
      </c>
      <c r="M235" s="810" t="s">
        <v>294</v>
      </c>
      <c r="N235" s="802" t="s">
        <v>75</v>
      </c>
      <c r="O235" s="716"/>
      <c r="P235" s="716"/>
      <c r="Q235" s="716"/>
      <c r="R235" s="716"/>
      <c r="S235" s="716"/>
      <c r="T235" s="716"/>
      <c r="U235" s="716"/>
      <c r="V235" s="716"/>
      <c r="W235" s="716"/>
      <c r="X235" s="716"/>
      <c r="Y235" s="716"/>
      <c r="Z235" s="716"/>
      <c r="AA235" s="716"/>
      <c r="AB235" s="716"/>
      <c r="AC235" s="716"/>
      <c r="AD235" s="716"/>
      <c r="AE235" s="716"/>
      <c r="AF235" s="716"/>
      <c r="AG235" s="716"/>
      <c r="AH235" s="822"/>
    </row>
    <row r="236" spans="2:34" x14ac:dyDescent="0.3">
      <c r="B236" s="818" t="s">
        <v>209</v>
      </c>
      <c r="C236" s="809">
        <v>2</v>
      </c>
      <c r="D236" s="802">
        <f>SUMPRODUCT($P$8:$P$39,D$116:D$147)</f>
        <v>0</v>
      </c>
      <c r="E236" s="802">
        <f>SUMPRODUCT($P$235:$P$266,E$116:E$147)</f>
        <v>108.93828517328123</v>
      </c>
      <c r="F236" s="802">
        <f t="shared" ref="F236:K236" si="87">SUMPRODUCT($P$235:$P$266,F$116:F$147)</f>
        <v>109.99540777149502</v>
      </c>
      <c r="G236" s="802">
        <f t="shared" si="87"/>
        <v>100.07177604009695</v>
      </c>
      <c r="H236" s="802">
        <f t="shared" si="87"/>
        <v>92.729394748338706</v>
      </c>
      <c r="I236" s="802">
        <f t="shared" si="87"/>
        <v>69.685722195603233</v>
      </c>
      <c r="J236" s="802">
        <f t="shared" si="87"/>
        <v>28.788402235701909</v>
      </c>
      <c r="K236" s="802">
        <f t="shared" si="87"/>
        <v>31.10380319538617</v>
      </c>
      <c r="M236" s="806" t="s">
        <v>323</v>
      </c>
      <c r="N236" s="802" t="s">
        <v>75</v>
      </c>
      <c r="O236" s="716"/>
      <c r="P236" s="716"/>
      <c r="Q236" s="716"/>
      <c r="R236" s="716"/>
      <c r="S236" s="716"/>
      <c r="T236" s="716"/>
      <c r="U236" s="716"/>
      <c r="V236" s="716"/>
      <c r="W236" s="716"/>
      <c r="X236" s="716"/>
      <c r="Y236" s="716"/>
      <c r="Z236" s="716"/>
      <c r="AA236" s="716"/>
      <c r="AB236" s="716"/>
      <c r="AC236" s="716"/>
      <c r="AD236" s="716"/>
      <c r="AE236" s="716"/>
      <c r="AF236" s="716"/>
      <c r="AG236" s="716"/>
      <c r="AH236" s="822"/>
    </row>
    <row r="237" spans="2:34" x14ac:dyDescent="0.3">
      <c r="B237" s="818" t="s">
        <v>417</v>
      </c>
      <c r="C237" s="809">
        <v>4</v>
      </c>
      <c r="D237" s="802">
        <f>SUMPRODUCT($Q$8:$Q$39,D$116:D$147)</f>
        <v>0</v>
      </c>
      <c r="E237" s="802">
        <f t="shared" ref="E237:K237" si="88">SUMPRODUCT($Q$8:$Q$39,E$116:E$147)</f>
        <v>-40.897156900629952</v>
      </c>
      <c r="F237" s="802">
        <f t="shared" si="88"/>
        <v>0</v>
      </c>
      <c r="G237" s="802">
        <f t="shared" si="88"/>
        <v>-4.4507483225848514E-2</v>
      </c>
      <c r="H237" s="802">
        <f t="shared" si="88"/>
        <v>-4.5473421926910333E-2</v>
      </c>
      <c r="I237" s="802">
        <f t="shared" si="88"/>
        <v>0</v>
      </c>
      <c r="J237" s="802">
        <f t="shared" si="88"/>
        <v>0</v>
      </c>
      <c r="K237" s="802">
        <f t="shared" si="88"/>
        <v>0</v>
      </c>
      <c r="M237" s="806" t="s">
        <v>648</v>
      </c>
      <c r="N237" s="802" t="s">
        <v>75</v>
      </c>
      <c r="O237" s="716"/>
      <c r="P237" s="716"/>
      <c r="Q237" s="716"/>
      <c r="R237" s="716"/>
      <c r="S237" s="716"/>
      <c r="T237" s="716"/>
      <c r="U237" s="716"/>
      <c r="V237" s="716"/>
      <c r="W237" s="716"/>
      <c r="X237" s="716"/>
      <c r="Y237" s="716"/>
      <c r="Z237" s="716"/>
      <c r="AA237" s="716"/>
      <c r="AB237" s="716"/>
      <c r="AC237" s="716"/>
      <c r="AD237" s="716"/>
      <c r="AE237" s="716"/>
      <c r="AF237" s="716"/>
      <c r="AG237" s="716"/>
      <c r="AH237" s="822"/>
    </row>
    <row r="238" spans="2:34" x14ac:dyDescent="0.3">
      <c r="B238" s="818" t="s">
        <v>124</v>
      </c>
      <c r="C238" s="809">
        <v>10</v>
      </c>
      <c r="D238" s="802">
        <f>SUMPRODUCT($R$8:$R$39,D$116:D$147)</f>
        <v>0</v>
      </c>
      <c r="E238" s="802">
        <f t="shared" ref="E238:K238" si="89">SUMPRODUCT($R$8:$R$39,E$116:E$147)</f>
        <v>0</v>
      </c>
      <c r="F238" s="802">
        <f t="shared" si="89"/>
        <v>0</v>
      </c>
      <c r="G238" s="802">
        <f t="shared" si="89"/>
        <v>0</v>
      </c>
      <c r="H238" s="802">
        <f t="shared" si="89"/>
        <v>0</v>
      </c>
      <c r="I238" s="802">
        <f t="shared" si="89"/>
        <v>0</v>
      </c>
      <c r="J238" s="802">
        <f t="shared" si="89"/>
        <v>0</v>
      </c>
      <c r="K238" s="802">
        <f t="shared" si="89"/>
        <v>0</v>
      </c>
      <c r="M238" s="823" t="s">
        <v>649</v>
      </c>
      <c r="N238" s="802" t="s">
        <v>75</v>
      </c>
      <c r="O238" s="716"/>
      <c r="P238" s="716"/>
      <c r="Q238" s="716"/>
      <c r="R238" s="716"/>
      <c r="S238" s="716"/>
      <c r="T238" s="716"/>
      <c r="U238" s="716"/>
      <c r="V238" s="716"/>
      <c r="W238" s="716"/>
      <c r="X238" s="716"/>
      <c r="Y238" s="716"/>
      <c r="Z238" s="716"/>
      <c r="AA238" s="716"/>
      <c r="AB238" s="716"/>
      <c r="AC238" s="716"/>
      <c r="AD238" s="716"/>
      <c r="AE238" s="716"/>
      <c r="AF238" s="716"/>
      <c r="AG238" s="716"/>
      <c r="AH238" s="822"/>
    </row>
    <row r="239" spans="2:34" x14ac:dyDescent="0.3">
      <c r="B239" s="818" t="s">
        <v>133</v>
      </c>
      <c r="C239" s="809">
        <v>23</v>
      </c>
      <c r="D239" s="802">
        <f>SUMPRODUCT($S$8:$S$39,D$116:D$147)</f>
        <v>0</v>
      </c>
      <c r="E239" s="802">
        <f t="shared" ref="E239:K239" si="90">SUMPRODUCT($S$8:$S$39,E$116:E$147)</f>
        <v>15.058435903126785</v>
      </c>
      <c r="F239" s="802">
        <f t="shared" si="90"/>
        <v>14.460438184549691</v>
      </c>
      <c r="G239" s="802">
        <f t="shared" si="90"/>
        <v>-16.001492186816847</v>
      </c>
      <c r="H239" s="802">
        <f t="shared" si="90"/>
        <v>-14.998724126519662</v>
      </c>
      <c r="I239" s="802">
        <f t="shared" si="90"/>
        <v>-12.307809025123525</v>
      </c>
      <c r="J239" s="802">
        <f t="shared" si="90"/>
        <v>-1.7340442592661276</v>
      </c>
      <c r="K239" s="802">
        <f t="shared" si="90"/>
        <v>0.25181860234446773</v>
      </c>
      <c r="M239" s="806" t="s">
        <v>305</v>
      </c>
      <c r="N239" s="802" t="s">
        <v>306</v>
      </c>
      <c r="O239" s="716"/>
      <c r="P239" s="716"/>
      <c r="Q239" s="716"/>
      <c r="R239" s="716"/>
      <c r="S239" s="716"/>
      <c r="T239" s="716"/>
      <c r="U239" s="716"/>
      <c r="V239" s="716"/>
      <c r="W239" s="716"/>
      <c r="X239" s="716"/>
      <c r="Y239" s="716"/>
      <c r="Z239" s="716"/>
      <c r="AA239" s="716"/>
      <c r="AB239" s="716"/>
      <c r="AC239" s="716"/>
      <c r="AD239" s="716"/>
      <c r="AE239" s="716"/>
      <c r="AF239" s="716"/>
      <c r="AG239" s="716"/>
      <c r="AH239" s="822"/>
    </row>
    <row r="240" spans="2:34" x14ac:dyDescent="0.3">
      <c r="B240" s="818" t="s">
        <v>285</v>
      </c>
      <c r="C240" s="809">
        <v>24</v>
      </c>
      <c r="D240" s="802">
        <f>SUMPRODUCT($T$8:$T$39,D$116:D$147)</f>
        <v>0</v>
      </c>
      <c r="E240" s="802">
        <f t="shared" ref="E240:K240" si="91">SUMPRODUCT($T$8:$T$39,E$116:E$147)</f>
        <v>0</v>
      </c>
      <c r="F240" s="802">
        <f t="shared" si="91"/>
        <v>0</v>
      </c>
      <c r="G240" s="802">
        <f t="shared" si="91"/>
        <v>0</v>
      </c>
      <c r="H240" s="802">
        <f t="shared" si="91"/>
        <v>0</v>
      </c>
      <c r="I240" s="802">
        <f t="shared" si="91"/>
        <v>0</v>
      </c>
      <c r="J240" s="802">
        <f t="shared" si="91"/>
        <v>0</v>
      </c>
      <c r="K240" s="802">
        <f t="shared" si="91"/>
        <v>0</v>
      </c>
      <c r="M240" s="819" t="s">
        <v>709</v>
      </c>
      <c r="N240" s="820"/>
      <c r="O240" s="807"/>
      <c r="P240" s="807"/>
      <c r="Q240" s="807"/>
      <c r="R240" s="807"/>
      <c r="S240" s="807"/>
      <c r="T240" s="807"/>
      <c r="U240" s="807"/>
      <c r="V240" s="807"/>
      <c r="W240" s="807"/>
      <c r="X240" s="807"/>
      <c r="Y240" s="807"/>
      <c r="Z240" s="807"/>
      <c r="AA240" s="807"/>
      <c r="AB240" s="807"/>
      <c r="AC240" s="807"/>
      <c r="AD240" s="807"/>
      <c r="AE240" s="807"/>
      <c r="AF240" s="807"/>
      <c r="AG240" s="807"/>
      <c r="AH240" s="821"/>
    </row>
    <row r="241" spans="2:34" x14ac:dyDescent="0.3">
      <c r="B241" s="818" t="s">
        <v>315</v>
      </c>
      <c r="C241" s="809">
        <v>26</v>
      </c>
      <c r="D241" s="802">
        <f>SUMPRODUCT($U$8:$U$39,D$116:D$147)</f>
        <v>0</v>
      </c>
      <c r="E241" s="802">
        <f t="shared" ref="E241:K241" si="92">SUMPRODUCT($U$8:$U$39,E$116:E$147)</f>
        <v>0</v>
      </c>
      <c r="F241" s="802">
        <f t="shared" si="92"/>
        <v>0</v>
      </c>
      <c r="G241" s="802">
        <f t="shared" si="92"/>
        <v>0</v>
      </c>
      <c r="H241" s="802">
        <f t="shared" si="92"/>
        <v>0</v>
      </c>
      <c r="I241" s="802">
        <f t="shared" si="92"/>
        <v>0</v>
      </c>
      <c r="J241" s="802">
        <f t="shared" si="92"/>
        <v>0</v>
      </c>
      <c r="K241" s="802">
        <f t="shared" si="92"/>
        <v>0</v>
      </c>
      <c r="M241" s="806" t="s">
        <v>710</v>
      </c>
      <c r="N241" s="802" t="s">
        <v>296</v>
      </c>
      <c r="O241" s="716"/>
      <c r="P241" s="716"/>
      <c r="Q241" s="716"/>
      <c r="R241" s="716"/>
      <c r="S241" s="716">
        <v>0.75</v>
      </c>
      <c r="T241" s="716"/>
      <c r="U241" s="716"/>
      <c r="V241" s="716">
        <v>0.25</v>
      </c>
      <c r="W241" s="716"/>
      <c r="X241" s="716"/>
      <c r="Y241" s="716"/>
      <c r="Z241" s="716"/>
      <c r="AA241" s="716"/>
      <c r="AB241" s="716"/>
      <c r="AC241" s="716"/>
      <c r="AD241" s="716"/>
      <c r="AE241" s="716"/>
      <c r="AF241" s="716"/>
      <c r="AG241" s="716"/>
      <c r="AH241" s="248">
        <f>SUM(O241:AG241)</f>
        <v>1</v>
      </c>
    </row>
    <row r="242" spans="2:34" x14ac:dyDescent="0.3">
      <c r="B242" s="818" t="s">
        <v>38</v>
      </c>
      <c r="C242" s="809">
        <v>29</v>
      </c>
      <c r="D242" s="802">
        <f>SUMPRODUCT($V$8:$V$39,D$116:D$147)</f>
        <v>0</v>
      </c>
      <c r="E242" s="802">
        <f t="shared" ref="E242:K242" si="93">SUMPRODUCT($V$8:$V$39,E$116:E$147)</f>
        <v>27.157432986923375</v>
      </c>
      <c r="F242" s="802">
        <f t="shared" si="93"/>
        <v>-26.689223808750619</v>
      </c>
      <c r="G242" s="802">
        <f t="shared" si="93"/>
        <v>-5.3338307289389491</v>
      </c>
      <c r="H242" s="802">
        <f t="shared" si="93"/>
        <v>-2.5707227496107818</v>
      </c>
      <c r="I242" s="802">
        <f t="shared" si="93"/>
        <v>8.9625403505702987</v>
      </c>
      <c r="J242" s="802">
        <f t="shared" si="93"/>
        <v>3.5523715349868414</v>
      </c>
      <c r="K242" s="802">
        <f t="shared" si="93"/>
        <v>48.537779477461285</v>
      </c>
      <c r="M242" s="806" t="s">
        <v>666</v>
      </c>
      <c r="N242" s="802" t="s">
        <v>296</v>
      </c>
      <c r="O242" s="716"/>
      <c r="P242" s="716"/>
      <c r="Q242" s="716"/>
      <c r="R242" s="716"/>
      <c r="S242" s="716"/>
      <c r="T242" s="716"/>
      <c r="U242" s="716"/>
      <c r="V242" s="716"/>
      <c r="W242" s="716"/>
      <c r="X242" s="716"/>
      <c r="Y242" s="716"/>
      <c r="Z242" s="716"/>
      <c r="AA242" s="716"/>
      <c r="AB242" s="716"/>
      <c r="AC242" s="716"/>
      <c r="AD242" s="716"/>
      <c r="AE242" s="716"/>
      <c r="AF242" s="716"/>
      <c r="AG242" s="716">
        <v>1</v>
      </c>
      <c r="AH242" s="248">
        <f>SUM(O242:AG242)</f>
        <v>1</v>
      </c>
    </row>
    <row r="243" spans="2:34" x14ac:dyDescent="0.3">
      <c r="B243" s="818" t="s">
        <v>136</v>
      </c>
      <c r="C243" s="809">
        <v>30</v>
      </c>
      <c r="D243" s="802">
        <f>SUMPRODUCT($W$8:$W$39,D$116:D$147)</f>
        <v>0</v>
      </c>
      <c r="E243" s="802">
        <f t="shared" ref="E243:K243" si="94">SUMPRODUCT($W$8:$W$39,E$116:E$147)</f>
        <v>0</v>
      </c>
      <c r="F243" s="802">
        <f t="shared" si="94"/>
        <v>0</v>
      </c>
      <c r="G243" s="802">
        <f t="shared" si="94"/>
        <v>0</v>
      </c>
      <c r="H243" s="802">
        <f t="shared" si="94"/>
        <v>0</v>
      </c>
      <c r="I243" s="802">
        <f t="shared" si="94"/>
        <v>0</v>
      </c>
      <c r="J243" s="802">
        <f t="shared" si="94"/>
        <v>0</v>
      </c>
      <c r="K243" s="802">
        <f t="shared" si="94"/>
        <v>0</v>
      </c>
      <c r="M243" s="806" t="s">
        <v>298</v>
      </c>
      <c r="N243" s="802" t="s">
        <v>296</v>
      </c>
      <c r="O243" s="716"/>
      <c r="P243" s="716"/>
      <c r="Q243" s="716"/>
      <c r="R243" s="716"/>
      <c r="S243" s="716"/>
      <c r="T243" s="716"/>
      <c r="U243" s="716"/>
      <c r="V243" s="716"/>
      <c r="W243" s="716"/>
      <c r="X243" s="716"/>
      <c r="Y243" s="716"/>
      <c r="Z243" s="716"/>
      <c r="AA243" s="716"/>
      <c r="AB243" s="716">
        <v>1</v>
      </c>
      <c r="AC243" s="716"/>
      <c r="AD243" s="716"/>
      <c r="AE243" s="716"/>
      <c r="AF243" s="716"/>
      <c r="AG243" s="716"/>
      <c r="AH243" s="248">
        <f>SUM(O243:AG243)</f>
        <v>1</v>
      </c>
    </row>
    <row r="244" spans="2:34" x14ac:dyDescent="0.3">
      <c r="B244" s="818" t="s">
        <v>360</v>
      </c>
      <c r="C244" s="809">
        <v>31</v>
      </c>
      <c r="D244" s="802">
        <f>SUMPRODUCT($X$8:$X$39,D$116:D$147)</f>
        <v>0</v>
      </c>
      <c r="E244" s="802">
        <f t="shared" ref="E244:K244" si="95">SUMPRODUCT($X$8:$X$39,E$116:E$147)</f>
        <v>0</v>
      </c>
      <c r="F244" s="802">
        <f t="shared" si="95"/>
        <v>0</v>
      </c>
      <c r="G244" s="802">
        <f t="shared" si="95"/>
        <v>0</v>
      </c>
      <c r="H244" s="802">
        <f t="shared" si="95"/>
        <v>0</v>
      </c>
      <c r="I244" s="802">
        <f t="shared" si="95"/>
        <v>0</v>
      </c>
      <c r="J244" s="802">
        <f t="shared" si="95"/>
        <v>0</v>
      </c>
      <c r="K244" s="802">
        <f t="shared" si="95"/>
        <v>0</v>
      </c>
      <c r="M244" s="819" t="s">
        <v>420</v>
      </c>
      <c r="N244" s="820"/>
      <c r="O244" s="807"/>
      <c r="P244" s="807"/>
      <c r="Q244" s="807"/>
      <c r="R244" s="807"/>
      <c r="S244" s="807"/>
      <c r="T244" s="807"/>
      <c r="U244" s="807"/>
      <c r="V244" s="807"/>
      <c r="W244" s="807"/>
      <c r="X244" s="807"/>
      <c r="Y244" s="807"/>
      <c r="Z244" s="807"/>
      <c r="AA244" s="807"/>
      <c r="AB244" s="807"/>
      <c r="AC244" s="807"/>
      <c r="AD244" s="807"/>
      <c r="AE244" s="807"/>
      <c r="AF244" s="807"/>
      <c r="AG244" s="807"/>
      <c r="AH244" s="821"/>
    </row>
    <row r="245" spans="2:34" x14ac:dyDescent="0.3">
      <c r="B245" s="818" t="s">
        <v>361</v>
      </c>
      <c r="C245" s="809">
        <v>32</v>
      </c>
      <c r="D245" s="802">
        <f>SUMPRODUCT($Y$8:$Y$39,D$116:D$147)</f>
        <v>0</v>
      </c>
      <c r="E245" s="802">
        <f t="shared" ref="E245:K245" si="96">SUMPRODUCT($Y$8:$Y$39,E$116:E$147)</f>
        <v>0</v>
      </c>
      <c r="F245" s="802">
        <f t="shared" si="96"/>
        <v>0</v>
      </c>
      <c r="G245" s="802">
        <f t="shared" si="96"/>
        <v>0</v>
      </c>
      <c r="H245" s="802">
        <f t="shared" si="96"/>
        <v>0</v>
      </c>
      <c r="I245" s="802">
        <f t="shared" si="96"/>
        <v>0</v>
      </c>
      <c r="J245" s="802">
        <f t="shared" si="96"/>
        <v>0</v>
      </c>
      <c r="K245" s="802">
        <f t="shared" si="96"/>
        <v>0</v>
      </c>
      <c r="M245" s="806" t="s">
        <v>404</v>
      </c>
      <c r="N245" s="802" t="s">
        <v>296</v>
      </c>
      <c r="O245" s="716"/>
      <c r="P245" s="716">
        <v>1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6"/>
      <c r="AA245" s="716"/>
      <c r="AB245" s="716"/>
      <c r="AC245" s="716"/>
      <c r="AD245" s="716"/>
      <c r="AE245" s="716"/>
      <c r="AF245" s="716"/>
      <c r="AG245" s="716"/>
      <c r="AH245" s="248">
        <f t="shared" ref="AH245:AH251" si="97">SUM(O245:AG245)</f>
        <v>1</v>
      </c>
    </row>
    <row r="246" spans="2:34" x14ac:dyDescent="0.3">
      <c r="B246" s="818" t="s">
        <v>362</v>
      </c>
      <c r="C246" s="809">
        <v>33</v>
      </c>
      <c r="D246" s="802">
        <f>SUMPRODUCT($Z$8:$Z$39,D$116:D$147)</f>
        <v>0</v>
      </c>
      <c r="E246" s="802">
        <f t="shared" ref="E246:K246" si="98">SUMPRODUCT($Z$8:$Z$39,E$116:E$147)</f>
        <v>0</v>
      </c>
      <c r="F246" s="802">
        <f t="shared" si="98"/>
        <v>0</v>
      </c>
      <c r="G246" s="802">
        <f t="shared" si="98"/>
        <v>0</v>
      </c>
      <c r="H246" s="802">
        <f t="shared" si="98"/>
        <v>0</v>
      </c>
      <c r="I246" s="802">
        <f t="shared" si="98"/>
        <v>0</v>
      </c>
      <c r="J246" s="802">
        <f t="shared" si="98"/>
        <v>0</v>
      </c>
      <c r="K246" s="802">
        <f t="shared" si="98"/>
        <v>0</v>
      </c>
      <c r="M246" s="806" t="s">
        <v>405</v>
      </c>
      <c r="N246" s="802" t="s">
        <v>296</v>
      </c>
      <c r="O246" s="716">
        <v>1</v>
      </c>
      <c r="P246" s="716"/>
      <c r="Q246" s="716"/>
      <c r="R246" s="716"/>
      <c r="S246" s="716"/>
      <c r="T246" s="716"/>
      <c r="U246" s="716"/>
      <c r="V246" s="716"/>
      <c r="W246" s="716"/>
      <c r="X246" s="716"/>
      <c r="Y246" s="716"/>
      <c r="Z246" s="716"/>
      <c r="AA246" s="716"/>
      <c r="AB246" s="716"/>
      <c r="AC246" s="716"/>
      <c r="AD246" s="716"/>
      <c r="AE246" s="716"/>
      <c r="AF246" s="716"/>
      <c r="AG246" s="716"/>
      <c r="AH246" s="248">
        <f t="shared" si="97"/>
        <v>1</v>
      </c>
    </row>
    <row r="247" spans="2:34" x14ac:dyDescent="0.3">
      <c r="B247" s="818" t="s">
        <v>363</v>
      </c>
      <c r="C247" s="809">
        <v>55</v>
      </c>
      <c r="D247" s="802">
        <f>SUMPRODUCT($AA$8:$AA$39,D$116:D$147)</f>
        <v>0</v>
      </c>
      <c r="E247" s="802">
        <f t="shared" ref="E247:K247" si="99">SUMPRODUCT($AA$8:$AA$39,E$116:E$147)</f>
        <v>0</v>
      </c>
      <c r="F247" s="802">
        <f t="shared" si="99"/>
        <v>0</v>
      </c>
      <c r="G247" s="802">
        <f t="shared" si="99"/>
        <v>0</v>
      </c>
      <c r="H247" s="802">
        <f t="shared" si="99"/>
        <v>0</v>
      </c>
      <c r="I247" s="802">
        <f t="shared" si="99"/>
        <v>0</v>
      </c>
      <c r="J247" s="802">
        <f t="shared" si="99"/>
        <v>0</v>
      </c>
      <c r="K247" s="802">
        <f t="shared" si="99"/>
        <v>0</v>
      </c>
      <c r="M247" s="806" t="s">
        <v>406</v>
      </c>
      <c r="N247" s="802" t="s">
        <v>296</v>
      </c>
      <c r="O247" s="716"/>
      <c r="P247" s="716"/>
      <c r="Q247" s="716"/>
      <c r="R247" s="716"/>
      <c r="S247" s="716"/>
      <c r="T247" s="716"/>
      <c r="U247" s="716"/>
      <c r="V247" s="716"/>
      <c r="W247" s="716"/>
      <c r="X247" s="716"/>
      <c r="Y247" s="716"/>
      <c r="Z247" s="716"/>
      <c r="AA247" s="716"/>
      <c r="AB247" s="716"/>
      <c r="AC247" s="716"/>
      <c r="AD247" s="716">
        <v>1</v>
      </c>
      <c r="AE247" s="716"/>
      <c r="AF247" s="716"/>
      <c r="AG247" s="716"/>
      <c r="AH247" s="248">
        <f t="shared" si="97"/>
        <v>1</v>
      </c>
    </row>
    <row r="248" spans="2:34" x14ac:dyDescent="0.3">
      <c r="B248" s="858" t="s">
        <v>204</v>
      </c>
      <c r="C248" s="859">
        <v>101</v>
      </c>
      <c r="D248" s="802">
        <f>SUMPRODUCT($AB$8:$AB$39,D$116:D$147)</f>
        <v>0</v>
      </c>
      <c r="E248" s="802">
        <f t="shared" ref="E248:K248" si="100">SUMPRODUCT($AB$8:$AB$39,E$116:E$147)</f>
        <v>-70.471591269258312</v>
      </c>
      <c r="F248" s="802">
        <f t="shared" si="100"/>
        <v>-87.121834529973285</v>
      </c>
      <c r="G248" s="802">
        <f t="shared" si="100"/>
        <v>-36.078844228440175</v>
      </c>
      <c r="H248" s="802">
        <f t="shared" si="100"/>
        <v>-26.502232412677046</v>
      </c>
      <c r="I248" s="802">
        <f t="shared" si="100"/>
        <v>-2.1204260463982649</v>
      </c>
      <c r="J248" s="802">
        <f t="shared" si="100"/>
        <v>-4.3223090123987902</v>
      </c>
      <c r="K248" s="802">
        <f t="shared" si="100"/>
        <v>-11.826773332108822</v>
      </c>
      <c r="M248" s="806" t="s">
        <v>407</v>
      </c>
      <c r="N248" s="802" t="s">
        <v>296</v>
      </c>
      <c r="O248" s="716"/>
      <c r="P248" s="716"/>
      <c r="Q248" s="716">
        <v>1</v>
      </c>
      <c r="R248" s="716"/>
      <c r="S248" s="716"/>
      <c r="T248" s="716"/>
      <c r="U248" s="716"/>
      <c r="V248" s="716"/>
      <c r="W248" s="716"/>
      <c r="X248" s="716"/>
      <c r="Y248" s="716"/>
      <c r="Z248" s="716"/>
      <c r="AA248" s="716"/>
      <c r="AB248" s="716"/>
      <c r="AC248" s="716"/>
      <c r="AD248" s="716"/>
      <c r="AE248" s="716"/>
      <c r="AF248" s="716"/>
      <c r="AG248" s="716"/>
      <c r="AH248" s="248">
        <f t="shared" si="97"/>
        <v>1</v>
      </c>
    </row>
    <row r="249" spans="2:34" x14ac:dyDescent="0.3">
      <c r="B249" s="858" t="s">
        <v>364</v>
      </c>
      <c r="C249" s="859">
        <v>102</v>
      </c>
      <c r="D249" s="802">
        <f>SUMPRODUCT($AC$8:$AC$39,D$116:D$147)</f>
        <v>0</v>
      </c>
      <c r="E249" s="802">
        <f t="shared" ref="E249:K249" si="101">SUMPRODUCT($AC$8:$AC$39,E$116:E$147)</f>
        <v>0</v>
      </c>
      <c r="F249" s="802">
        <f t="shared" si="101"/>
        <v>0</v>
      </c>
      <c r="G249" s="802">
        <f t="shared" si="101"/>
        <v>0</v>
      </c>
      <c r="H249" s="802">
        <f t="shared" si="101"/>
        <v>0</v>
      </c>
      <c r="I249" s="802">
        <f t="shared" si="101"/>
        <v>0</v>
      </c>
      <c r="J249" s="802">
        <f t="shared" si="101"/>
        <v>0</v>
      </c>
      <c r="K249" s="802">
        <f t="shared" si="101"/>
        <v>0</v>
      </c>
      <c r="M249" s="806" t="s">
        <v>408</v>
      </c>
      <c r="N249" s="802" t="s">
        <v>296</v>
      </c>
      <c r="O249" s="716"/>
      <c r="P249" s="716"/>
      <c r="Q249" s="716"/>
      <c r="R249" s="716"/>
      <c r="S249" s="716"/>
      <c r="T249" s="716"/>
      <c r="U249" s="716"/>
      <c r="V249" s="716"/>
      <c r="W249" s="716"/>
      <c r="X249" s="716"/>
      <c r="Y249" s="716"/>
      <c r="Z249" s="716"/>
      <c r="AA249" s="716"/>
      <c r="AB249" s="716"/>
      <c r="AC249" s="716"/>
      <c r="AD249" s="716">
        <v>1</v>
      </c>
      <c r="AE249" s="716"/>
      <c r="AF249" s="716"/>
      <c r="AG249" s="716"/>
      <c r="AH249" s="248">
        <f t="shared" si="97"/>
        <v>1</v>
      </c>
    </row>
    <row r="250" spans="2:34" x14ac:dyDescent="0.3">
      <c r="B250" s="858" t="s">
        <v>457</v>
      </c>
      <c r="C250" s="859">
        <v>103</v>
      </c>
      <c r="D250" s="802">
        <f>-SUMPRODUCT($AD$8:$AD$39,D$116:D$147)</f>
        <v>0</v>
      </c>
      <c r="E250" s="802">
        <f>-SUMPRODUCT($AD$8:$AD$39,$AD$235:$AD$266)</f>
        <v>-3.36</v>
      </c>
      <c r="F250" s="802">
        <f t="shared" ref="F250:K250" si="102">-SUMPRODUCT($AD$8:$AD$39,$AD$235:$AD$266)</f>
        <v>-3.36</v>
      </c>
      <c r="G250" s="802">
        <f t="shared" si="102"/>
        <v>-3.36</v>
      </c>
      <c r="H250" s="802">
        <f t="shared" si="102"/>
        <v>-3.36</v>
      </c>
      <c r="I250" s="802">
        <f t="shared" si="102"/>
        <v>-3.36</v>
      </c>
      <c r="J250" s="802">
        <f t="shared" si="102"/>
        <v>-3.36</v>
      </c>
      <c r="K250" s="802">
        <f t="shared" si="102"/>
        <v>-3.36</v>
      </c>
      <c r="M250" s="806" t="s">
        <v>409</v>
      </c>
      <c r="N250" s="802" t="s">
        <v>296</v>
      </c>
      <c r="O250" s="716"/>
      <c r="P250" s="716"/>
      <c r="Q250" s="716">
        <v>1</v>
      </c>
      <c r="R250" s="716"/>
      <c r="S250" s="716"/>
      <c r="T250" s="716"/>
      <c r="U250" s="716"/>
      <c r="V250" s="716"/>
      <c r="W250" s="716"/>
      <c r="X250" s="716"/>
      <c r="Y250" s="716"/>
      <c r="Z250" s="716"/>
      <c r="AA250" s="716"/>
      <c r="AB250" s="716"/>
      <c r="AC250" s="716"/>
      <c r="AD250" s="716"/>
      <c r="AE250" s="716"/>
      <c r="AF250" s="716"/>
      <c r="AG250" s="716"/>
      <c r="AH250" s="248">
        <f t="shared" si="97"/>
        <v>1</v>
      </c>
    </row>
    <row r="251" spans="2:34" x14ac:dyDescent="0.3">
      <c r="B251" s="858" t="s">
        <v>110</v>
      </c>
      <c r="C251" s="859">
        <v>104</v>
      </c>
      <c r="D251" s="802">
        <f>SUMPRODUCT($AE$8:$AE$39,D$116:D$147)</f>
        <v>0</v>
      </c>
      <c r="E251" s="802">
        <f t="shared" ref="E251:K251" si="103">SUMPRODUCT($AE$8:$AE$39,E$116:E$147)</f>
        <v>0</v>
      </c>
      <c r="F251" s="802">
        <f t="shared" si="103"/>
        <v>0</v>
      </c>
      <c r="G251" s="802">
        <f t="shared" si="103"/>
        <v>0</v>
      </c>
      <c r="H251" s="802">
        <f t="shared" si="103"/>
        <v>0</v>
      </c>
      <c r="I251" s="802">
        <f t="shared" si="103"/>
        <v>0</v>
      </c>
      <c r="J251" s="802">
        <f t="shared" si="103"/>
        <v>0</v>
      </c>
      <c r="K251" s="802">
        <f t="shared" si="103"/>
        <v>0</v>
      </c>
      <c r="M251" s="806" t="s">
        <v>410</v>
      </c>
      <c r="N251" s="802" t="s">
        <v>296</v>
      </c>
      <c r="O251" s="716"/>
      <c r="P251" s="716">
        <v>0.5</v>
      </c>
      <c r="Q251" s="716"/>
      <c r="R251" s="716"/>
      <c r="S251" s="716"/>
      <c r="T251" s="716"/>
      <c r="U251" s="716"/>
      <c r="V251" s="716"/>
      <c r="W251" s="716"/>
      <c r="X251" s="716"/>
      <c r="Y251" s="716"/>
      <c r="Z251" s="716"/>
      <c r="AA251" s="716"/>
      <c r="AB251" s="716"/>
      <c r="AC251" s="716"/>
      <c r="AD251" s="716">
        <v>0.5</v>
      </c>
      <c r="AE251" s="716"/>
      <c r="AF251" s="716"/>
      <c r="AG251" s="716"/>
      <c r="AH251" s="248">
        <f t="shared" si="97"/>
        <v>1</v>
      </c>
    </row>
    <row r="252" spans="2:34" x14ac:dyDescent="0.3">
      <c r="B252" s="858" t="s">
        <v>53</v>
      </c>
      <c r="C252" s="859">
        <v>105</v>
      </c>
      <c r="D252" s="802">
        <f>SUMPRODUCT($AF$8:$AF$39,D$116:D$147)</f>
        <v>0</v>
      </c>
      <c r="E252" s="802">
        <f t="shared" ref="E252:K252" si="104">SUMPRODUCT($AF$8:$AF$39,E$116:E$147)</f>
        <v>0</v>
      </c>
      <c r="F252" s="802">
        <f t="shared" si="104"/>
        <v>0</v>
      </c>
      <c r="G252" s="802">
        <f t="shared" si="104"/>
        <v>0</v>
      </c>
      <c r="H252" s="802">
        <f t="shared" si="104"/>
        <v>0</v>
      </c>
      <c r="I252" s="802">
        <f t="shared" si="104"/>
        <v>0</v>
      </c>
      <c r="J252" s="802">
        <f t="shared" si="104"/>
        <v>0</v>
      </c>
      <c r="K252" s="802">
        <f t="shared" si="104"/>
        <v>0</v>
      </c>
      <c r="M252" s="819" t="s">
        <v>45</v>
      </c>
      <c r="N252" s="820"/>
      <c r="O252" s="807"/>
      <c r="P252" s="807"/>
      <c r="Q252" s="807"/>
      <c r="R252" s="807"/>
      <c r="S252" s="807"/>
      <c r="T252" s="807"/>
      <c r="U252" s="807"/>
      <c r="V252" s="807"/>
      <c r="W252" s="807"/>
      <c r="X252" s="807"/>
      <c r="Y252" s="807"/>
      <c r="Z252" s="807"/>
      <c r="AA252" s="807"/>
      <c r="AB252" s="807"/>
      <c r="AC252" s="807"/>
      <c r="AD252" s="807"/>
      <c r="AE252" s="807"/>
      <c r="AF252" s="807"/>
      <c r="AG252" s="807"/>
      <c r="AH252" s="821"/>
    </row>
    <row r="253" spans="2:34" x14ac:dyDescent="0.3">
      <c r="B253" s="858" t="s">
        <v>666</v>
      </c>
      <c r="C253" s="859">
        <v>106</v>
      </c>
      <c r="D253" s="802">
        <f>SUMPRODUCT($AG$8:$AG$39,D$116:D$147)</f>
        <v>0</v>
      </c>
      <c r="E253" s="802">
        <f t="shared" ref="E253:K253" si="105">SUMPRODUCT($AG$8:$AG$39,E$116:E$147)</f>
        <v>28.266488027484428</v>
      </c>
      <c r="F253" s="802">
        <f t="shared" si="105"/>
        <v>20.104293924126608</v>
      </c>
      <c r="G253" s="802">
        <f t="shared" si="105"/>
        <v>20.106502483988848</v>
      </c>
      <c r="H253" s="802">
        <f t="shared" si="105"/>
        <v>21.32788320024811</v>
      </c>
      <c r="I253" s="802">
        <f t="shared" si="105"/>
        <v>27.213433648224367</v>
      </c>
      <c r="J253" s="802">
        <f t="shared" si="105"/>
        <v>19.398245921154313</v>
      </c>
      <c r="K253" s="802">
        <f t="shared" si="105"/>
        <v>27.61943008994038</v>
      </c>
      <c r="M253" s="806" t="s">
        <v>411</v>
      </c>
      <c r="N253" s="802" t="s">
        <v>296</v>
      </c>
      <c r="O253" s="716"/>
      <c r="P253" s="716"/>
      <c r="Q253" s="716"/>
      <c r="R253" s="716"/>
      <c r="S253" s="716"/>
      <c r="T253" s="716"/>
      <c r="U253" s="716"/>
      <c r="V253" s="716">
        <v>0.4</v>
      </c>
      <c r="W253" s="716"/>
      <c r="X253" s="716"/>
      <c r="Y253" s="716"/>
      <c r="Z253" s="716"/>
      <c r="AA253" s="716"/>
      <c r="AB253" s="716"/>
      <c r="AC253" s="716"/>
      <c r="AD253" s="716">
        <v>0.6</v>
      </c>
      <c r="AE253" s="716"/>
      <c r="AF253" s="716"/>
      <c r="AG253" s="716"/>
      <c r="AH253" s="248">
        <f>SUM(O253:AD253)</f>
        <v>1</v>
      </c>
    </row>
    <row r="254" spans="2:34" x14ac:dyDescent="0.3">
      <c r="M254" s="819" t="s">
        <v>711</v>
      </c>
      <c r="N254" s="820"/>
      <c r="O254" s="807"/>
      <c r="P254" s="807"/>
      <c r="Q254" s="807"/>
      <c r="R254" s="807"/>
      <c r="S254" s="807"/>
      <c r="T254" s="807"/>
      <c r="U254" s="807"/>
      <c r="V254" s="807"/>
      <c r="W254" s="807"/>
      <c r="X254" s="807"/>
      <c r="Y254" s="807"/>
      <c r="Z254" s="807"/>
      <c r="AA254" s="807"/>
      <c r="AB254" s="807"/>
      <c r="AC254" s="807"/>
      <c r="AD254" s="807"/>
      <c r="AE254" s="807"/>
      <c r="AF254" s="807"/>
      <c r="AG254" s="807"/>
      <c r="AH254" s="821"/>
    </row>
    <row r="255" spans="2:34" x14ac:dyDescent="0.3">
      <c r="B255" s="179" t="s">
        <v>792</v>
      </c>
      <c r="C255" s="180"/>
      <c r="D255" s="180"/>
      <c r="E255" s="180"/>
      <c r="F255" s="180"/>
      <c r="G255" s="180"/>
      <c r="H255" s="180"/>
      <c r="I255" s="180"/>
      <c r="J255" s="180"/>
      <c r="K255" s="180"/>
      <c r="M255" s="806" t="s">
        <v>711</v>
      </c>
      <c r="N255" s="802" t="s">
        <v>296</v>
      </c>
      <c r="O255" s="716"/>
      <c r="P255" s="716"/>
      <c r="Q255" s="716"/>
      <c r="R255" s="716"/>
      <c r="S255" s="716"/>
      <c r="T255" s="716"/>
      <c r="U255" s="716"/>
      <c r="V255" s="716"/>
      <c r="W255" s="716"/>
      <c r="X255" s="716"/>
      <c r="Y255" s="716"/>
      <c r="Z255" s="716"/>
      <c r="AA255" s="716"/>
      <c r="AB255" s="716"/>
      <c r="AC255" s="716"/>
      <c r="AD255" s="716"/>
      <c r="AE255" s="716"/>
      <c r="AF255" s="716">
        <v>1</v>
      </c>
      <c r="AG255" s="716"/>
      <c r="AH255" s="248">
        <f>SUM(O255:AG255)</f>
        <v>1</v>
      </c>
    </row>
    <row r="256" spans="2:34" x14ac:dyDescent="0.3">
      <c r="B256" s="809"/>
      <c r="C256" s="809" t="s">
        <v>318</v>
      </c>
      <c r="D256" s="857">
        <v>2012</v>
      </c>
      <c r="E256" s="809">
        <v>2020</v>
      </c>
      <c r="F256" s="857">
        <v>2026</v>
      </c>
      <c r="G256" s="809">
        <v>2030</v>
      </c>
      <c r="H256" s="809">
        <v>2035</v>
      </c>
      <c r="I256" s="809">
        <v>2040</v>
      </c>
      <c r="J256" s="809">
        <v>2045</v>
      </c>
      <c r="K256" s="809">
        <v>2050</v>
      </c>
      <c r="M256" s="819" t="s">
        <v>712</v>
      </c>
      <c r="N256" s="820"/>
      <c r="O256" s="807"/>
      <c r="P256" s="807"/>
      <c r="Q256" s="807"/>
      <c r="R256" s="807"/>
      <c r="S256" s="807"/>
      <c r="T256" s="807"/>
      <c r="U256" s="807"/>
      <c r="V256" s="807"/>
      <c r="W256" s="807"/>
      <c r="X256" s="807"/>
      <c r="Y256" s="807"/>
      <c r="Z256" s="807"/>
      <c r="AA256" s="807"/>
      <c r="AB256" s="807"/>
      <c r="AC256" s="807"/>
      <c r="AD256" s="807"/>
      <c r="AE256" s="807"/>
      <c r="AF256" s="807"/>
      <c r="AG256" s="807"/>
      <c r="AH256" s="821"/>
    </row>
    <row r="257" spans="2:34" x14ac:dyDescent="0.3">
      <c r="B257" s="809"/>
      <c r="C257" s="816">
        <v>1</v>
      </c>
      <c r="D257" s="817">
        <v>2</v>
      </c>
      <c r="E257" s="816">
        <v>3</v>
      </c>
      <c r="F257" s="817">
        <v>4</v>
      </c>
      <c r="G257" s="816">
        <v>5</v>
      </c>
      <c r="H257" s="817">
        <v>6</v>
      </c>
      <c r="I257" s="816">
        <v>7</v>
      </c>
      <c r="J257" s="817">
        <v>8</v>
      </c>
      <c r="K257" s="816">
        <v>9</v>
      </c>
      <c r="M257" s="806" t="s">
        <v>634</v>
      </c>
      <c r="N257" s="802" t="s">
        <v>75</v>
      </c>
      <c r="O257" s="716"/>
      <c r="P257" s="716"/>
      <c r="Q257" s="716"/>
      <c r="R257" s="716"/>
      <c r="S257" s="716"/>
      <c r="T257" s="716"/>
      <c r="U257" s="716"/>
      <c r="V257" s="716"/>
      <c r="W257" s="716"/>
      <c r="X257" s="716"/>
      <c r="Y257" s="716"/>
      <c r="Z257" s="716"/>
      <c r="AA257" s="716"/>
      <c r="AB257" s="716"/>
      <c r="AC257" s="716"/>
      <c r="AD257" s="716"/>
      <c r="AE257" s="716"/>
      <c r="AF257" s="716"/>
      <c r="AG257" s="716"/>
      <c r="AH257" s="822"/>
    </row>
    <row r="258" spans="2:34" x14ac:dyDescent="0.3">
      <c r="B258" s="818" t="s">
        <v>231</v>
      </c>
      <c r="C258" s="809">
        <v>1</v>
      </c>
      <c r="D258" s="802">
        <f t="shared" ref="D258:K258" si="106">SUMPRODUCT($O8:$O39,D$152:D$183)</f>
        <v>0</v>
      </c>
      <c r="E258" s="802">
        <f t="shared" si="106"/>
        <v>-1.4291611025280426E-2</v>
      </c>
      <c r="F258" s="802">
        <f t="shared" si="106"/>
        <v>-1.7552796823834038E-2</v>
      </c>
      <c r="G258" s="802">
        <f t="shared" si="106"/>
        <v>-1.8489535753126063E-2</v>
      </c>
      <c r="H258" s="802">
        <f t="shared" si="106"/>
        <v>-1.0632182039500337E-2</v>
      </c>
      <c r="I258" s="802">
        <f t="shared" si="106"/>
        <v>0</v>
      </c>
      <c r="J258" s="802">
        <f t="shared" si="106"/>
        <v>0</v>
      </c>
      <c r="K258" s="802">
        <f t="shared" si="106"/>
        <v>0</v>
      </c>
      <c r="M258" s="806" t="s">
        <v>634</v>
      </c>
      <c r="N258" s="802" t="s">
        <v>296</v>
      </c>
      <c r="O258" s="716"/>
      <c r="P258" s="716"/>
      <c r="Q258" s="716"/>
      <c r="R258" s="716"/>
      <c r="S258" s="716"/>
      <c r="T258" s="716"/>
      <c r="U258" s="716"/>
      <c r="V258" s="716"/>
      <c r="W258" s="716"/>
      <c r="X258" s="716"/>
      <c r="Y258" s="716"/>
      <c r="Z258" s="716"/>
      <c r="AA258" s="716"/>
      <c r="AB258" s="716"/>
      <c r="AC258" s="716"/>
      <c r="AD258" s="716">
        <v>-1</v>
      </c>
      <c r="AE258" s="716"/>
      <c r="AF258" s="716"/>
      <c r="AG258" s="716"/>
      <c r="AH258" s="248">
        <f>SUM(O258:AG258)</f>
        <v>-1</v>
      </c>
    </row>
    <row r="259" spans="2:34" x14ac:dyDescent="0.3">
      <c r="B259" s="818" t="s">
        <v>209</v>
      </c>
      <c r="C259" s="809">
        <v>2</v>
      </c>
      <c r="D259" s="802">
        <f t="shared" ref="D259:K259" si="107">SUMPRODUCT($P8:$P39,D$152:D$183)</f>
        <v>0</v>
      </c>
      <c r="E259" s="802">
        <f t="shared" si="107"/>
        <v>-18.623722235384911</v>
      </c>
      <c r="F259" s="802">
        <f t="shared" si="107"/>
        <v>-15.898428081058611</v>
      </c>
      <c r="G259" s="802">
        <f t="shared" si="107"/>
        <v>4.7600599377475135</v>
      </c>
      <c r="H259" s="802">
        <f t="shared" si="107"/>
        <v>4.3644387186399882</v>
      </c>
      <c r="I259" s="802">
        <f t="shared" si="107"/>
        <v>3.7429442091751639</v>
      </c>
      <c r="J259" s="802">
        <f t="shared" si="107"/>
        <v>-3.2561414117912619</v>
      </c>
      <c r="K259" s="802">
        <f t="shared" si="107"/>
        <v>7.5416315776145666</v>
      </c>
      <c r="M259" s="819" t="s">
        <v>713</v>
      </c>
      <c r="N259" s="820"/>
      <c r="O259" s="807"/>
      <c r="P259" s="807"/>
      <c r="Q259" s="807"/>
      <c r="R259" s="807"/>
      <c r="S259" s="807"/>
      <c r="T259" s="807"/>
      <c r="U259" s="807"/>
      <c r="V259" s="807"/>
      <c r="W259" s="807"/>
      <c r="X259" s="807"/>
      <c r="Y259" s="807"/>
      <c r="Z259" s="807"/>
      <c r="AA259" s="807"/>
      <c r="AB259" s="807"/>
      <c r="AC259" s="807"/>
      <c r="AD259" s="807"/>
      <c r="AE259" s="807"/>
      <c r="AF259" s="807"/>
      <c r="AG259" s="807"/>
      <c r="AH259" s="821"/>
    </row>
    <row r="260" spans="2:34" x14ac:dyDescent="0.3">
      <c r="B260" s="818" t="s">
        <v>417</v>
      </c>
      <c r="C260" s="809">
        <v>4</v>
      </c>
      <c r="D260" s="802">
        <f t="shared" ref="D260:K260" si="108">SUMPRODUCT($Q8:$Q39,D$152:D$183)</f>
        <v>0</v>
      </c>
      <c r="E260" s="802">
        <f t="shared" si="108"/>
        <v>105.02764309936968</v>
      </c>
      <c r="F260" s="802">
        <f t="shared" si="108"/>
        <v>65.982839999999868</v>
      </c>
      <c r="G260" s="802">
        <f t="shared" si="108"/>
        <v>0.83329251677414939</v>
      </c>
      <c r="H260" s="802">
        <f t="shared" si="108"/>
        <v>0.92472657807308878</v>
      </c>
      <c r="I260" s="802">
        <f t="shared" si="108"/>
        <v>1.0709999999999973</v>
      </c>
      <c r="J260" s="802">
        <f t="shared" si="108"/>
        <v>0</v>
      </c>
      <c r="K260" s="802">
        <f t="shared" si="108"/>
        <v>0</v>
      </c>
      <c r="M260" s="819"/>
      <c r="N260" s="820"/>
      <c r="O260" s="807"/>
      <c r="P260" s="807"/>
      <c r="Q260" s="807"/>
      <c r="R260" s="807"/>
      <c r="S260" s="807"/>
      <c r="T260" s="807"/>
      <c r="U260" s="807"/>
      <c r="V260" s="807"/>
      <c r="W260" s="807"/>
      <c r="X260" s="807"/>
      <c r="Y260" s="807"/>
      <c r="Z260" s="807"/>
      <c r="AA260" s="807"/>
      <c r="AB260" s="807"/>
      <c r="AC260" s="807"/>
      <c r="AD260" s="807"/>
      <c r="AE260" s="807"/>
      <c r="AF260" s="807"/>
      <c r="AG260" s="807"/>
      <c r="AH260" s="821"/>
    </row>
    <row r="261" spans="2:34" x14ac:dyDescent="0.3">
      <c r="B261" s="818" t="s">
        <v>124</v>
      </c>
      <c r="C261" s="809">
        <v>10</v>
      </c>
      <c r="D261" s="802">
        <f t="shared" ref="D261:K261" si="109">SUMPRODUCT($R8:$R39,D$152:D$183)</f>
        <v>0</v>
      </c>
      <c r="E261" s="802">
        <f t="shared" si="109"/>
        <v>0</v>
      </c>
      <c r="F261" s="802">
        <f t="shared" si="109"/>
        <v>0</v>
      </c>
      <c r="G261" s="802">
        <f t="shared" si="109"/>
        <v>0</v>
      </c>
      <c r="H261" s="802">
        <f t="shared" si="109"/>
        <v>0</v>
      </c>
      <c r="I261" s="802">
        <f t="shared" si="109"/>
        <v>0</v>
      </c>
      <c r="J261" s="802">
        <f t="shared" si="109"/>
        <v>0</v>
      </c>
      <c r="K261" s="802">
        <f t="shared" si="109"/>
        <v>0</v>
      </c>
      <c r="M261" s="806" t="s">
        <v>714</v>
      </c>
      <c r="N261" s="802" t="s">
        <v>412</v>
      </c>
      <c r="O261" s="716"/>
      <c r="P261" s="716"/>
      <c r="Q261" s="716"/>
      <c r="R261" s="716"/>
      <c r="S261" s="716"/>
      <c r="T261" s="716"/>
      <c r="U261" s="716"/>
      <c r="V261" s="716"/>
      <c r="W261" s="716"/>
      <c r="X261" s="716"/>
      <c r="Y261" s="716"/>
      <c r="Z261" s="716"/>
      <c r="AA261" s="716"/>
      <c r="AB261" s="716"/>
      <c r="AC261" s="716"/>
      <c r="AD261" s="716"/>
      <c r="AE261" s="716"/>
      <c r="AF261" s="716"/>
      <c r="AG261" s="716"/>
      <c r="AH261" s="822"/>
    </row>
    <row r="262" spans="2:34" x14ac:dyDescent="0.3">
      <c r="B262" s="818" t="s">
        <v>133</v>
      </c>
      <c r="C262" s="809">
        <v>23</v>
      </c>
      <c r="D262" s="802">
        <f t="shared" ref="D262:K262" si="110">SUMPRODUCT($S8:$S39,D$152:D$183)</f>
        <v>0</v>
      </c>
      <c r="E262" s="802">
        <f t="shared" si="110"/>
        <v>14.098779020596943</v>
      </c>
      <c r="F262" s="802">
        <f t="shared" si="110"/>
        <v>13.388191784366001</v>
      </c>
      <c r="G262" s="802">
        <f t="shared" si="110"/>
        <v>-2.7267695501005242</v>
      </c>
      <c r="H262" s="802">
        <f t="shared" si="110"/>
        <v>-0.39034431323469931</v>
      </c>
      <c r="I262" s="802">
        <f t="shared" si="110"/>
        <v>1.0280685212862224</v>
      </c>
      <c r="J262" s="802">
        <f t="shared" si="110"/>
        <v>13.799743276073855</v>
      </c>
      <c r="K262" s="802">
        <f t="shared" si="110"/>
        <v>20.143220095500361</v>
      </c>
      <c r="M262" s="806" t="s">
        <v>308</v>
      </c>
      <c r="N262" s="802" t="s">
        <v>412</v>
      </c>
      <c r="O262" s="716"/>
      <c r="P262" s="716"/>
      <c r="Q262" s="716"/>
      <c r="R262" s="716"/>
      <c r="S262" s="716"/>
      <c r="T262" s="716"/>
      <c r="U262" s="716"/>
      <c r="V262" s="716"/>
      <c r="W262" s="716"/>
      <c r="X262" s="716"/>
      <c r="Y262" s="716"/>
      <c r="Z262" s="716"/>
      <c r="AA262" s="716"/>
      <c r="AB262" s="716"/>
      <c r="AC262" s="716"/>
      <c r="AD262" s="716"/>
      <c r="AE262" s="716"/>
      <c r="AF262" s="716"/>
      <c r="AG262" s="716"/>
      <c r="AH262" s="822"/>
    </row>
    <row r="263" spans="2:34" x14ac:dyDescent="0.3">
      <c r="B263" s="818" t="s">
        <v>285</v>
      </c>
      <c r="C263" s="809">
        <v>24</v>
      </c>
      <c r="D263" s="802">
        <f t="shared" ref="D263:K263" si="111">SUMPRODUCT($T8:$T39,D$152:D$183)</f>
        <v>0</v>
      </c>
      <c r="E263" s="802">
        <f t="shared" si="111"/>
        <v>0</v>
      </c>
      <c r="F263" s="802">
        <f t="shared" si="111"/>
        <v>0</v>
      </c>
      <c r="G263" s="802">
        <f t="shared" si="111"/>
        <v>0</v>
      </c>
      <c r="H263" s="802">
        <f t="shared" si="111"/>
        <v>0</v>
      </c>
      <c r="I263" s="802">
        <f t="shared" si="111"/>
        <v>0</v>
      </c>
      <c r="J263" s="802">
        <f t="shared" si="111"/>
        <v>0</v>
      </c>
      <c r="K263" s="802">
        <f t="shared" si="111"/>
        <v>0</v>
      </c>
      <c r="M263" s="806" t="s">
        <v>715</v>
      </c>
      <c r="N263" s="802" t="s">
        <v>412</v>
      </c>
      <c r="O263" s="716"/>
      <c r="P263" s="716"/>
      <c r="Q263" s="716"/>
      <c r="R263" s="716"/>
      <c r="S263" s="716"/>
      <c r="T263" s="716"/>
      <c r="U263" s="716"/>
      <c r="V263" s="716"/>
      <c r="W263" s="716"/>
      <c r="X263" s="716"/>
      <c r="Y263" s="716"/>
      <c r="Z263" s="716"/>
      <c r="AA263" s="716"/>
      <c r="AB263" s="716"/>
      <c r="AC263" s="716"/>
      <c r="AD263" s="716"/>
      <c r="AE263" s="716"/>
      <c r="AF263" s="716"/>
      <c r="AG263" s="716"/>
      <c r="AH263" s="822"/>
    </row>
    <row r="264" spans="2:34" x14ac:dyDescent="0.3">
      <c r="B264" s="818" t="s">
        <v>315</v>
      </c>
      <c r="C264" s="809">
        <v>26</v>
      </c>
      <c r="D264" s="802">
        <f t="shared" ref="D264:K264" si="112">SUMPRODUCT($U8:$U39,D$152:D$183)</f>
        <v>0</v>
      </c>
      <c r="E264" s="802">
        <f t="shared" si="112"/>
        <v>0</v>
      </c>
      <c r="F264" s="802">
        <f t="shared" si="112"/>
        <v>0</v>
      </c>
      <c r="G264" s="802">
        <f t="shared" si="112"/>
        <v>0</v>
      </c>
      <c r="H264" s="802">
        <f t="shared" si="112"/>
        <v>0</v>
      </c>
      <c r="I264" s="802">
        <f t="shared" si="112"/>
        <v>0</v>
      </c>
      <c r="J264" s="802">
        <f t="shared" si="112"/>
        <v>0</v>
      </c>
      <c r="K264" s="802">
        <f t="shared" si="112"/>
        <v>0</v>
      </c>
      <c r="M264" s="806" t="s">
        <v>308</v>
      </c>
      <c r="N264" s="802" t="s">
        <v>296</v>
      </c>
      <c r="O264" s="716"/>
      <c r="P264" s="716"/>
      <c r="Q264" s="716"/>
      <c r="R264" s="716"/>
      <c r="S264" s="716"/>
      <c r="T264" s="716"/>
      <c r="U264" s="716"/>
      <c r="V264" s="716"/>
      <c r="W264" s="716"/>
      <c r="X264" s="716"/>
      <c r="Y264" s="716"/>
      <c r="Z264" s="716"/>
      <c r="AA264" s="716"/>
      <c r="AB264" s="716"/>
      <c r="AC264" s="716"/>
      <c r="AD264" s="716"/>
      <c r="AE264" s="716"/>
      <c r="AF264" s="716"/>
      <c r="AG264" s="716"/>
      <c r="AH264" s="822"/>
    </row>
    <row r="265" spans="2:34" x14ac:dyDescent="0.3">
      <c r="B265" s="818" t="s">
        <v>38</v>
      </c>
      <c r="C265" s="809">
        <v>29</v>
      </c>
      <c r="D265" s="802">
        <f t="shared" ref="D265:K265" si="113">SUMPRODUCT($V8:$V39,D$152:D$183)</f>
        <v>0</v>
      </c>
      <c r="E265" s="802">
        <f t="shared" si="113"/>
        <v>8.8737323964476182</v>
      </c>
      <c r="F265" s="802">
        <f t="shared" si="113"/>
        <v>12.815633837443011</v>
      </c>
      <c r="G265" s="802">
        <f t="shared" si="113"/>
        <v>28.333317114595111</v>
      </c>
      <c r="H265" s="802">
        <f t="shared" si="113"/>
        <v>4.0702100315018184</v>
      </c>
      <c r="I265" s="802">
        <f t="shared" si="113"/>
        <v>0.69553494435508734</v>
      </c>
      <c r="J265" s="802">
        <f t="shared" si="113"/>
        <v>-21.544431864145679</v>
      </c>
      <c r="K265" s="802">
        <f t="shared" si="113"/>
        <v>37.888697473243781</v>
      </c>
      <c r="M265" s="806" t="s">
        <v>716</v>
      </c>
      <c r="N265" s="802" t="s">
        <v>296</v>
      </c>
      <c r="O265" s="716"/>
      <c r="P265" s="716"/>
      <c r="Q265" s="716"/>
      <c r="R265" s="716"/>
      <c r="S265" s="716"/>
      <c r="T265" s="716"/>
      <c r="U265" s="716"/>
      <c r="V265" s="716"/>
      <c r="W265" s="716"/>
      <c r="X265" s="716"/>
      <c r="Y265" s="716"/>
      <c r="Z265" s="716"/>
      <c r="AA265" s="716"/>
      <c r="AB265" s="716"/>
      <c r="AC265" s="716"/>
      <c r="AD265" s="716"/>
      <c r="AE265" s="716">
        <v>1</v>
      </c>
      <c r="AF265" s="716"/>
      <c r="AG265" s="716"/>
      <c r="AH265" s="248">
        <f>SUM(O265:AG265)</f>
        <v>1</v>
      </c>
    </row>
    <row r="266" spans="2:34" x14ac:dyDescent="0.3">
      <c r="B266" s="818" t="s">
        <v>136</v>
      </c>
      <c r="C266" s="809">
        <v>30</v>
      </c>
      <c r="D266" s="802">
        <f t="shared" ref="D266:K266" si="114">SUMPRODUCT($W8:$W39,D$152:D$183)</f>
        <v>0</v>
      </c>
      <c r="E266" s="802">
        <f t="shared" si="114"/>
        <v>0</v>
      </c>
      <c r="F266" s="802">
        <f t="shared" si="114"/>
        <v>0</v>
      </c>
      <c r="G266" s="802">
        <f t="shared" si="114"/>
        <v>0</v>
      </c>
      <c r="H266" s="802">
        <f t="shared" si="114"/>
        <v>0</v>
      </c>
      <c r="I266" s="802">
        <f t="shared" si="114"/>
        <v>0</v>
      </c>
      <c r="J266" s="802">
        <f t="shared" si="114"/>
        <v>0</v>
      </c>
      <c r="K266" s="802">
        <f t="shared" si="114"/>
        <v>0</v>
      </c>
      <c r="M266" s="806" t="s">
        <v>717</v>
      </c>
      <c r="N266" s="802" t="s">
        <v>296</v>
      </c>
      <c r="O266" s="716"/>
      <c r="P266" s="716"/>
      <c r="Q266" s="716"/>
      <c r="R266" s="716"/>
      <c r="S266" s="716"/>
      <c r="T266" s="716"/>
      <c r="U266" s="716"/>
      <c r="V266" s="716"/>
      <c r="W266" s="716"/>
      <c r="X266" s="716"/>
      <c r="Y266" s="716"/>
      <c r="Z266" s="716"/>
      <c r="AA266" s="716"/>
      <c r="AB266" s="716">
        <v>-1</v>
      </c>
      <c r="AC266" s="716"/>
      <c r="AD266" s="716"/>
      <c r="AE266" s="716"/>
      <c r="AF266" s="716"/>
      <c r="AG266" s="716"/>
      <c r="AH266" s="248">
        <f>SUM(O266:AG266)</f>
        <v>-1</v>
      </c>
    </row>
    <row r="267" spans="2:34" x14ac:dyDescent="0.3">
      <c r="B267" s="818" t="s">
        <v>360</v>
      </c>
      <c r="C267" s="809">
        <v>31</v>
      </c>
      <c r="D267" s="802">
        <f t="shared" ref="D267:K267" si="115">SUMPRODUCT($X8:$X39,D$152:D$183)</f>
        <v>0</v>
      </c>
      <c r="E267" s="802">
        <f t="shared" si="115"/>
        <v>0</v>
      </c>
      <c r="F267" s="802">
        <f t="shared" si="115"/>
        <v>0</v>
      </c>
      <c r="G267" s="802">
        <f t="shared" si="115"/>
        <v>0</v>
      </c>
      <c r="H267" s="802">
        <f t="shared" si="115"/>
        <v>0</v>
      </c>
      <c r="I267" s="802">
        <f t="shared" si="115"/>
        <v>0</v>
      </c>
      <c r="J267" s="802">
        <f t="shared" si="115"/>
        <v>0</v>
      </c>
      <c r="K267" s="802">
        <f t="shared" si="115"/>
        <v>0</v>
      </c>
    </row>
    <row r="268" spans="2:34" x14ac:dyDescent="0.3">
      <c r="B268" s="818" t="s">
        <v>361</v>
      </c>
      <c r="C268" s="809">
        <v>32</v>
      </c>
      <c r="D268" s="802">
        <f t="shared" ref="D268:K268" si="116">SUMPRODUCT($Y8:$Y39,D$152:D$183)</f>
        <v>0</v>
      </c>
      <c r="E268" s="802">
        <f t="shared" si="116"/>
        <v>0</v>
      </c>
      <c r="F268" s="802">
        <f t="shared" si="116"/>
        <v>0</v>
      </c>
      <c r="G268" s="802">
        <f t="shared" si="116"/>
        <v>0</v>
      </c>
      <c r="H268" s="802">
        <f t="shared" si="116"/>
        <v>0</v>
      </c>
      <c r="I268" s="802">
        <f t="shared" si="116"/>
        <v>0</v>
      </c>
      <c r="J268" s="802">
        <f t="shared" si="116"/>
        <v>0</v>
      </c>
      <c r="K268" s="802">
        <f t="shared" si="116"/>
        <v>0</v>
      </c>
    </row>
    <row r="269" spans="2:34" x14ac:dyDescent="0.3">
      <c r="B269" s="818" t="s">
        <v>362</v>
      </c>
      <c r="C269" s="809">
        <v>33</v>
      </c>
      <c r="D269" s="802">
        <f t="shared" ref="D269:K269" si="117">SUMPRODUCT($Z8:$Z39,D$152:D$183)</f>
        <v>0</v>
      </c>
      <c r="E269" s="802">
        <f t="shared" si="117"/>
        <v>0</v>
      </c>
      <c r="F269" s="802">
        <f t="shared" si="117"/>
        <v>0</v>
      </c>
      <c r="G269" s="802">
        <f t="shared" si="117"/>
        <v>0</v>
      </c>
      <c r="H269" s="802">
        <f t="shared" si="117"/>
        <v>0</v>
      </c>
      <c r="I269" s="802">
        <f t="shared" si="117"/>
        <v>0</v>
      </c>
      <c r="J269" s="802">
        <f t="shared" si="117"/>
        <v>0</v>
      </c>
      <c r="K269" s="802">
        <f t="shared" si="117"/>
        <v>0</v>
      </c>
    </row>
    <row r="270" spans="2:34" x14ac:dyDescent="0.3">
      <c r="B270" s="818" t="s">
        <v>363</v>
      </c>
      <c r="C270" s="809">
        <v>55</v>
      </c>
      <c r="D270" s="802">
        <f t="shared" ref="D270:K270" si="118">SUMPRODUCT($AA8:$AA39,D$152:D$183)</f>
        <v>0</v>
      </c>
      <c r="E270" s="802">
        <f t="shared" si="118"/>
        <v>0</v>
      </c>
      <c r="F270" s="802">
        <f t="shared" si="118"/>
        <v>0</v>
      </c>
      <c r="G270" s="802">
        <f t="shared" si="118"/>
        <v>0</v>
      </c>
      <c r="H270" s="802">
        <f t="shared" si="118"/>
        <v>0</v>
      </c>
      <c r="I270" s="802">
        <f t="shared" si="118"/>
        <v>0</v>
      </c>
      <c r="J270" s="802">
        <f t="shared" si="118"/>
        <v>0</v>
      </c>
      <c r="K270" s="802">
        <f t="shared" si="118"/>
        <v>0</v>
      </c>
    </row>
    <row r="271" spans="2:34" x14ac:dyDescent="0.3">
      <c r="B271" s="858" t="s">
        <v>204</v>
      </c>
      <c r="C271" s="859">
        <v>101</v>
      </c>
      <c r="D271" s="802">
        <f t="shared" ref="D271:K271" si="119">SUMPRODUCT($AB8:$AB39,D$152:D$183)</f>
        <v>0</v>
      </c>
      <c r="E271" s="802">
        <f t="shared" si="119"/>
        <v>297.64844357761382</v>
      </c>
      <c r="F271" s="802">
        <f t="shared" si="119"/>
        <v>270.7540533521659</v>
      </c>
      <c r="G271" s="802">
        <f t="shared" si="119"/>
        <v>266.86742765683334</v>
      </c>
      <c r="H271" s="802">
        <f t="shared" si="119"/>
        <v>256.52999661930608</v>
      </c>
      <c r="I271" s="802">
        <f t="shared" si="119"/>
        <v>151.02067073508945</v>
      </c>
      <c r="J271" s="802">
        <f t="shared" si="119"/>
        <v>54.90148609179252</v>
      </c>
      <c r="K271" s="802">
        <f t="shared" si="119"/>
        <v>30.669653296573159</v>
      </c>
    </row>
    <row r="272" spans="2:34" x14ac:dyDescent="0.3">
      <c r="B272" s="858" t="s">
        <v>364</v>
      </c>
      <c r="C272" s="859">
        <v>102</v>
      </c>
      <c r="D272" s="802">
        <f t="shared" ref="D272:K272" si="120">SUMPRODUCT($AC8:$AC39,D$152:D$183)</f>
        <v>0</v>
      </c>
      <c r="E272" s="802">
        <f t="shared" si="120"/>
        <v>0</v>
      </c>
      <c r="F272" s="802">
        <f t="shared" si="120"/>
        <v>0</v>
      </c>
      <c r="G272" s="802">
        <f t="shared" si="120"/>
        <v>0</v>
      </c>
      <c r="H272" s="802">
        <f t="shared" si="120"/>
        <v>0</v>
      </c>
      <c r="I272" s="802">
        <f t="shared" si="120"/>
        <v>0</v>
      </c>
      <c r="J272" s="802">
        <f t="shared" si="120"/>
        <v>0</v>
      </c>
      <c r="K272" s="802">
        <f t="shared" si="120"/>
        <v>0</v>
      </c>
    </row>
    <row r="273" spans="2:11" x14ac:dyDescent="0.3">
      <c r="B273" s="858" t="s">
        <v>457</v>
      </c>
      <c r="C273" s="859">
        <v>103</v>
      </c>
      <c r="D273" s="802">
        <f>-SUMPRODUCT($AD8:$AD39,D$152:D$183)</f>
        <v>0</v>
      </c>
      <c r="E273" s="802">
        <f t="shared" ref="E273:K273" si="121">-SUMPRODUCT($AD8:$AD39,E$152:E$183)</f>
        <v>271.08066073571683</v>
      </c>
      <c r="F273" s="802">
        <f t="shared" si="121"/>
        <v>416.28308691809434</v>
      </c>
      <c r="G273" s="802">
        <f t="shared" si="121"/>
        <v>398.18324817978032</v>
      </c>
      <c r="H273" s="802">
        <f t="shared" si="121"/>
        <v>435.41778893904342</v>
      </c>
      <c r="I273" s="802">
        <f t="shared" si="121"/>
        <v>260.55169625677428</v>
      </c>
      <c r="J273" s="802">
        <f t="shared" si="121"/>
        <v>280.24369772889531</v>
      </c>
      <c r="K273" s="802">
        <f t="shared" si="121"/>
        <v>182.85170264331651</v>
      </c>
    </row>
    <row r="274" spans="2:11" x14ac:dyDescent="0.3">
      <c r="B274" s="858" t="s">
        <v>110</v>
      </c>
      <c r="C274" s="859">
        <v>104</v>
      </c>
      <c r="D274" s="802">
        <f t="shared" ref="D274:K274" si="122">SUMPRODUCT($AE8:$AE39,D$152:D$183)</f>
        <v>0</v>
      </c>
      <c r="E274" s="802">
        <f t="shared" si="122"/>
        <v>0</v>
      </c>
      <c r="F274" s="802">
        <f t="shared" si="122"/>
        <v>0</v>
      </c>
      <c r="G274" s="802">
        <f t="shared" si="122"/>
        <v>0</v>
      </c>
      <c r="H274" s="802">
        <f t="shared" si="122"/>
        <v>0</v>
      </c>
      <c r="I274" s="802">
        <f t="shared" si="122"/>
        <v>0</v>
      </c>
      <c r="J274" s="802">
        <f t="shared" si="122"/>
        <v>0</v>
      </c>
      <c r="K274" s="802">
        <f t="shared" si="122"/>
        <v>0</v>
      </c>
    </row>
    <row r="275" spans="2:11" x14ac:dyDescent="0.3">
      <c r="B275" s="858" t="s">
        <v>53</v>
      </c>
      <c r="C275" s="859">
        <v>105</v>
      </c>
      <c r="D275" s="802">
        <f>-SUMPRODUCT($AF8:$AF39,D$152:D$183)</f>
        <v>0</v>
      </c>
      <c r="E275" s="802">
        <f t="shared" ref="E275:K275" si="123">-SUMPRODUCT($AF8:$AF39,E$152:E$183)</f>
        <v>0</v>
      </c>
      <c r="F275" s="802">
        <f t="shared" si="123"/>
        <v>0</v>
      </c>
      <c r="G275" s="802">
        <f t="shared" si="123"/>
        <v>0</v>
      </c>
      <c r="H275" s="802">
        <f t="shared" si="123"/>
        <v>0</v>
      </c>
      <c r="I275" s="802">
        <f t="shared" si="123"/>
        <v>0</v>
      </c>
      <c r="J275" s="802">
        <f t="shared" si="123"/>
        <v>0</v>
      </c>
      <c r="K275" s="802">
        <f t="shared" si="123"/>
        <v>0</v>
      </c>
    </row>
    <row r="276" spans="2:11" x14ac:dyDescent="0.3">
      <c r="B276" s="858" t="s">
        <v>666</v>
      </c>
      <c r="C276" s="859">
        <v>106</v>
      </c>
      <c r="D276" s="802">
        <f>SUMPRODUCT($AG8:$AG39,D$152:D$183)</f>
        <v>0</v>
      </c>
      <c r="E276" s="802">
        <f t="shared" ref="E276:K276" si="124">SUMPRODUCT($AG8:$AG39,E$152:E$183)</f>
        <v>-45.303428725664695</v>
      </c>
      <c r="F276" s="802">
        <f t="shared" si="124"/>
        <v>-36.904989489833071</v>
      </c>
      <c r="G276" s="802">
        <f t="shared" si="124"/>
        <v>-13.880254257400793</v>
      </c>
      <c r="H276" s="802">
        <f t="shared" si="124"/>
        <v>-11.217606740917404</v>
      </c>
      <c r="I276" s="802">
        <f t="shared" si="124"/>
        <v>-10.464555721821966</v>
      </c>
      <c r="J276" s="802">
        <f t="shared" si="124"/>
        <v>7.3516373237524419</v>
      </c>
      <c r="K276" s="802">
        <f t="shared" si="124"/>
        <v>20.36172372097306</v>
      </c>
    </row>
  </sheetData>
  <conditionalFormatting sqref="AH26 AH28 AH18:AH24">
    <cfRule type="cellIs" dxfId="44" priority="23" operator="lessThan">
      <formula>1</formula>
    </cfRule>
    <cfRule type="cellIs" dxfId="43" priority="24" operator="greaterThan">
      <formula>1</formula>
    </cfRule>
  </conditionalFormatting>
  <conditionalFormatting sqref="AH31">
    <cfRule type="cellIs" dxfId="42" priority="21" operator="lessThan">
      <formula>1</formula>
    </cfRule>
    <cfRule type="cellIs" dxfId="41" priority="22" operator="greaterThan">
      <formula>1</formula>
    </cfRule>
  </conditionalFormatting>
  <conditionalFormatting sqref="AH38:AH39">
    <cfRule type="cellIs" dxfId="40" priority="19" operator="lessThan">
      <formula>1</formula>
    </cfRule>
    <cfRule type="cellIs" dxfId="39" priority="20" operator="greaterThan">
      <formula>1</formula>
    </cfRule>
  </conditionalFormatting>
  <conditionalFormatting sqref="AH16">
    <cfRule type="cellIs" dxfId="38" priority="13" operator="lessThan">
      <formula>1</formula>
    </cfRule>
    <cfRule type="cellIs" dxfId="37" priority="14" operator="greaterThan">
      <formula>1</formula>
    </cfRule>
  </conditionalFormatting>
  <conditionalFormatting sqref="AH14">
    <cfRule type="cellIs" dxfId="36" priority="17" operator="lessThan">
      <formula>1</formula>
    </cfRule>
    <cfRule type="cellIs" dxfId="35" priority="18" operator="greaterThan">
      <formula>1</formula>
    </cfRule>
  </conditionalFormatting>
  <conditionalFormatting sqref="AH15">
    <cfRule type="cellIs" dxfId="34" priority="15" operator="lessThan">
      <formula>1</formula>
    </cfRule>
    <cfRule type="cellIs" dxfId="33" priority="16" operator="greaterThan">
      <formula>1</formula>
    </cfRule>
  </conditionalFormatting>
  <conditionalFormatting sqref="AH253 AH255 AH245:AH251">
    <cfRule type="cellIs" dxfId="32" priority="11" operator="lessThan">
      <formula>1</formula>
    </cfRule>
    <cfRule type="cellIs" dxfId="31" priority="12" operator="greaterThan">
      <formula>1</formula>
    </cfRule>
  </conditionalFormatting>
  <conditionalFormatting sqref="AH258">
    <cfRule type="cellIs" dxfId="30" priority="9" operator="lessThan">
      <formula>1</formula>
    </cfRule>
    <cfRule type="cellIs" dxfId="29" priority="10" operator="greaterThan">
      <formula>1</formula>
    </cfRule>
  </conditionalFormatting>
  <conditionalFormatting sqref="AH265:AH266">
    <cfRule type="cellIs" dxfId="28" priority="7" operator="lessThan">
      <formula>1</formula>
    </cfRule>
    <cfRule type="cellIs" dxfId="27" priority="8" operator="greaterThan">
      <formula>1</formula>
    </cfRule>
  </conditionalFormatting>
  <conditionalFormatting sqref="AH243">
    <cfRule type="cellIs" dxfId="26" priority="1" operator="lessThan">
      <formula>1</formula>
    </cfRule>
    <cfRule type="cellIs" dxfId="25" priority="2" operator="greaterThan">
      <formula>1</formula>
    </cfRule>
  </conditionalFormatting>
  <conditionalFormatting sqref="AH241">
    <cfRule type="cellIs" dxfId="24" priority="5" operator="lessThan">
      <formula>1</formula>
    </cfRule>
    <cfRule type="cellIs" dxfId="23" priority="6" operator="greaterThan">
      <formula>1</formula>
    </cfRule>
  </conditionalFormatting>
  <conditionalFormatting sqref="AH242">
    <cfRule type="cellIs" dxfId="22" priority="3" operator="lessThan">
      <formula>1</formula>
    </cfRule>
    <cfRule type="cellIs" dxfId="21" priority="4" operator="greaterThan">
      <formula>1</formula>
    </cfRule>
  </conditionalFormatting>
  <hyperlinks>
    <hyperlink ref="A1" location="Tiitel!A1" display="Tiitel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9">
    <tabColor theme="5" tint="-0.249977111117893"/>
  </sheetPr>
  <dimension ref="A1:X97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109375" defaultRowHeight="13.8" x14ac:dyDescent="0.3"/>
  <cols>
    <col min="1" max="1" width="3.5546875" style="181" customWidth="1"/>
    <col min="2" max="2" width="40.33203125" style="181" customWidth="1"/>
    <col min="3" max="12" width="9.109375" style="181"/>
    <col min="13" max="13" width="33.33203125" style="181" customWidth="1"/>
    <col min="14" max="16384" width="9.109375" style="181"/>
  </cols>
  <sheetData>
    <row r="1" spans="1:24" x14ac:dyDescent="0.3">
      <c r="A1" s="801" t="s">
        <v>338</v>
      </c>
    </row>
    <row r="2" spans="1:24" ht="15.6" x14ac:dyDescent="0.3">
      <c r="B2" s="192" t="s">
        <v>623</v>
      </c>
    </row>
    <row r="3" spans="1:24" ht="23.25" customHeight="1" x14ac:dyDescent="0.3">
      <c r="M3" s="567" t="s">
        <v>608</v>
      </c>
      <c r="V3" s="571" t="s">
        <v>632</v>
      </c>
    </row>
    <row r="4" spans="1:24" ht="127.2" x14ac:dyDescent="0.3">
      <c r="B4" s="179" t="s">
        <v>440</v>
      </c>
      <c r="C4" s="180"/>
      <c r="D4" s="180"/>
      <c r="E4" s="180"/>
      <c r="F4" s="180"/>
      <c r="G4" s="180"/>
      <c r="H4" s="180"/>
      <c r="I4" s="180"/>
      <c r="J4" s="180"/>
      <c r="K4" s="180"/>
      <c r="M4" s="802" t="s">
        <v>624</v>
      </c>
      <c r="N4" s="287" t="s">
        <v>231</v>
      </c>
      <c r="O4" s="287" t="s">
        <v>133</v>
      </c>
      <c r="P4" s="287" t="s">
        <v>285</v>
      </c>
      <c r="Q4" s="287" t="s">
        <v>315</v>
      </c>
      <c r="R4" s="287" t="s">
        <v>38</v>
      </c>
      <c r="S4" s="287" t="s">
        <v>453</v>
      </c>
      <c r="T4" s="287" t="s">
        <v>454</v>
      </c>
      <c r="U4" s="287"/>
      <c r="V4" s="287" t="s">
        <v>25</v>
      </c>
      <c r="W4" s="287" t="s">
        <v>53</v>
      </c>
      <c r="X4" s="803" t="s">
        <v>201</v>
      </c>
    </row>
    <row r="5" spans="1:24" x14ac:dyDescent="0.3">
      <c r="B5" s="616"/>
      <c r="C5" s="616" t="s">
        <v>293</v>
      </c>
      <c r="D5" s="616">
        <v>2015</v>
      </c>
      <c r="E5" s="616">
        <v>2020</v>
      </c>
      <c r="F5" s="616">
        <v>2025</v>
      </c>
      <c r="G5" s="616">
        <v>2030</v>
      </c>
      <c r="H5" s="616">
        <v>2035</v>
      </c>
      <c r="I5" s="616">
        <v>2040</v>
      </c>
      <c r="J5" s="616">
        <v>2045</v>
      </c>
      <c r="K5" s="616">
        <v>2050</v>
      </c>
      <c r="M5" s="804" t="s">
        <v>419</v>
      </c>
      <c r="N5" s="249">
        <v>1</v>
      </c>
      <c r="O5" s="249">
        <v>23</v>
      </c>
      <c r="P5" s="249">
        <v>24</v>
      </c>
      <c r="Q5" s="249">
        <v>26</v>
      </c>
      <c r="R5" s="249">
        <v>29</v>
      </c>
      <c r="S5" s="249">
        <v>33</v>
      </c>
      <c r="T5" s="249">
        <v>55</v>
      </c>
      <c r="U5" s="249"/>
      <c r="V5" s="249">
        <v>103</v>
      </c>
      <c r="W5" s="249">
        <v>105</v>
      </c>
      <c r="X5" s="805"/>
    </row>
    <row r="6" spans="1:24" x14ac:dyDescent="0.3">
      <c r="B6" s="601" t="s">
        <v>441</v>
      </c>
      <c r="C6" s="574" t="s">
        <v>403</v>
      </c>
      <c r="D6" s="873">
        <v>0.23292500000000002</v>
      </c>
      <c r="E6" s="873">
        <v>0.24640000000000004</v>
      </c>
      <c r="F6" s="873">
        <v>0.26042500000000002</v>
      </c>
      <c r="G6" s="873">
        <v>0.274175</v>
      </c>
      <c r="H6" s="873">
        <v>0.29342499999999999</v>
      </c>
      <c r="I6" s="873">
        <v>0.31240000000000001</v>
      </c>
      <c r="J6" s="873">
        <v>0.33027499999999999</v>
      </c>
      <c r="K6" s="873">
        <v>0.34787499999999999</v>
      </c>
      <c r="M6" s="802"/>
      <c r="N6" s="802"/>
      <c r="O6" s="802"/>
      <c r="P6" s="802"/>
      <c r="Q6" s="802"/>
      <c r="R6" s="802"/>
      <c r="S6" s="802"/>
      <c r="T6" s="802"/>
      <c r="U6" s="802"/>
      <c r="V6" s="802"/>
      <c r="W6" s="802"/>
      <c r="X6" s="802"/>
    </row>
    <row r="7" spans="1:24" x14ac:dyDescent="0.3">
      <c r="B7" s="601" t="s">
        <v>442</v>
      </c>
      <c r="C7" s="574" t="s">
        <v>403</v>
      </c>
      <c r="D7" s="873">
        <v>0.7413367500000001</v>
      </c>
      <c r="E7" s="873">
        <v>0.71451520000000013</v>
      </c>
      <c r="F7" s="873">
        <v>0.70913727500000001</v>
      </c>
      <c r="G7" s="873">
        <v>0.6302286250000001</v>
      </c>
      <c r="H7" s="873">
        <v>0.66410080000000005</v>
      </c>
      <c r="I7" s="873">
        <v>0.69599879999999992</v>
      </c>
      <c r="J7" s="873">
        <v>0.72414294999999995</v>
      </c>
      <c r="K7" s="873">
        <v>0.73812749999999994</v>
      </c>
      <c r="M7" s="802"/>
      <c r="N7" s="802"/>
      <c r="O7" s="802"/>
      <c r="P7" s="802"/>
      <c r="Q7" s="802"/>
      <c r="R7" s="802"/>
      <c r="S7" s="802"/>
      <c r="T7" s="802"/>
      <c r="U7" s="802"/>
      <c r="V7" s="802"/>
      <c r="W7" s="802"/>
      <c r="X7" s="802"/>
    </row>
    <row r="8" spans="1:24" x14ac:dyDescent="0.3">
      <c r="B8" s="574" t="s">
        <v>443</v>
      </c>
      <c r="C8" s="574" t="s">
        <v>296</v>
      </c>
      <c r="D8" s="799">
        <f>D10+D9</f>
        <v>107.54242454000001</v>
      </c>
      <c r="E8" s="799">
        <f t="shared" ref="E8:K8" si="0">E10+E9</f>
        <v>89.801766336000014</v>
      </c>
      <c r="F8" s="799">
        <f t="shared" si="0"/>
        <v>87.374495981500004</v>
      </c>
      <c r="G8" s="799">
        <f t="shared" si="0"/>
        <v>75.073281425000005</v>
      </c>
      <c r="H8" s="799">
        <f t="shared" si="0"/>
        <v>80.404973002000006</v>
      </c>
      <c r="I8" s="799">
        <f t="shared" si="0"/>
        <v>86.375212099999999</v>
      </c>
      <c r="J8" s="799">
        <f t="shared" si="0"/>
        <v>90.331448634499992</v>
      </c>
      <c r="K8" s="799">
        <f t="shared" si="0"/>
        <v>89.447322474999993</v>
      </c>
      <c r="M8" s="802" t="s">
        <v>443</v>
      </c>
      <c r="N8" s="802"/>
      <c r="O8" s="802"/>
      <c r="P8" s="802"/>
      <c r="Q8" s="802"/>
      <c r="R8" s="802"/>
      <c r="S8" s="802"/>
      <c r="T8" s="802"/>
      <c r="U8" s="802"/>
      <c r="V8" s="802"/>
      <c r="W8" s="802"/>
      <c r="X8" s="802"/>
    </row>
    <row r="9" spans="1:24" x14ac:dyDescent="0.3">
      <c r="B9" s="597" t="s">
        <v>444</v>
      </c>
      <c r="C9" s="574" t="s">
        <v>296</v>
      </c>
      <c r="D9" s="923">
        <v>73.34242454000001</v>
      </c>
      <c r="E9" s="923">
        <v>61.911766336000021</v>
      </c>
      <c r="F9" s="923">
        <v>65.794495981500006</v>
      </c>
      <c r="G9" s="923">
        <v>60.233281425000001</v>
      </c>
      <c r="H9" s="923">
        <v>66.729973002000008</v>
      </c>
      <c r="I9" s="923">
        <v>73.865212099999994</v>
      </c>
      <c r="J9" s="923">
        <v>78.986448634499993</v>
      </c>
      <c r="K9" s="923">
        <v>79.267322474999986</v>
      </c>
      <c r="M9" s="806" t="s">
        <v>444</v>
      </c>
      <c r="N9" s="807"/>
      <c r="O9" s="807"/>
      <c r="P9" s="807"/>
      <c r="Q9" s="807"/>
      <c r="R9" s="807"/>
      <c r="S9" s="807"/>
      <c r="T9" s="807"/>
      <c r="U9" s="807"/>
      <c r="V9" s="807"/>
      <c r="W9" s="807">
        <v>1</v>
      </c>
      <c r="X9" s="248">
        <f>SUM(N9:W9)</f>
        <v>1</v>
      </c>
    </row>
    <row r="10" spans="1:24" x14ac:dyDescent="0.3">
      <c r="B10" s="597" t="s">
        <v>445</v>
      </c>
      <c r="C10" s="574" t="s">
        <v>296</v>
      </c>
      <c r="D10" s="923">
        <v>34.199999999999996</v>
      </c>
      <c r="E10" s="923">
        <v>27.889999999999997</v>
      </c>
      <c r="F10" s="923">
        <v>21.58</v>
      </c>
      <c r="G10" s="923">
        <v>14.84</v>
      </c>
      <c r="H10" s="923">
        <v>13.674999999999999</v>
      </c>
      <c r="I10" s="923">
        <v>12.509999999999998</v>
      </c>
      <c r="J10" s="923">
        <v>11.344999999999999</v>
      </c>
      <c r="K10" s="923">
        <v>10.18</v>
      </c>
      <c r="M10" s="806" t="s">
        <v>445</v>
      </c>
      <c r="N10" s="807">
        <v>0.3</v>
      </c>
      <c r="O10" s="807"/>
      <c r="P10" s="807">
        <v>0.1</v>
      </c>
      <c r="Q10" s="807"/>
      <c r="R10" s="807"/>
      <c r="S10" s="807"/>
      <c r="T10" s="807"/>
      <c r="U10" s="807"/>
      <c r="V10" s="807"/>
      <c r="W10" s="807">
        <v>0.6</v>
      </c>
      <c r="X10" s="248">
        <f>SUM(N10:W10)</f>
        <v>1</v>
      </c>
    </row>
    <row r="11" spans="1:24" x14ac:dyDescent="0.3">
      <c r="B11" s="574" t="s">
        <v>45</v>
      </c>
      <c r="C11" s="574" t="s">
        <v>296</v>
      </c>
      <c r="D11" s="923">
        <f>SUM(D12:D15)</f>
        <v>71</v>
      </c>
      <c r="E11" s="923">
        <f t="shared" ref="E11:K11" si="1">SUM(E12:E15)</f>
        <v>87</v>
      </c>
      <c r="F11" s="923">
        <f t="shared" si="1"/>
        <v>77</v>
      </c>
      <c r="G11" s="923">
        <f t="shared" si="1"/>
        <v>72</v>
      </c>
      <c r="H11" s="923">
        <f t="shared" si="1"/>
        <v>72</v>
      </c>
      <c r="I11" s="923">
        <f t="shared" si="1"/>
        <v>72</v>
      </c>
      <c r="J11" s="923">
        <f t="shared" si="1"/>
        <v>72</v>
      </c>
      <c r="K11" s="923">
        <f t="shared" si="1"/>
        <v>72</v>
      </c>
      <c r="M11" s="802" t="s">
        <v>45</v>
      </c>
      <c r="N11" s="808"/>
      <c r="O11" s="808"/>
      <c r="P11" s="808"/>
      <c r="Q11" s="808"/>
      <c r="R11" s="808"/>
      <c r="S11" s="808"/>
      <c r="T11" s="808"/>
      <c r="U11" s="808"/>
      <c r="V11" s="808"/>
      <c r="W11" s="808"/>
      <c r="X11" s="802"/>
    </row>
    <row r="12" spans="1:24" x14ac:dyDescent="0.3">
      <c r="B12" s="597" t="s">
        <v>446</v>
      </c>
      <c r="C12" s="574" t="s">
        <v>296</v>
      </c>
      <c r="D12" s="923">
        <v>7</v>
      </c>
      <c r="E12" s="923">
        <v>32</v>
      </c>
      <c r="F12" s="923">
        <v>18</v>
      </c>
      <c r="G12" s="923">
        <v>16</v>
      </c>
      <c r="H12" s="923">
        <v>22</v>
      </c>
      <c r="I12" s="923">
        <v>22</v>
      </c>
      <c r="J12" s="923">
        <v>22</v>
      </c>
      <c r="K12" s="923">
        <v>22</v>
      </c>
      <c r="M12" s="806" t="s">
        <v>446</v>
      </c>
      <c r="N12" s="807"/>
      <c r="O12" s="807"/>
      <c r="P12" s="807"/>
      <c r="Q12" s="807"/>
      <c r="R12" s="807">
        <v>0.5</v>
      </c>
      <c r="S12" s="807"/>
      <c r="T12" s="807"/>
      <c r="U12" s="807"/>
      <c r="V12" s="807">
        <v>0.5</v>
      </c>
      <c r="W12" s="807"/>
      <c r="X12" s="248">
        <f>SUM(N12:V12)</f>
        <v>1</v>
      </c>
    </row>
    <row r="13" spans="1:24" x14ac:dyDescent="0.3">
      <c r="B13" s="597" t="s">
        <v>447</v>
      </c>
      <c r="C13" s="574" t="s">
        <v>296</v>
      </c>
      <c r="D13" s="923">
        <v>14</v>
      </c>
      <c r="E13" s="923">
        <v>5</v>
      </c>
      <c r="F13" s="923">
        <v>6</v>
      </c>
      <c r="G13" s="923">
        <v>6</v>
      </c>
      <c r="H13" s="923"/>
      <c r="I13" s="923"/>
      <c r="J13" s="923"/>
      <c r="K13" s="923"/>
      <c r="M13" s="806" t="s">
        <v>447</v>
      </c>
      <c r="N13" s="807"/>
      <c r="O13" s="807"/>
      <c r="P13" s="807"/>
      <c r="Q13" s="807"/>
      <c r="R13" s="807">
        <v>0.4</v>
      </c>
      <c r="S13" s="807"/>
      <c r="T13" s="807"/>
      <c r="U13" s="807"/>
      <c r="V13" s="807">
        <v>0.6</v>
      </c>
      <c r="W13" s="807"/>
      <c r="X13" s="248">
        <f>SUM(N13:V13)</f>
        <v>1</v>
      </c>
    </row>
    <row r="14" spans="1:24" x14ac:dyDescent="0.3">
      <c r="B14" s="597" t="s">
        <v>448</v>
      </c>
      <c r="C14" s="574" t="s">
        <v>296</v>
      </c>
      <c r="D14" s="923"/>
      <c r="E14" s="923"/>
      <c r="F14" s="923">
        <v>3</v>
      </c>
      <c r="G14" s="923"/>
      <c r="H14" s="923"/>
      <c r="I14" s="923"/>
      <c r="J14" s="923"/>
      <c r="K14" s="923"/>
      <c r="M14" s="806" t="s">
        <v>448</v>
      </c>
      <c r="N14" s="807"/>
      <c r="O14" s="807"/>
      <c r="P14" s="807"/>
      <c r="Q14" s="807"/>
      <c r="R14" s="807">
        <v>0.5</v>
      </c>
      <c r="S14" s="807"/>
      <c r="T14" s="807"/>
      <c r="U14" s="807"/>
      <c r="V14" s="807">
        <v>0.5</v>
      </c>
      <c r="W14" s="807"/>
      <c r="X14" s="248">
        <f>SUM(N14:V14)</f>
        <v>1</v>
      </c>
    </row>
    <row r="15" spans="1:24" x14ac:dyDescent="0.3">
      <c r="B15" s="597" t="s">
        <v>449</v>
      </c>
      <c r="C15" s="574" t="s">
        <v>296</v>
      </c>
      <c r="D15" s="923">
        <v>50</v>
      </c>
      <c r="E15" s="923">
        <v>50</v>
      </c>
      <c r="F15" s="923">
        <v>50</v>
      </c>
      <c r="G15" s="923">
        <v>50</v>
      </c>
      <c r="H15" s="923">
        <v>50</v>
      </c>
      <c r="I15" s="923">
        <v>50</v>
      </c>
      <c r="J15" s="923">
        <v>50</v>
      </c>
      <c r="K15" s="923">
        <v>50</v>
      </c>
      <c r="M15" s="806" t="s">
        <v>449</v>
      </c>
      <c r="N15" s="807"/>
      <c r="O15" s="807"/>
      <c r="P15" s="807"/>
      <c r="Q15" s="807"/>
      <c r="R15" s="807">
        <v>0.45</v>
      </c>
      <c r="S15" s="807"/>
      <c r="T15" s="807"/>
      <c r="U15" s="807"/>
      <c r="V15" s="807">
        <v>0.55000000000000004</v>
      </c>
      <c r="W15" s="807"/>
      <c r="X15" s="248">
        <f>SUM(N15:V15)</f>
        <v>1</v>
      </c>
    </row>
    <row r="16" spans="1:24" x14ac:dyDescent="0.3">
      <c r="B16" s="574" t="s">
        <v>54</v>
      </c>
      <c r="C16" s="574"/>
      <c r="D16" s="800">
        <v>0</v>
      </c>
      <c r="E16" s="800">
        <v>0</v>
      </c>
      <c r="F16" s="800">
        <v>0</v>
      </c>
      <c r="G16" s="800">
        <v>0</v>
      </c>
      <c r="H16" s="800">
        <v>0</v>
      </c>
      <c r="I16" s="800">
        <v>0</v>
      </c>
      <c r="J16" s="800">
        <v>0</v>
      </c>
      <c r="K16" s="800">
        <v>0</v>
      </c>
    </row>
    <row r="17" spans="2:23" x14ac:dyDescent="0.3">
      <c r="B17" s="597" t="s">
        <v>305</v>
      </c>
      <c r="C17" s="574" t="s">
        <v>306</v>
      </c>
      <c r="D17" s="800">
        <v>0</v>
      </c>
      <c r="E17" s="800">
        <v>0</v>
      </c>
      <c r="F17" s="800">
        <v>0</v>
      </c>
      <c r="G17" s="800">
        <v>0</v>
      </c>
      <c r="H17" s="800">
        <v>0</v>
      </c>
      <c r="I17" s="800">
        <v>0</v>
      </c>
      <c r="J17" s="800">
        <v>0</v>
      </c>
      <c r="K17" s="800">
        <v>0</v>
      </c>
    </row>
    <row r="18" spans="2:23" x14ac:dyDescent="0.3">
      <c r="B18" s="597" t="s">
        <v>307</v>
      </c>
      <c r="C18" s="574" t="s">
        <v>75</v>
      </c>
      <c r="D18" s="800">
        <v>0</v>
      </c>
      <c r="E18" s="800">
        <v>0</v>
      </c>
      <c r="F18" s="800">
        <v>0</v>
      </c>
      <c r="G18" s="800">
        <v>0</v>
      </c>
      <c r="H18" s="800">
        <v>0</v>
      </c>
      <c r="I18" s="800">
        <v>0</v>
      </c>
      <c r="J18" s="800">
        <v>0</v>
      </c>
      <c r="K18" s="800">
        <v>0</v>
      </c>
    </row>
    <row r="19" spans="2:23" x14ac:dyDescent="0.3">
      <c r="B19" s="574" t="s">
        <v>308</v>
      </c>
      <c r="C19" s="574" t="s">
        <v>309</v>
      </c>
      <c r="D19" s="800">
        <v>0</v>
      </c>
      <c r="E19" s="800">
        <v>0</v>
      </c>
      <c r="F19" s="800">
        <v>0</v>
      </c>
      <c r="G19" s="800">
        <v>0</v>
      </c>
      <c r="H19" s="800">
        <v>0</v>
      </c>
      <c r="I19" s="800">
        <v>0</v>
      </c>
      <c r="J19" s="800">
        <v>0</v>
      </c>
      <c r="K19" s="800">
        <v>0</v>
      </c>
    </row>
    <row r="21" spans="2:23" x14ac:dyDescent="0.3">
      <c r="B21" s="179" t="s">
        <v>450</v>
      </c>
      <c r="C21" s="180"/>
      <c r="D21" s="180"/>
      <c r="E21" s="180"/>
      <c r="F21" s="180"/>
      <c r="G21" s="180"/>
      <c r="H21" s="180"/>
      <c r="I21" s="180"/>
      <c r="J21" s="180"/>
      <c r="K21" s="180"/>
      <c r="M21" s="179" t="s">
        <v>256</v>
      </c>
      <c r="N21" s="180"/>
      <c r="O21" s="180"/>
      <c r="P21" s="180"/>
      <c r="Q21" s="180"/>
      <c r="R21" s="180"/>
      <c r="S21" s="180"/>
      <c r="T21" s="180"/>
      <c r="U21" s="180"/>
      <c r="V21" s="180"/>
      <c r="W21" s="345"/>
    </row>
    <row r="22" spans="2:23" x14ac:dyDescent="0.3">
      <c r="B22" s="616"/>
      <c r="C22" s="616" t="s">
        <v>293</v>
      </c>
      <c r="D22" s="616">
        <v>2015</v>
      </c>
      <c r="E22" s="616">
        <v>2020</v>
      </c>
      <c r="F22" s="616">
        <v>2025</v>
      </c>
      <c r="G22" s="616">
        <v>2030</v>
      </c>
      <c r="H22" s="616">
        <v>2035</v>
      </c>
      <c r="I22" s="616">
        <v>2040</v>
      </c>
      <c r="J22" s="616">
        <v>2045</v>
      </c>
      <c r="K22" s="616">
        <v>2050</v>
      </c>
      <c r="M22" s="809"/>
      <c r="N22" s="809" t="s">
        <v>293</v>
      </c>
      <c r="O22" s="809">
        <v>2015</v>
      </c>
      <c r="P22" s="809">
        <v>2020</v>
      </c>
      <c r="Q22" s="809">
        <v>2025</v>
      </c>
      <c r="R22" s="809">
        <v>2030</v>
      </c>
      <c r="S22" s="809">
        <v>2035</v>
      </c>
      <c r="T22" s="809">
        <v>2040</v>
      </c>
      <c r="U22" s="809">
        <v>2045</v>
      </c>
      <c r="V22" s="809">
        <v>2050</v>
      </c>
      <c r="W22" s="345"/>
    </row>
    <row r="23" spans="2:23" x14ac:dyDescent="0.3">
      <c r="B23" s="601" t="s">
        <v>441</v>
      </c>
      <c r="C23" s="574" t="s">
        <v>403</v>
      </c>
      <c r="D23" s="874">
        <f t="shared" ref="D23:D35" si="2">O23-D6</f>
        <v>0</v>
      </c>
      <c r="E23" s="874">
        <f t="shared" ref="E23:E35" si="3">P23-E6</f>
        <v>0</v>
      </c>
      <c r="F23" s="874">
        <f t="shared" ref="F23:F35" si="4">Q23-F6</f>
        <v>0</v>
      </c>
      <c r="G23" s="874">
        <f t="shared" ref="G23:G35" si="5">R23-G6</f>
        <v>0</v>
      </c>
      <c r="H23" s="874">
        <f t="shared" ref="H23:H35" si="6">S23-H6</f>
        <v>0</v>
      </c>
      <c r="I23" s="874">
        <f t="shared" ref="I23:I35" si="7">T23-I6</f>
        <v>0</v>
      </c>
      <c r="J23" s="874">
        <f t="shared" ref="J23:J35" si="8">U23-J6</f>
        <v>0</v>
      </c>
      <c r="K23" s="874">
        <f t="shared" ref="K23:K35" si="9">V23-K6</f>
        <v>0</v>
      </c>
      <c r="M23" s="810" t="s">
        <v>441</v>
      </c>
      <c r="N23" s="802" t="s">
        <v>403</v>
      </c>
      <c r="O23" s="811">
        <v>0.23292500000000002</v>
      </c>
      <c r="P23" s="811">
        <v>0.24640000000000004</v>
      </c>
      <c r="Q23" s="811">
        <v>0.26042500000000002</v>
      </c>
      <c r="R23" s="811">
        <v>0.274175</v>
      </c>
      <c r="S23" s="811">
        <v>0.29342499999999999</v>
      </c>
      <c r="T23" s="811">
        <v>0.31240000000000001</v>
      </c>
      <c r="U23" s="811">
        <v>0.33027499999999999</v>
      </c>
      <c r="V23" s="811">
        <v>0.34787499999999999</v>
      </c>
      <c r="W23" s="533"/>
    </row>
    <row r="24" spans="2:23" x14ac:dyDescent="0.3">
      <c r="B24" s="601" t="s">
        <v>442</v>
      </c>
      <c r="C24" s="574" t="s">
        <v>403</v>
      </c>
      <c r="D24" s="874">
        <f t="shared" si="2"/>
        <v>0</v>
      </c>
      <c r="E24" s="874">
        <f t="shared" si="3"/>
        <v>-1.7427199999999976E-2</v>
      </c>
      <c r="F24" s="874">
        <f t="shared" si="4"/>
        <v>-6.44670249999999E-2</v>
      </c>
      <c r="G24" s="874">
        <f t="shared" si="5"/>
        <v>-4.8479125000000067E-2</v>
      </c>
      <c r="H24" s="874">
        <f t="shared" si="6"/>
        <v>-6.2259449999999994E-2</v>
      </c>
      <c r="I24" s="874">
        <f t="shared" si="7"/>
        <v>-8.8380799999999926E-2</v>
      </c>
      <c r="J24" s="874">
        <f t="shared" si="8"/>
        <v>-0.10511752500000004</v>
      </c>
      <c r="K24" s="874">
        <f t="shared" si="9"/>
        <v>-0.12302124999999986</v>
      </c>
      <c r="M24" s="810" t="s">
        <v>442</v>
      </c>
      <c r="N24" s="802" t="s">
        <v>403</v>
      </c>
      <c r="O24" s="811">
        <v>0.7413367500000001</v>
      </c>
      <c r="P24" s="811">
        <v>0.69708800000000015</v>
      </c>
      <c r="Q24" s="811">
        <v>0.64467025000000011</v>
      </c>
      <c r="R24" s="811">
        <v>0.58174950000000003</v>
      </c>
      <c r="S24" s="811">
        <v>0.60184135000000005</v>
      </c>
      <c r="T24" s="811">
        <v>0.60761799999999999</v>
      </c>
      <c r="U24" s="811">
        <v>0.61902542499999991</v>
      </c>
      <c r="V24" s="811">
        <v>0.61510625000000008</v>
      </c>
      <c r="W24" s="533"/>
    </row>
    <row r="25" spans="2:23" x14ac:dyDescent="0.3">
      <c r="B25" s="574" t="s">
        <v>443</v>
      </c>
      <c r="C25" s="574" t="s">
        <v>296</v>
      </c>
      <c r="D25" s="574">
        <f t="shared" si="2"/>
        <v>0</v>
      </c>
      <c r="E25" s="574">
        <f t="shared" si="3"/>
        <v>-5.3528344959999998</v>
      </c>
      <c r="F25" s="574">
        <f t="shared" si="4"/>
        <v>-10.199732316500004</v>
      </c>
      <c r="G25" s="574">
        <f t="shared" si="5"/>
        <v>-7.2787097249999988</v>
      </c>
      <c r="H25" s="574">
        <f t="shared" si="6"/>
        <v>-8.3888610704999991</v>
      </c>
      <c r="I25" s="574">
        <f t="shared" si="7"/>
        <v>-10.523893600000008</v>
      </c>
      <c r="J25" s="574">
        <f t="shared" si="8"/>
        <v>-11.924353797750001</v>
      </c>
      <c r="K25" s="574">
        <f t="shared" si="9"/>
        <v>-13.029321037499997</v>
      </c>
      <c r="M25" s="802" t="s">
        <v>443</v>
      </c>
      <c r="N25" s="802" t="s">
        <v>296</v>
      </c>
      <c r="O25" s="812">
        <f>O27+O26</f>
        <v>107.54242454000001</v>
      </c>
      <c r="P25" s="812">
        <f t="shared" ref="P25:V25" si="10">P27+P26</f>
        <v>84.448931840000014</v>
      </c>
      <c r="Q25" s="812">
        <f t="shared" si="10"/>
        <v>77.174763665</v>
      </c>
      <c r="R25" s="812">
        <f t="shared" si="10"/>
        <v>67.794571700000006</v>
      </c>
      <c r="S25" s="812">
        <f t="shared" si="10"/>
        <v>72.016111931500006</v>
      </c>
      <c r="T25" s="812">
        <f t="shared" si="10"/>
        <v>75.851318499999991</v>
      </c>
      <c r="U25" s="812">
        <f t="shared" si="10"/>
        <v>78.407094836749991</v>
      </c>
      <c r="V25" s="812">
        <f t="shared" si="10"/>
        <v>76.418001437499996</v>
      </c>
      <c r="W25" s="219"/>
    </row>
    <row r="26" spans="2:23" x14ac:dyDescent="0.3">
      <c r="B26" s="597" t="s">
        <v>865</v>
      </c>
      <c r="C26" s="574" t="s">
        <v>296</v>
      </c>
      <c r="D26" s="574">
        <f t="shared" si="2"/>
        <v>0</v>
      </c>
      <c r="E26" s="574">
        <f t="shared" si="3"/>
        <v>-1.122834496000003</v>
      </c>
      <c r="F26" s="574">
        <f t="shared" si="4"/>
        <v>-4.3747323165000012</v>
      </c>
      <c r="G26" s="574">
        <f t="shared" si="5"/>
        <v>-3.2287097250000016</v>
      </c>
      <c r="H26" s="574">
        <f t="shared" si="6"/>
        <v>-4.338861070500009</v>
      </c>
      <c r="I26" s="574">
        <f t="shared" si="7"/>
        <v>-6.4738935999999967</v>
      </c>
      <c r="J26" s="574">
        <f t="shared" si="8"/>
        <v>-7.874353797750004</v>
      </c>
      <c r="K26" s="574">
        <f t="shared" si="9"/>
        <v>-8.9793210374999859</v>
      </c>
      <c r="M26" s="806" t="s">
        <v>444</v>
      </c>
      <c r="N26" s="802" t="s">
        <v>296</v>
      </c>
      <c r="O26" s="812">
        <v>73.34242454000001</v>
      </c>
      <c r="P26" s="812">
        <v>60.788931840000018</v>
      </c>
      <c r="Q26" s="812">
        <v>61.419763665000005</v>
      </c>
      <c r="R26" s="812">
        <v>57.0045717</v>
      </c>
      <c r="S26" s="812">
        <v>62.391111931499999</v>
      </c>
      <c r="T26" s="812">
        <v>67.391318499999997</v>
      </c>
      <c r="U26" s="812">
        <v>71.112094836749989</v>
      </c>
      <c r="V26" s="812">
        <v>70.2880014375</v>
      </c>
      <c r="W26" s="219"/>
    </row>
    <row r="27" spans="2:23" x14ac:dyDescent="0.3">
      <c r="B27" s="597" t="s">
        <v>866</v>
      </c>
      <c r="C27" s="574" t="s">
        <v>296</v>
      </c>
      <c r="D27" s="574">
        <f t="shared" si="2"/>
        <v>0</v>
      </c>
      <c r="E27" s="574">
        <f t="shared" si="3"/>
        <v>-4.2299999999999969</v>
      </c>
      <c r="F27" s="574">
        <f t="shared" si="4"/>
        <v>-5.8249999999999993</v>
      </c>
      <c r="G27" s="574">
        <f t="shared" si="5"/>
        <v>-4.0500000000000007</v>
      </c>
      <c r="H27" s="574">
        <f t="shared" si="6"/>
        <v>-4.0499999999999989</v>
      </c>
      <c r="I27" s="574">
        <f t="shared" si="7"/>
        <v>-4.0499999999999989</v>
      </c>
      <c r="J27" s="574">
        <f t="shared" si="8"/>
        <v>-4.0499999999999989</v>
      </c>
      <c r="K27" s="574">
        <f t="shared" si="9"/>
        <v>-4.05</v>
      </c>
      <c r="M27" s="806" t="s">
        <v>445</v>
      </c>
      <c r="N27" s="802" t="s">
        <v>296</v>
      </c>
      <c r="O27" s="812">
        <v>34.199999999999996</v>
      </c>
      <c r="P27" s="812">
        <v>23.66</v>
      </c>
      <c r="Q27" s="812">
        <v>15.754999999999999</v>
      </c>
      <c r="R27" s="812">
        <v>10.79</v>
      </c>
      <c r="S27" s="812">
        <v>9.625</v>
      </c>
      <c r="T27" s="812">
        <v>8.4599999999999991</v>
      </c>
      <c r="U27" s="812">
        <v>7.2949999999999999</v>
      </c>
      <c r="V27" s="812">
        <v>6.13</v>
      </c>
      <c r="W27" s="219"/>
    </row>
    <row r="28" spans="2:23" x14ac:dyDescent="0.3">
      <c r="B28" s="574" t="s">
        <v>45</v>
      </c>
      <c r="C28" s="574" t="s">
        <v>296</v>
      </c>
      <c r="D28" s="574">
        <f t="shared" si="2"/>
        <v>90</v>
      </c>
      <c r="E28" s="574">
        <f t="shared" si="3"/>
        <v>90</v>
      </c>
      <c r="F28" s="574">
        <f t="shared" si="4"/>
        <v>90</v>
      </c>
      <c r="G28" s="574">
        <f t="shared" si="5"/>
        <v>90</v>
      </c>
      <c r="H28" s="574">
        <f t="shared" si="6"/>
        <v>90</v>
      </c>
      <c r="I28" s="574">
        <f t="shared" si="7"/>
        <v>0</v>
      </c>
      <c r="J28" s="574">
        <f t="shared" si="8"/>
        <v>0</v>
      </c>
      <c r="K28" s="574">
        <f t="shared" si="9"/>
        <v>0</v>
      </c>
      <c r="M28" s="802" t="s">
        <v>45</v>
      </c>
      <c r="N28" s="802" t="s">
        <v>296</v>
      </c>
      <c r="O28" s="812">
        <f>SUM(O29:O32)</f>
        <v>161</v>
      </c>
      <c r="P28" s="812">
        <f t="shared" ref="P28:V28" si="11">SUM(P29:P32)</f>
        <v>177</v>
      </c>
      <c r="Q28" s="812">
        <f t="shared" si="11"/>
        <v>167</v>
      </c>
      <c r="R28" s="812">
        <f t="shared" si="11"/>
        <v>162</v>
      </c>
      <c r="S28" s="812">
        <f t="shared" si="11"/>
        <v>162</v>
      </c>
      <c r="T28" s="812">
        <f t="shared" si="11"/>
        <v>72</v>
      </c>
      <c r="U28" s="812">
        <f t="shared" si="11"/>
        <v>72</v>
      </c>
      <c r="V28" s="812">
        <f t="shared" si="11"/>
        <v>72</v>
      </c>
      <c r="W28" s="219"/>
    </row>
    <row r="29" spans="2:23" x14ac:dyDescent="0.3">
      <c r="B29" s="597" t="s">
        <v>446</v>
      </c>
      <c r="C29" s="574" t="s">
        <v>296</v>
      </c>
      <c r="D29" s="574">
        <f t="shared" si="2"/>
        <v>0</v>
      </c>
      <c r="E29" s="574">
        <f t="shared" si="3"/>
        <v>0</v>
      </c>
      <c r="F29" s="574">
        <f t="shared" si="4"/>
        <v>0</v>
      </c>
      <c r="G29" s="574">
        <f t="shared" si="5"/>
        <v>0</v>
      </c>
      <c r="H29" s="574">
        <f t="shared" si="6"/>
        <v>0</v>
      </c>
      <c r="I29" s="574">
        <f t="shared" si="7"/>
        <v>0</v>
      </c>
      <c r="J29" s="574">
        <f t="shared" si="8"/>
        <v>0</v>
      </c>
      <c r="K29" s="574">
        <f t="shared" si="9"/>
        <v>0</v>
      </c>
      <c r="M29" s="806" t="s">
        <v>446</v>
      </c>
      <c r="N29" s="802" t="s">
        <v>296</v>
      </c>
      <c r="O29" s="812">
        <v>7</v>
      </c>
      <c r="P29" s="812">
        <v>32</v>
      </c>
      <c r="Q29" s="812">
        <v>18</v>
      </c>
      <c r="R29" s="812">
        <v>16</v>
      </c>
      <c r="S29" s="812">
        <v>22</v>
      </c>
      <c r="T29" s="812">
        <v>22</v>
      </c>
      <c r="U29" s="812">
        <v>22</v>
      </c>
      <c r="V29" s="812">
        <v>22</v>
      </c>
      <c r="W29" s="219"/>
    </row>
    <row r="30" spans="2:23" x14ac:dyDescent="0.3">
      <c r="B30" s="597" t="s">
        <v>447</v>
      </c>
      <c r="C30" s="574" t="s">
        <v>296</v>
      </c>
      <c r="D30" s="574">
        <f t="shared" si="2"/>
        <v>0</v>
      </c>
      <c r="E30" s="574">
        <f t="shared" si="3"/>
        <v>0</v>
      </c>
      <c r="F30" s="574">
        <f t="shared" si="4"/>
        <v>0</v>
      </c>
      <c r="G30" s="574">
        <f t="shared" si="5"/>
        <v>0</v>
      </c>
      <c r="H30" s="574">
        <f t="shared" si="6"/>
        <v>0</v>
      </c>
      <c r="I30" s="574">
        <f t="shared" si="7"/>
        <v>0</v>
      </c>
      <c r="J30" s="574">
        <f t="shared" si="8"/>
        <v>0</v>
      </c>
      <c r="K30" s="574">
        <f t="shared" si="9"/>
        <v>0</v>
      </c>
      <c r="M30" s="806" t="s">
        <v>447</v>
      </c>
      <c r="N30" s="802" t="s">
        <v>296</v>
      </c>
      <c r="O30" s="812">
        <v>14</v>
      </c>
      <c r="P30" s="812">
        <v>5</v>
      </c>
      <c r="Q30" s="812">
        <v>6</v>
      </c>
      <c r="R30" s="812">
        <v>6</v>
      </c>
      <c r="S30" s="812"/>
      <c r="T30" s="812"/>
      <c r="U30" s="812"/>
      <c r="V30" s="812"/>
      <c r="W30" s="219"/>
    </row>
    <row r="31" spans="2:23" x14ac:dyDescent="0.3">
      <c r="B31" s="597" t="s">
        <v>448</v>
      </c>
      <c r="C31" s="574" t="s">
        <v>296</v>
      </c>
      <c r="D31" s="574">
        <f t="shared" si="2"/>
        <v>0</v>
      </c>
      <c r="E31" s="574">
        <f t="shared" si="3"/>
        <v>0</v>
      </c>
      <c r="F31" s="574">
        <f t="shared" si="4"/>
        <v>0</v>
      </c>
      <c r="G31" s="574">
        <f t="shared" si="5"/>
        <v>0</v>
      </c>
      <c r="H31" s="574">
        <f t="shared" si="6"/>
        <v>0</v>
      </c>
      <c r="I31" s="574">
        <f t="shared" si="7"/>
        <v>0</v>
      </c>
      <c r="J31" s="574">
        <f t="shared" si="8"/>
        <v>0</v>
      </c>
      <c r="K31" s="574">
        <f t="shared" si="9"/>
        <v>0</v>
      </c>
      <c r="M31" s="806" t="s">
        <v>448</v>
      </c>
      <c r="N31" s="802" t="s">
        <v>296</v>
      </c>
      <c r="O31" s="812"/>
      <c r="P31" s="812"/>
      <c r="Q31" s="812">
        <v>3</v>
      </c>
      <c r="R31" s="812"/>
      <c r="S31" s="812"/>
      <c r="T31" s="812"/>
      <c r="U31" s="812"/>
      <c r="V31" s="812"/>
      <c r="W31" s="219"/>
    </row>
    <row r="32" spans="2:23" x14ac:dyDescent="0.3">
      <c r="B32" s="597" t="s">
        <v>449</v>
      </c>
      <c r="C32" s="574" t="s">
        <v>296</v>
      </c>
      <c r="D32" s="574">
        <f t="shared" si="2"/>
        <v>90</v>
      </c>
      <c r="E32" s="574">
        <f t="shared" si="3"/>
        <v>90</v>
      </c>
      <c r="F32" s="574">
        <f t="shared" si="4"/>
        <v>90</v>
      </c>
      <c r="G32" s="574">
        <f t="shared" si="5"/>
        <v>90</v>
      </c>
      <c r="H32" s="574">
        <f t="shared" si="6"/>
        <v>90</v>
      </c>
      <c r="I32" s="574">
        <f t="shared" si="7"/>
        <v>0</v>
      </c>
      <c r="J32" s="574">
        <f t="shared" si="8"/>
        <v>0</v>
      </c>
      <c r="K32" s="574">
        <f t="shared" si="9"/>
        <v>0</v>
      </c>
      <c r="M32" s="806" t="s">
        <v>449</v>
      </c>
      <c r="N32" s="802" t="s">
        <v>296</v>
      </c>
      <c r="O32" s="812">
        <v>140</v>
      </c>
      <c r="P32" s="812">
        <v>140</v>
      </c>
      <c r="Q32" s="812">
        <v>140</v>
      </c>
      <c r="R32" s="812">
        <v>140</v>
      </c>
      <c r="S32" s="812">
        <v>140</v>
      </c>
      <c r="T32" s="812">
        <v>50</v>
      </c>
      <c r="U32" s="812">
        <v>50</v>
      </c>
      <c r="V32" s="812">
        <v>50</v>
      </c>
      <c r="W32" s="219"/>
    </row>
    <row r="33" spans="2:23" x14ac:dyDescent="0.3">
      <c r="B33" s="574" t="s">
        <v>54</v>
      </c>
      <c r="C33" s="574"/>
      <c r="D33" s="574">
        <f t="shared" si="2"/>
        <v>0</v>
      </c>
      <c r="E33" s="574">
        <f t="shared" si="3"/>
        <v>0</v>
      </c>
      <c r="F33" s="574">
        <f t="shared" si="4"/>
        <v>0</v>
      </c>
      <c r="G33" s="574">
        <f t="shared" si="5"/>
        <v>0</v>
      </c>
      <c r="H33" s="574">
        <f t="shared" si="6"/>
        <v>0</v>
      </c>
      <c r="I33" s="574">
        <f t="shared" si="7"/>
        <v>0</v>
      </c>
      <c r="J33" s="574">
        <f t="shared" si="8"/>
        <v>0</v>
      </c>
      <c r="K33" s="574">
        <f t="shared" si="9"/>
        <v>0</v>
      </c>
      <c r="M33" s="802" t="s">
        <v>54</v>
      </c>
      <c r="N33" s="802"/>
      <c r="O33" s="812">
        <v>0</v>
      </c>
      <c r="P33" s="812">
        <v>0</v>
      </c>
      <c r="Q33" s="812">
        <v>0</v>
      </c>
      <c r="R33" s="812">
        <v>0</v>
      </c>
      <c r="S33" s="812">
        <v>0</v>
      </c>
      <c r="T33" s="812">
        <v>0</v>
      </c>
      <c r="U33" s="812">
        <v>0</v>
      </c>
      <c r="V33" s="812">
        <v>0</v>
      </c>
      <c r="W33" s="219"/>
    </row>
    <row r="34" spans="2:23" x14ac:dyDescent="0.3">
      <c r="B34" s="597" t="s">
        <v>305</v>
      </c>
      <c r="C34" s="574" t="s">
        <v>306</v>
      </c>
      <c r="D34" s="629">
        <f t="shared" si="2"/>
        <v>0</v>
      </c>
      <c r="E34" s="629">
        <f t="shared" si="3"/>
        <v>0</v>
      </c>
      <c r="F34" s="629">
        <f t="shared" si="4"/>
        <v>0</v>
      </c>
      <c r="G34" s="629">
        <f t="shared" si="5"/>
        <v>0</v>
      </c>
      <c r="H34" s="629">
        <f t="shared" si="6"/>
        <v>0</v>
      </c>
      <c r="I34" s="629">
        <f t="shared" si="7"/>
        <v>0</v>
      </c>
      <c r="J34" s="629">
        <f t="shared" si="8"/>
        <v>0</v>
      </c>
      <c r="K34" s="629">
        <f t="shared" si="9"/>
        <v>0</v>
      </c>
      <c r="M34" s="806" t="s">
        <v>305</v>
      </c>
      <c r="N34" s="802" t="s">
        <v>306</v>
      </c>
      <c r="O34" s="812">
        <v>0</v>
      </c>
      <c r="P34" s="812">
        <v>0</v>
      </c>
      <c r="Q34" s="812">
        <v>0</v>
      </c>
      <c r="R34" s="812">
        <v>0</v>
      </c>
      <c r="S34" s="812">
        <v>0</v>
      </c>
      <c r="T34" s="812">
        <v>0</v>
      </c>
      <c r="U34" s="812">
        <v>0</v>
      </c>
      <c r="V34" s="812">
        <v>0</v>
      </c>
      <c r="W34" s="219"/>
    </row>
    <row r="35" spans="2:23" x14ac:dyDescent="0.3">
      <c r="B35" s="597" t="s">
        <v>307</v>
      </c>
      <c r="C35" s="574" t="s">
        <v>75</v>
      </c>
      <c r="D35" s="574">
        <f t="shared" si="2"/>
        <v>0</v>
      </c>
      <c r="E35" s="574">
        <f t="shared" si="3"/>
        <v>0</v>
      </c>
      <c r="F35" s="574">
        <f t="shared" si="4"/>
        <v>0</v>
      </c>
      <c r="G35" s="574">
        <f t="shared" si="5"/>
        <v>0</v>
      </c>
      <c r="H35" s="574">
        <f t="shared" si="6"/>
        <v>0</v>
      </c>
      <c r="I35" s="574">
        <f t="shared" si="7"/>
        <v>0</v>
      </c>
      <c r="J35" s="574">
        <f t="shared" si="8"/>
        <v>0</v>
      </c>
      <c r="K35" s="574">
        <f t="shared" si="9"/>
        <v>0</v>
      </c>
      <c r="M35" s="806" t="s">
        <v>307</v>
      </c>
      <c r="N35" s="802" t="s">
        <v>75</v>
      </c>
      <c r="O35" s="812">
        <v>0</v>
      </c>
      <c r="P35" s="812">
        <v>0</v>
      </c>
      <c r="Q35" s="812">
        <v>0</v>
      </c>
      <c r="R35" s="812">
        <v>0</v>
      </c>
      <c r="S35" s="812">
        <v>0</v>
      </c>
      <c r="T35" s="812">
        <v>0</v>
      </c>
      <c r="U35" s="812">
        <v>0</v>
      </c>
      <c r="V35" s="812">
        <v>0</v>
      </c>
      <c r="W35" s="219"/>
    </row>
    <row r="36" spans="2:23" x14ac:dyDescent="0.3">
      <c r="B36" s="574" t="s">
        <v>308</v>
      </c>
      <c r="C36" s="574" t="s">
        <v>309</v>
      </c>
      <c r="D36" s="574">
        <f t="shared" ref="D36:K36" si="12">O36-D19</f>
        <v>0</v>
      </c>
      <c r="E36" s="574">
        <f t="shared" si="12"/>
        <v>0</v>
      </c>
      <c r="F36" s="574">
        <f t="shared" si="12"/>
        <v>0</v>
      </c>
      <c r="G36" s="574">
        <f t="shared" si="12"/>
        <v>0</v>
      </c>
      <c r="H36" s="574">
        <f t="shared" si="12"/>
        <v>0</v>
      </c>
      <c r="I36" s="574">
        <f t="shared" si="12"/>
        <v>0</v>
      </c>
      <c r="J36" s="574">
        <f t="shared" si="12"/>
        <v>0</v>
      </c>
      <c r="K36" s="574">
        <f t="shared" si="12"/>
        <v>0</v>
      </c>
      <c r="M36" s="802" t="s">
        <v>308</v>
      </c>
      <c r="N36" s="802" t="s">
        <v>309</v>
      </c>
      <c r="O36" s="812">
        <v>0</v>
      </c>
      <c r="P36" s="812">
        <v>0</v>
      </c>
      <c r="Q36" s="812">
        <v>0</v>
      </c>
      <c r="R36" s="812">
        <v>0</v>
      </c>
      <c r="S36" s="812">
        <v>0</v>
      </c>
      <c r="T36" s="812">
        <v>0</v>
      </c>
      <c r="U36" s="812">
        <v>0</v>
      </c>
      <c r="V36" s="812">
        <v>0</v>
      </c>
      <c r="W36" s="219"/>
    </row>
    <row r="38" spans="2:23" x14ac:dyDescent="0.3">
      <c r="B38" s="179" t="s">
        <v>451</v>
      </c>
      <c r="C38" s="180"/>
      <c r="D38" s="180"/>
      <c r="E38" s="180"/>
      <c r="F38" s="180"/>
      <c r="G38" s="180"/>
      <c r="H38" s="180"/>
      <c r="I38" s="180"/>
      <c r="J38" s="180"/>
      <c r="K38" s="180"/>
      <c r="M38" s="179" t="s">
        <v>452</v>
      </c>
      <c r="N38" s="180"/>
      <c r="O38" s="180"/>
      <c r="P38" s="180"/>
      <c r="Q38" s="180"/>
      <c r="R38" s="180"/>
      <c r="S38" s="180"/>
      <c r="T38" s="180"/>
      <c r="U38" s="180"/>
      <c r="V38" s="180"/>
      <c r="W38" s="345"/>
    </row>
    <row r="39" spans="2:23" x14ac:dyDescent="0.3">
      <c r="B39" s="809"/>
      <c r="C39" s="809" t="s">
        <v>293</v>
      </c>
      <c r="D39" s="809">
        <v>2015</v>
      </c>
      <c r="E39" s="809">
        <v>2020</v>
      </c>
      <c r="F39" s="809">
        <v>2025</v>
      </c>
      <c r="G39" s="809">
        <v>2030</v>
      </c>
      <c r="H39" s="809">
        <v>2035</v>
      </c>
      <c r="I39" s="809">
        <v>2040</v>
      </c>
      <c r="J39" s="809">
        <v>2045</v>
      </c>
      <c r="K39" s="809">
        <v>2050</v>
      </c>
      <c r="M39" s="809"/>
      <c r="N39" s="809" t="s">
        <v>293</v>
      </c>
      <c r="O39" s="809">
        <v>2015</v>
      </c>
      <c r="P39" s="809">
        <v>2020</v>
      </c>
      <c r="Q39" s="809">
        <v>2025</v>
      </c>
      <c r="R39" s="809">
        <v>2030</v>
      </c>
      <c r="S39" s="809">
        <v>2035</v>
      </c>
      <c r="T39" s="809">
        <v>2040</v>
      </c>
      <c r="U39" s="809">
        <v>2045</v>
      </c>
      <c r="V39" s="809">
        <v>2050</v>
      </c>
      <c r="W39" s="345"/>
    </row>
    <row r="40" spans="2:23" x14ac:dyDescent="0.3">
      <c r="B40" s="810" t="s">
        <v>441</v>
      </c>
      <c r="C40" s="802" t="s">
        <v>403</v>
      </c>
      <c r="D40" s="813">
        <f t="shared" ref="D40:K40" si="13">O40-D27</f>
        <v>0.23292500000000002</v>
      </c>
      <c r="E40" s="813">
        <f t="shared" si="13"/>
        <v>4.4763999999999973</v>
      </c>
      <c r="F40" s="813">
        <f t="shared" si="13"/>
        <v>6.085424999999999</v>
      </c>
      <c r="G40" s="813">
        <f t="shared" si="13"/>
        <v>4.3241750000000003</v>
      </c>
      <c r="H40" s="813">
        <f t="shared" si="13"/>
        <v>4.343424999999999</v>
      </c>
      <c r="I40" s="813">
        <f t="shared" si="13"/>
        <v>4.3623999999999992</v>
      </c>
      <c r="J40" s="813">
        <f t="shared" si="13"/>
        <v>4.3802749999999993</v>
      </c>
      <c r="K40" s="813">
        <f t="shared" si="13"/>
        <v>4.397875</v>
      </c>
      <c r="M40" s="810" t="s">
        <v>441</v>
      </c>
      <c r="N40" s="802" t="s">
        <v>403</v>
      </c>
      <c r="O40" s="811">
        <v>0.23292500000000002</v>
      </c>
      <c r="P40" s="811">
        <v>0.24640000000000004</v>
      </c>
      <c r="Q40" s="811">
        <v>0.26042500000000002</v>
      </c>
      <c r="R40" s="811">
        <v>0.274175</v>
      </c>
      <c r="S40" s="811">
        <v>0.29342499999999999</v>
      </c>
      <c r="T40" s="811">
        <v>0.31240000000000001</v>
      </c>
      <c r="U40" s="811">
        <v>0.33027499999999999</v>
      </c>
      <c r="V40" s="811">
        <v>0.34787499999999999</v>
      </c>
      <c r="W40" s="533"/>
    </row>
    <row r="41" spans="2:23" x14ac:dyDescent="0.3">
      <c r="B41" s="810" t="s">
        <v>442</v>
      </c>
      <c r="C41" s="802" t="s">
        <v>403</v>
      </c>
      <c r="D41" s="813">
        <f t="shared" ref="D41:K41" si="14">O41-D24</f>
        <v>0.7413367500000001</v>
      </c>
      <c r="E41" s="813">
        <f t="shared" si="14"/>
        <v>0.7319424000000001</v>
      </c>
      <c r="F41" s="813">
        <f t="shared" si="14"/>
        <v>0.64467025</v>
      </c>
      <c r="G41" s="813">
        <f t="shared" si="14"/>
        <v>0.53327037500000007</v>
      </c>
      <c r="H41" s="813">
        <f t="shared" si="14"/>
        <v>0.56033505000000006</v>
      </c>
      <c r="I41" s="813">
        <f t="shared" si="14"/>
        <v>0.5855227999999999</v>
      </c>
      <c r="J41" s="813">
        <f t="shared" si="14"/>
        <v>0.59566597500000007</v>
      </c>
      <c r="K41" s="813">
        <f t="shared" si="14"/>
        <v>0.61510624999999985</v>
      </c>
      <c r="M41" s="810" t="s">
        <v>442</v>
      </c>
      <c r="N41" s="802" t="s">
        <v>403</v>
      </c>
      <c r="O41" s="811">
        <v>0.7413367500000001</v>
      </c>
      <c r="P41" s="811">
        <v>0.71451520000000013</v>
      </c>
      <c r="Q41" s="811">
        <v>0.5802032250000001</v>
      </c>
      <c r="R41" s="811">
        <v>0.48479125000000006</v>
      </c>
      <c r="S41" s="811">
        <v>0.49807560000000006</v>
      </c>
      <c r="T41" s="811">
        <v>0.49714199999999997</v>
      </c>
      <c r="U41" s="811">
        <v>0.49054845000000002</v>
      </c>
      <c r="V41" s="811">
        <v>0.49208499999999999</v>
      </c>
      <c r="W41" s="533"/>
    </row>
    <row r="42" spans="2:23" x14ac:dyDescent="0.3">
      <c r="B42" s="802" t="s">
        <v>443</v>
      </c>
      <c r="C42" s="802" t="s">
        <v>296</v>
      </c>
      <c r="D42" s="802">
        <f t="shared" ref="D42:D52" si="15">O42-D8</f>
        <v>0</v>
      </c>
      <c r="E42" s="802">
        <f t="shared" ref="E42:E52" si="16">P42-E8</f>
        <v>-8.0300000000000011</v>
      </c>
      <c r="F42" s="802">
        <f t="shared" ref="F42:F52" si="17">Q42-F8</f>
        <v>-18.499464633000002</v>
      </c>
      <c r="G42" s="802">
        <f t="shared" ref="G42:G52" si="18">R42-G8</f>
        <v>-21.031129175000011</v>
      </c>
      <c r="H42" s="802">
        <f t="shared" ref="H42:H52" si="19">S42-H8</f>
        <v>-21.983296188000004</v>
      </c>
      <c r="I42" s="802">
        <f t="shared" ref="I42:I52" si="20">T42-I8</f>
        <v>-24.047260600000001</v>
      </c>
      <c r="J42" s="802">
        <f t="shared" ref="J42:J52" si="21">U42-J8</f>
        <v>-26.04756399499999</v>
      </c>
      <c r="K42" s="802">
        <f t="shared" ref="K42:K52" si="22">V42-K8</f>
        <v>-25.808642074999995</v>
      </c>
      <c r="M42" s="802" t="s">
        <v>443</v>
      </c>
      <c r="N42" s="802" t="s">
        <v>296</v>
      </c>
      <c r="O42" s="812">
        <f>O44+O43</f>
        <v>107.54242454000001</v>
      </c>
      <c r="P42" s="812">
        <f t="shared" ref="P42:V42" si="23">P44+P43</f>
        <v>81.771766336000013</v>
      </c>
      <c r="Q42" s="812">
        <f t="shared" si="23"/>
        <v>68.875031348500002</v>
      </c>
      <c r="R42" s="812">
        <f t="shared" si="23"/>
        <v>54.042152249999994</v>
      </c>
      <c r="S42" s="812">
        <f t="shared" si="23"/>
        <v>58.421676814000001</v>
      </c>
      <c r="T42" s="812">
        <f t="shared" si="23"/>
        <v>62.327951499999998</v>
      </c>
      <c r="U42" s="812">
        <f t="shared" si="23"/>
        <v>64.283884639500002</v>
      </c>
      <c r="V42" s="812">
        <f t="shared" si="23"/>
        <v>63.638680399999998</v>
      </c>
      <c r="W42" s="219"/>
    </row>
    <row r="43" spans="2:23" x14ac:dyDescent="0.3">
      <c r="B43" s="806" t="s">
        <v>863</v>
      </c>
      <c r="C43" s="802" t="s">
        <v>296</v>
      </c>
      <c r="D43" s="815">
        <f t="shared" si="15"/>
        <v>0</v>
      </c>
      <c r="E43" s="815">
        <f t="shared" si="16"/>
        <v>0</v>
      </c>
      <c r="F43" s="815">
        <f t="shared" si="17"/>
        <v>-8.7494646330000023</v>
      </c>
      <c r="G43" s="815">
        <f t="shared" si="18"/>
        <v>-9.6861291750000049</v>
      </c>
      <c r="H43" s="815">
        <f t="shared" si="19"/>
        <v>-11.570296188000007</v>
      </c>
      <c r="I43" s="815">
        <f t="shared" si="20"/>
        <v>-14.566260599999993</v>
      </c>
      <c r="J43" s="815">
        <f t="shared" si="21"/>
        <v>-17.498563994999998</v>
      </c>
      <c r="K43" s="815">
        <f t="shared" si="22"/>
        <v>-17.958642074999986</v>
      </c>
      <c r="M43" s="806" t="s">
        <v>444</v>
      </c>
      <c r="N43" s="802" t="s">
        <v>296</v>
      </c>
      <c r="O43" s="812">
        <v>73.34242454000001</v>
      </c>
      <c r="P43" s="812">
        <v>61.911766336000021</v>
      </c>
      <c r="Q43" s="812">
        <v>57.045031348500004</v>
      </c>
      <c r="R43" s="812">
        <v>50.547152249999996</v>
      </c>
      <c r="S43" s="812">
        <v>55.159676814000001</v>
      </c>
      <c r="T43" s="812">
        <v>59.298951500000001</v>
      </c>
      <c r="U43" s="812">
        <v>61.487884639499995</v>
      </c>
      <c r="V43" s="812">
        <v>61.3086804</v>
      </c>
      <c r="W43" s="219"/>
    </row>
    <row r="44" spans="2:23" x14ac:dyDescent="0.3">
      <c r="B44" s="806" t="s">
        <v>864</v>
      </c>
      <c r="C44" s="802" t="s">
        <v>296</v>
      </c>
      <c r="D44" s="815">
        <f t="shared" si="15"/>
        <v>0</v>
      </c>
      <c r="E44" s="815">
        <f t="shared" si="16"/>
        <v>-8.0299999999999976</v>
      </c>
      <c r="F44" s="815">
        <f t="shared" si="17"/>
        <v>-9.7499999999999982</v>
      </c>
      <c r="G44" s="815">
        <f t="shared" si="18"/>
        <v>-11.344999999999999</v>
      </c>
      <c r="H44" s="815">
        <f t="shared" si="19"/>
        <v>-10.413</v>
      </c>
      <c r="I44" s="815">
        <f t="shared" si="20"/>
        <v>-9.4809999999999981</v>
      </c>
      <c r="J44" s="815">
        <f t="shared" si="21"/>
        <v>-8.5489999999999995</v>
      </c>
      <c r="K44" s="815">
        <f t="shared" si="22"/>
        <v>-7.85</v>
      </c>
      <c r="M44" s="806" t="s">
        <v>445</v>
      </c>
      <c r="N44" s="802" t="s">
        <v>296</v>
      </c>
      <c r="O44" s="812">
        <v>34.199999999999996</v>
      </c>
      <c r="P44" s="812">
        <v>19.86</v>
      </c>
      <c r="Q44" s="812">
        <v>11.83</v>
      </c>
      <c r="R44" s="812">
        <v>3.4950000000000001</v>
      </c>
      <c r="S44" s="812">
        <v>3.2619999999999996</v>
      </c>
      <c r="T44" s="812">
        <v>3.0289999999999999</v>
      </c>
      <c r="U44" s="812">
        <v>2.7959999999999998</v>
      </c>
      <c r="V44" s="812">
        <v>2.33</v>
      </c>
      <c r="W44" s="219"/>
    </row>
    <row r="45" spans="2:23" x14ac:dyDescent="0.3">
      <c r="B45" s="802" t="s">
        <v>45</v>
      </c>
      <c r="C45" s="802" t="s">
        <v>296</v>
      </c>
      <c r="D45" s="802">
        <f t="shared" si="15"/>
        <v>203</v>
      </c>
      <c r="E45" s="802">
        <f t="shared" si="16"/>
        <v>203</v>
      </c>
      <c r="F45" s="802">
        <f t="shared" si="17"/>
        <v>203</v>
      </c>
      <c r="G45" s="802">
        <f t="shared" si="18"/>
        <v>203</v>
      </c>
      <c r="H45" s="802">
        <f t="shared" si="19"/>
        <v>0</v>
      </c>
      <c r="I45" s="802">
        <f t="shared" si="20"/>
        <v>0</v>
      </c>
      <c r="J45" s="802">
        <f t="shared" si="21"/>
        <v>0</v>
      </c>
      <c r="K45" s="802">
        <f t="shared" si="22"/>
        <v>0</v>
      </c>
      <c r="M45" s="802" t="s">
        <v>45</v>
      </c>
      <c r="N45" s="802" t="s">
        <v>296</v>
      </c>
      <c r="O45" s="812">
        <f>SUM(O46:O49)</f>
        <v>274</v>
      </c>
      <c r="P45" s="812">
        <f t="shared" ref="P45:V45" si="24">SUM(P46:P49)</f>
        <v>290</v>
      </c>
      <c r="Q45" s="812">
        <f t="shared" si="24"/>
        <v>280</v>
      </c>
      <c r="R45" s="812">
        <f t="shared" si="24"/>
        <v>275</v>
      </c>
      <c r="S45" s="812">
        <f t="shared" si="24"/>
        <v>72</v>
      </c>
      <c r="T45" s="812">
        <f t="shared" si="24"/>
        <v>72</v>
      </c>
      <c r="U45" s="812">
        <f t="shared" si="24"/>
        <v>72</v>
      </c>
      <c r="V45" s="812">
        <f t="shared" si="24"/>
        <v>72</v>
      </c>
      <c r="W45" s="219"/>
    </row>
    <row r="46" spans="2:23" x14ac:dyDescent="0.3">
      <c r="B46" s="806" t="s">
        <v>446</v>
      </c>
      <c r="C46" s="802" t="s">
        <v>296</v>
      </c>
      <c r="D46" s="815">
        <f t="shared" si="15"/>
        <v>0</v>
      </c>
      <c r="E46" s="815">
        <f t="shared" si="16"/>
        <v>0</v>
      </c>
      <c r="F46" s="815">
        <f t="shared" si="17"/>
        <v>0</v>
      </c>
      <c r="G46" s="815">
        <f t="shared" si="18"/>
        <v>0</v>
      </c>
      <c r="H46" s="815">
        <f t="shared" si="19"/>
        <v>0</v>
      </c>
      <c r="I46" s="815">
        <f t="shared" si="20"/>
        <v>0</v>
      </c>
      <c r="J46" s="815">
        <f t="shared" si="21"/>
        <v>0</v>
      </c>
      <c r="K46" s="815">
        <f t="shared" si="22"/>
        <v>0</v>
      </c>
      <c r="M46" s="806" t="s">
        <v>446</v>
      </c>
      <c r="N46" s="802" t="s">
        <v>296</v>
      </c>
      <c r="O46" s="812">
        <v>7</v>
      </c>
      <c r="P46" s="812">
        <v>32</v>
      </c>
      <c r="Q46" s="812">
        <v>18</v>
      </c>
      <c r="R46" s="812">
        <v>16</v>
      </c>
      <c r="S46" s="812">
        <v>22</v>
      </c>
      <c r="T46" s="812">
        <v>22</v>
      </c>
      <c r="U46" s="812">
        <v>22</v>
      </c>
      <c r="V46" s="812">
        <v>22</v>
      </c>
      <c r="W46" s="219"/>
    </row>
    <row r="47" spans="2:23" x14ac:dyDescent="0.3">
      <c r="B47" s="806" t="s">
        <v>447</v>
      </c>
      <c r="C47" s="802" t="s">
        <v>296</v>
      </c>
      <c r="D47" s="815">
        <f t="shared" si="15"/>
        <v>0</v>
      </c>
      <c r="E47" s="815">
        <f t="shared" si="16"/>
        <v>0</v>
      </c>
      <c r="F47" s="815">
        <f t="shared" si="17"/>
        <v>0</v>
      </c>
      <c r="G47" s="815">
        <f t="shared" si="18"/>
        <v>0</v>
      </c>
      <c r="H47" s="815">
        <f t="shared" si="19"/>
        <v>0</v>
      </c>
      <c r="I47" s="815">
        <f t="shared" si="20"/>
        <v>0</v>
      </c>
      <c r="J47" s="815">
        <f t="shared" si="21"/>
        <v>0</v>
      </c>
      <c r="K47" s="815">
        <f t="shared" si="22"/>
        <v>0</v>
      </c>
      <c r="M47" s="806" t="s">
        <v>447</v>
      </c>
      <c r="N47" s="802" t="s">
        <v>296</v>
      </c>
      <c r="O47" s="812">
        <v>14</v>
      </c>
      <c r="P47" s="812">
        <v>5</v>
      </c>
      <c r="Q47" s="812">
        <v>6</v>
      </c>
      <c r="R47" s="812">
        <v>6</v>
      </c>
      <c r="S47" s="812"/>
      <c r="T47" s="812"/>
      <c r="U47" s="812"/>
      <c r="V47" s="812"/>
      <c r="W47" s="219"/>
    </row>
    <row r="48" spans="2:23" x14ac:dyDescent="0.3">
      <c r="B48" s="806" t="s">
        <v>448</v>
      </c>
      <c r="C48" s="802" t="s">
        <v>296</v>
      </c>
      <c r="D48" s="815">
        <f t="shared" si="15"/>
        <v>0</v>
      </c>
      <c r="E48" s="815">
        <f t="shared" si="16"/>
        <v>0</v>
      </c>
      <c r="F48" s="815">
        <f t="shared" si="17"/>
        <v>0</v>
      </c>
      <c r="G48" s="815">
        <f t="shared" si="18"/>
        <v>0</v>
      </c>
      <c r="H48" s="815">
        <f t="shared" si="19"/>
        <v>0</v>
      </c>
      <c r="I48" s="815">
        <f t="shared" si="20"/>
        <v>0</v>
      </c>
      <c r="J48" s="815">
        <f t="shared" si="21"/>
        <v>0</v>
      </c>
      <c r="K48" s="815">
        <f t="shared" si="22"/>
        <v>0</v>
      </c>
      <c r="M48" s="806" t="s">
        <v>448</v>
      </c>
      <c r="N48" s="802" t="s">
        <v>296</v>
      </c>
      <c r="O48" s="812"/>
      <c r="P48" s="812"/>
      <c r="Q48" s="812">
        <v>3</v>
      </c>
      <c r="R48" s="812"/>
      <c r="S48" s="812"/>
      <c r="T48" s="812"/>
      <c r="U48" s="812"/>
      <c r="V48" s="812"/>
      <c r="W48" s="219"/>
    </row>
    <row r="49" spans="2:23" x14ac:dyDescent="0.3">
      <c r="B49" s="806" t="s">
        <v>449</v>
      </c>
      <c r="C49" s="802" t="s">
        <v>296</v>
      </c>
      <c r="D49" s="815">
        <f t="shared" si="15"/>
        <v>203</v>
      </c>
      <c r="E49" s="815">
        <f t="shared" si="16"/>
        <v>203</v>
      </c>
      <c r="F49" s="815">
        <f t="shared" si="17"/>
        <v>203</v>
      </c>
      <c r="G49" s="815">
        <f t="shared" si="18"/>
        <v>203</v>
      </c>
      <c r="H49" s="815">
        <f t="shared" si="19"/>
        <v>0</v>
      </c>
      <c r="I49" s="815">
        <f t="shared" si="20"/>
        <v>0</v>
      </c>
      <c r="J49" s="815">
        <f t="shared" si="21"/>
        <v>0</v>
      </c>
      <c r="K49" s="815">
        <f t="shared" si="22"/>
        <v>0</v>
      </c>
      <c r="M49" s="806" t="s">
        <v>449</v>
      </c>
      <c r="N49" s="802" t="s">
        <v>296</v>
      </c>
      <c r="O49" s="812">
        <v>253</v>
      </c>
      <c r="P49" s="812">
        <v>253</v>
      </c>
      <c r="Q49" s="812">
        <v>253</v>
      </c>
      <c r="R49" s="812">
        <v>253</v>
      </c>
      <c r="S49" s="812">
        <v>50</v>
      </c>
      <c r="T49" s="812">
        <v>50</v>
      </c>
      <c r="U49" s="812">
        <v>50</v>
      </c>
      <c r="V49" s="812">
        <v>50</v>
      </c>
      <c r="W49" s="219"/>
    </row>
    <row r="50" spans="2:23" x14ac:dyDescent="0.3">
      <c r="B50" s="802" t="s">
        <v>54</v>
      </c>
      <c r="C50" s="802"/>
      <c r="D50" s="802">
        <f t="shared" si="15"/>
        <v>0</v>
      </c>
      <c r="E50" s="802">
        <f t="shared" si="16"/>
        <v>0</v>
      </c>
      <c r="F50" s="802">
        <f t="shared" si="17"/>
        <v>0</v>
      </c>
      <c r="G50" s="802">
        <f t="shared" si="18"/>
        <v>0</v>
      </c>
      <c r="H50" s="802">
        <f t="shared" si="19"/>
        <v>0</v>
      </c>
      <c r="I50" s="802">
        <f t="shared" si="20"/>
        <v>0</v>
      </c>
      <c r="J50" s="802">
        <f t="shared" si="21"/>
        <v>0</v>
      </c>
      <c r="K50" s="802">
        <f t="shared" si="22"/>
        <v>0</v>
      </c>
      <c r="M50" s="802" t="s">
        <v>54</v>
      </c>
      <c r="N50" s="802"/>
      <c r="O50" s="812">
        <v>0</v>
      </c>
      <c r="P50" s="812">
        <v>0</v>
      </c>
      <c r="Q50" s="812">
        <v>0</v>
      </c>
      <c r="R50" s="812">
        <v>0</v>
      </c>
      <c r="S50" s="812">
        <v>0</v>
      </c>
      <c r="T50" s="812">
        <v>0</v>
      </c>
      <c r="U50" s="812">
        <v>0</v>
      </c>
      <c r="V50" s="812">
        <v>0</v>
      </c>
      <c r="W50" s="219"/>
    </row>
    <row r="51" spans="2:23" x14ac:dyDescent="0.3">
      <c r="B51" s="806" t="s">
        <v>305</v>
      </c>
      <c r="C51" s="802" t="s">
        <v>306</v>
      </c>
      <c r="D51" s="814">
        <f t="shared" si="15"/>
        <v>0</v>
      </c>
      <c r="E51" s="814">
        <f t="shared" si="16"/>
        <v>0</v>
      </c>
      <c r="F51" s="814">
        <f t="shared" si="17"/>
        <v>0</v>
      </c>
      <c r="G51" s="814">
        <f t="shared" si="18"/>
        <v>0</v>
      </c>
      <c r="H51" s="814">
        <f t="shared" si="19"/>
        <v>0</v>
      </c>
      <c r="I51" s="814">
        <f t="shared" si="20"/>
        <v>0</v>
      </c>
      <c r="J51" s="814">
        <f t="shared" si="21"/>
        <v>0</v>
      </c>
      <c r="K51" s="814">
        <f t="shared" si="22"/>
        <v>0</v>
      </c>
      <c r="M51" s="806" t="s">
        <v>305</v>
      </c>
      <c r="N51" s="802" t="s">
        <v>306</v>
      </c>
      <c r="O51" s="812">
        <v>0</v>
      </c>
      <c r="P51" s="812">
        <v>0</v>
      </c>
      <c r="Q51" s="812">
        <v>0</v>
      </c>
      <c r="R51" s="812">
        <v>0</v>
      </c>
      <c r="S51" s="812">
        <v>0</v>
      </c>
      <c r="T51" s="812">
        <v>0</v>
      </c>
      <c r="U51" s="812">
        <v>0</v>
      </c>
      <c r="V51" s="812">
        <v>0</v>
      </c>
      <c r="W51" s="219"/>
    </row>
    <row r="52" spans="2:23" x14ac:dyDescent="0.3">
      <c r="B52" s="806" t="s">
        <v>307</v>
      </c>
      <c r="C52" s="802" t="s">
        <v>75</v>
      </c>
      <c r="D52" s="802">
        <f t="shared" si="15"/>
        <v>0</v>
      </c>
      <c r="E52" s="802">
        <f t="shared" si="16"/>
        <v>0</v>
      </c>
      <c r="F52" s="802">
        <f t="shared" si="17"/>
        <v>0</v>
      </c>
      <c r="G52" s="802">
        <f t="shared" si="18"/>
        <v>0</v>
      </c>
      <c r="H52" s="802">
        <f t="shared" si="19"/>
        <v>0</v>
      </c>
      <c r="I52" s="802">
        <f t="shared" si="20"/>
        <v>0</v>
      </c>
      <c r="J52" s="802">
        <f t="shared" si="21"/>
        <v>0</v>
      </c>
      <c r="K52" s="802">
        <f t="shared" si="22"/>
        <v>0</v>
      </c>
      <c r="M52" s="806" t="s">
        <v>307</v>
      </c>
      <c r="N52" s="802" t="s">
        <v>75</v>
      </c>
      <c r="O52" s="812">
        <v>0</v>
      </c>
      <c r="P52" s="812">
        <v>0</v>
      </c>
      <c r="Q52" s="812">
        <v>0</v>
      </c>
      <c r="R52" s="812">
        <v>0</v>
      </c>
      <c r="S52" s="812">
        <v>0</v>
      </c>
      <c r="T52" s="812">
        <v>0</v>
      </c>
      <c r="U52" s="812">
        <v>0</v>
      </c>
      <c r="V52" s="812">
        <v>0</v>
      </c>
      <c r="W52" s="219"/>
    </row>
    <row r="53" spans="2:23" x14ac:dyDescent="0.3">
      <c r="B53" s="802" t="s">
        <v>308</v>
      </c>
      <c r="C53" s="802" t="s">
        <v>309</v>
      </c>
      <c r="D53" s="802">
        <f t="shared" ref="D53:K53" si="25">O53-D19</f>
        <v>0</v>
      </c>
      <c r="E53" s="802">
        <f t="shared" si="25"/>
        <v>0</v>
      </c>
      <c r="F53" s="802">
        <f t="shared" si="25"/>
        <v>0</v>
      </c>
      <c r="G53" s="802">
        <f t="shared" si="25"/>
        <v>0</v>
      </c>
      <c r="H53" s="802">
        <f t="shared" si="25"/>
        <v>0</v>
      </c>
      <c r="I53" s="802">
        <f t="shared" si="25"/>
        <v>0</v>
      </c>
      <c r="J53" s="802">
        <f t="shared" si="25"/>
        <v>0</v>
      </c>
      <c r="K53" s="802">
        <f t="shared" si="25"/>
        <v>0</v>
      </c>
      <c r="M53" s="802" t="s">
        <v>308</v>
      </c>
      <c r="N53" s="802" t="s">
        <v>309</v>
      </c>
      <c r="O53" s="812">
        <v>0</v>
      </c>
      <c r="P53" s="812">
        <v>0</v>
      </c>
      <c r="Q53" s="812">
        <v>0</v>
      </c>
      <c r="R53" s="812">
        <v>0</v>
      </c>
      <c r="S53" s="812">
        <v>0</v>
      </c>
      <c r="T53" s="812">
        <v>0</v>
      </c>
      <c r="U53" s="812">
        <v>0</v>
      </c>
      <c r="V53" s="812">
        <v>0</v>
      </c>
      <c r="W53" s="219"/>
    </row>
    <row r="57" spans="2:23" ht="13.5" customHeight="1" x14ac:dyDescent="0.3">
      <c r="B57" s="179" t="s">
        <v>438</v>
      </c>
      <c r="C57" s="180"/>
      <c r="D57" s="180"/>
      <c r="E57" s="180"/>
      <c r="F57" s="180"/>
      <c r="G57" s="180"/>
      <c r="H57" s="180"/>
      <c r="I57" s="180"/>
      <c r="J57" s="180"/>
      <c r="K57" s="180"/>
    </row>
    <row r="58" spans="2:23" x14ac:dyDescent="0.3">
      <c r="B58" s="809"/>
      <c r="C58" s="809" t="s">
        <v>318</v>
      </c>
      <c r="D58" s="809">
        <v>2015</v>
      </c>
      <c r="E58" s="809">
        <v>2020</v>
      </c>
      <c r="F58" s="809">
        <v>2025</v>
      </c>
      <c r="G58" s="809">
        <v>2030</v>
      </c>
      <c r="H58" s="809">
        <v>2035</v>
      </c>
      <c r="I58" s="809">
        <v>2040</v>
      </c>
      <c r="J58" s="809">
        <v>2045</v>
      </c>
      <c r="K58" s="809">
        <v>2050</v>
      </c>
    </row>
    <row r="59" spans="2:23" x14ac:dyDescent="0.3">
      <c r="B59" s="809"/>
      <c r="C59" s="816">
        <v>1</v>
      </c>
      <c r="D59" s="817">
        <v>2</v>
      </c>
      <c r="E59" s="816">
        <v>3</v>
      </c>
      <c r="F59" s="817">
        <v>4</v>
      </c>
      <c r="G59" s="816">
        <v>5</v>
      </c>
      <c r="H59" s="817">
        <v>6</v>
      </c>
      <c r="I59" s="816">
        <v>7</v>
      </c>
      <c r="J59" s="817">
        <v>8</v>
      </c>
      <c r="K59" s="816">
        <v>9</v>
      </c>
    </row>
    <row r="60" spans="2:23" x14ac:dyDescent="0.3">
      <c r="B60" s="818" t="s">
        <v>231</v>
      </c>
      <c r="C60" s="809">
        <v>1</v>
      </c>
      <c r="D60" s="802">
        <f t="shared" ref="D60:K60" si="26">SUMPRODUCT($N12:$N15,D29:D32)+SUMPRODUCT($N9:$N10,D26:D27)</f>
        <v>0</v>
      </c>
      <c r="E60" s="802">
        <f t="shared" si="26"/>
        <v>-1.268999999999999</v>
      </c>
      <c r="F60" s="802">
        <f t="shared" si="26"/>
        <v>-1.7474999999999998</v>
      </c>
      <c r="G60" s="802">
        <f t="shared" si="26"/>
        <v>-1.2150000000000001</v>
      </c>
      <c r="H60" s="802">
        <f t="shared" si="26"/>
        <v>-1.2149999999999996</v>
      </c>
      <c r="I60" s="802">
        <f t="shared" si="26"/>
        <v>-1.2149999999999996</v>
      </c>
      <c r="J60" s="802">
        <f t="shared" si="26"/>
        <v>-1.2149999999999996</v>
      </c>
      <c r="K60" s="802">
        <f t="shared" si="26"/>
        <v>-1.2149999999999999</v>
      </c>
    </row>
    <row r="61" spans="2:23" x14ac:dyDescent="0.3">
      <c r="B61" s="818" t="s">
        <v>133</v>
      </c>
      <c r="C61" s="809">
        <v>23</v>
      </c>
      <c r="D61" s="802">
        <f t="shared" ref="D61:K61" si="27">SUMPRODUCT($O12:$O15,D29:D32)+SUMPRODUCT($O9:$O10,D26:D27)</f>
        <v>0</v>
      </c>
      <c r="E61" s="802">
        <f t="shared" si="27"/>
        <v>0</v>
      </c>
      <c r="F61" s="802">
        <f t="shared" si="27"/>
        <v>0</v>
      </c>
      <c r="G61" s="802">
        <f t="shared" si="27"/>
        <v>0</v>
      </c>
      <c r="H61" s="802">
        <f t="shared" si="27"/>
        <v>0</v>
      </c>
      <c r="I61" s="802">
        <f t="shared" si="27"/>
        <v>0</v>
      </c>
      <c r="J61" s="802">
        <f t="shared" si="27"/>
        <v>0</v>
      </c>
      <c r="K61" s="802">
        <f t="shared" si="27"/>
        <v>0</v>
      </c>
    </row>
    <row r="62" spans="2:23" x14ac:dyDescent="0.3">
      <c r="B62" s="818" t="s">
        <v>285</v>
      </c>
      <c r="C62" s="809">
        <v>24</v>
      </c>
      <c r="D62" s="802">
        <f t="shared" ref="D62:K62" si="28">SUMPRODUCT($P12:$P15,D29:D32)+SUMPRODUCT($P9:$P10,D26:D27)</f>
        <v>0</v>
      </c>
      <c r="E62" s="802">
        <f t="shared" si="28"/>
        <v>-0.42299999999999971</v>
      </c>
      <c r="F62" s="802">
        <f t="shared" si="28"/>
        <v>-0.58249999999999991</v>
      </c>
      <c r="G62" s="802">
        <f t="shared" si="28"/>
        <v>-0.40500000000000008</v>
      </c>
      <c r="H62" s="802">
        <f t="shared" si="28"/>
        <v>-0.40499999999999992</v>
      </c>
      <c r="I62" s="802">
        <f t="shared" si="28"/>
        <v>-0.40499999999999992</v>
      </c>
      <c r="J62" s="802">
        <f t="shared" si="28"/>
        <v>-0.40499999999999992</v>
      </c>
      <c r="K62" s="802">
        <f t="shared" si="28"/>
        <v>-0.40500000000000003</v>
      </c>
    </row>
    <row r="63" spans="2:23" x14ac:dyDescent="0.3">
      <c r="B63" s="818" t="s">
        <v>315</v>
      </c>
      <c r="C63" s="809">
        <v>26</v>
      </c>
      <c r="D63" s="802">
        <f t="shared" ref="D63:K63" si="29">SUMPRODUCT($Q12:$Q15,D29:D32)+SUMPRODUCT($Q9:$Q10,D26:D27)</f>
        <v>0</v>
      </c>
      <c r="E63" s="802">
        <f t="shared" si="29"/>
        <v>0</v>
      </c>
      <c r="F63" s="802">
        <f t="shared" si="29"/>
        <v>0</v>
      </c>
      <c r="G63" s="802">
        <f t="shared" si="29"/>
        <v>0</v>
      </c>
      <c r="H63" s="802">
        <f t="shared" si="29"/>
        <v>0</v>
      </c>
      <c r="I63" s="802">
        <f t="shared" si="29"/>
        <v>0</v>
      </c>
      <c r="J63" s="802">
        <f t="shared" si="29"/>
        <v>0</v>
      </c>
      <c r="K63" s="802">
        <f t="shared" si="29"/>
        <v>0</v>
      </c>
    </row>
    <row r="64" spans="2:23" x14ac:dyDescent="0.3">
      <c r="B64" s="818" t="s">
        <v>38</v>
      </c>
      <c r="C64" s="809">
        <v>29</v>
      </c>
      <c r="D64" s="802">
        <f t="shared" ref="D64:K64" si="30">SUMPRODUCT($R12:$R15,D29:D32)+SUMPRODUCT($R9:$R10,D26:D27)</f>
        <v>40.5</v>
      </c>
      <c r="E64" s="802">
        <f t="shared" si="30"/>
        <v>40.5</v>
      </c>
      <c r="F64" s="802">
        <f t="shared" si="30"/>
        <v>40.5</v>
      </c>
      <c r="G64" s="802">
        <f t="shared" si="30"/>
        <v>40.5</v>
      </c>
      <c r="H64" s="802">
        <f t="shared" si="30"/>
        <v>40.5</v>
      </c>
      <c r="I64" s="802">
        <f t="shared" si="30"/>
        <v>0</v>
      </c>
      <c r="J64" s="802">
        <f t="shared" si="30"/>
        <v>0</v>
      </c>
      <c r="K64" s="802">
        <f t="shared" si="30"/>
        <v>0</v>
      </c>
    </row>
    <row r="65" spans="2:12" x14ac:dyDescent="0.3">
      <c r="B65" s="818" t="s">
        <v>453</v>
      </c>
      <c r="C65" s="809">
        <v>33</v>
      </c>
      <c r="D65" s="802">
        <f t="shared" ref="D65:K65" si="31">SUMPRODUCT($S12:$S15,D29:D32)+SUMPRODUCT($S9:$S10,D26:D27)</f>
        <v>0</v>
      </c>
      <c r="E65" s="802">
        <f t="shared" si="31"/>
        <v>0</v>
      </c>
      <c r="F65" s="802">
        <f t="shared" si="31"/>
        <v>0</v>
      </c>
      <c r="G65" s="802">
        <f t="shared" si="31"/>
        <v>0</v>
      </c>
      <c r="H65" s="802">
        <f t="shared" si="31"/>
        <v>0</v>
      </c>
      <c r="I65" s="802">
        <f t="shared" si="31"/>
        <v>0</v>
      </c>
      <c r="J65" s="802">
        <f t="shared" si="31"/>
        <v>0</v>
      </c>
      <c r="K65" s="802">
        <f t="shared" si="31"/>
        <v>0</v>
      </c>
    </row>
    <row r="66" spans="2:12" x14ac:dyDescent="0.3">
      <c r="B66" s="818" t="s">
        <v>511</v>
      </c>
      <c r="C66" s="809">
        <v>55</v>
      </c>
      <c r="D66" s="802">
        <f t="shared" ref="D66:K66" si="32">SUMPRODUCT($T12:$T15,D29:D32)+SUMPRODUCT($T9:$T10,D26:D27)</f>
        <v>0</v>
      </c>
      <c r="E66" s="802">
        <f t="shared" si="32"/>
        <v>0</v>
      </c>
      <c r="F66" s="802">
        <f t="shared" si="32"/>
        <v>0</v>
      </c>
      <c r="G66" s="802">
        <f t="shared" si="32"/>
        <v>0</v>
      </c>
      <c r="H66" s="802">
        <f t="shared" si="32"/>
        <v>0</v>
      </c>
      <c r="I66" s="802">
        <f t="shared" si="32"/>
        <v>0</v>
      </c>
      <c r="J66" s="802">
        <f t="shared" si="32"/>
        <v>0</v>
      </c>
      <c r="K66" s="802">
        <f t="shared" si="32"/>
        <v>0</v>
      </c>
    </row>
    <row r="67" spans="2:12" x14ac:dyDescent="0.3">
      <c r="B67" s="818" t="s">
        <v>204</v>
      </c>
      <c r="C67" s="809"/>
      <c r="D67" s="802">
        <f t="shared" ref="D67:K67" si="33">SUMPRODUCT($U12:$U15,D29:D32)+SUMPRODUCT($U9:$U10,D26:D27)</f>
        <v>0</v>
      </c>
      <c r="E67" s="802">
        <f t="shared" si="33"/>
        <v>0</v>
      </c>
      <c r="F67" s="802">
        <f t="shared" si="33"/>
        <v>0</v>
      </c>
      <c r="G67" s="802">
        <f t="shared" si="33"/>
        <v>0</v>
      </c>
      <c r="H67" s="802">
        <f t="shared" si="33"/>
        <v>0</v>
      </c>
      <c r="I67" s="802">
        <f t="shared" si="33"/>
        <v>0</v>
      </c>
      <c r="J67" s="802">
        <f t="shared" si="33"/>
        <v>0</v>
      </c>
      <c r="K67" s="802">
        <f t="shared" si="33"/>
        <v>0</v>
      </c>
    </row>
    <row r="68" spans="2:12" x14ac:dyDescent="0.3">
      <c r="B68" s="818" t="s">
        <v>496</v>
      </c>
      <c r="C68" s="809">
        <v>103</v>
      </c>
      <c r="D68" s="802">
        <f>-SUMPRODUCT($V12:$V15,D29:D32)-SUMPRODUCT($V9:$V10,D26:D27)-D26-D27</f>
        <v>-49.500000000000007</v>
      </c>
      <c r="E68" s="802">
        <f t="shared" ref="E68:K68" si="34">-SUMPRODUCT($V12:$V15,E29:E32)-SUMPRODUCT($V9:$V10,E26:E27)-E26-E27</f>
        <v>-44.147165504000007</v>
      </c>
      <c r="F68" s="802">
        <f t="shared" si="34"/>
        <v>-39.30026768350001</v>
      </c>
      <c r="G68" s="802">
        <f t="shared" si="34"/>
        <v>-42.221290275000001</v>
      </c>
      <c r="H68" s="802">
        <f t="shared" si="34"/>
        <v>-41.111138929500001</v>
      </c>
      <c r="I68" s="802">
        <f t="shared" si="34"/>
        <v>10.523893599999996</v>
      </c>
      <c r="J68" s="802">
        <f t="shared" si="34"/>
        <v>11.924353797750003</v>
      </c>
      <c r="K68" s="802">
        <f t="shared" si="34"/>
        <v>13.029321037499987</v>
      </c>
    </row>
    <row r="69" spans="2:12" x14ac:dyDescent="0.3">
      <c r="B69" s="802" t="s">
        <v>53</v>
      </c>
      <c r="C69" s="809">
        <v>105</v>
      </c>
      <c r="D69" s="802">
        <f>-SUMPRODUCT($W9:$W15,D26:D32)+D90</f>
        <v>-3</v>
      </c>
      <c r="E69" s="802">
        <f t="shared" ref="E69:K69" si="35">-SUMPRODUCT($W9:$W15,E26:E32)+E90</f>
        <v>-14.339165503999999</v>
      </c>
      <c r="F69" s="802">
        <f t="shared" si="35"/>
        <v>-25.130267683500001</v>
      </c>
      <c r="G69" s="802">
        <f t="shared" si="35"/>
        <v>-42.341290274999999</v>
      </c>
      <c r="H69" s="802">
        <f t="shared" si="35"/>
        <v>-56.231138929499991</v>
      </c>
      <c r="I69" s="802">
        <f t="shared" si="35"/>
        <v>-54.096106400000004</v>
      </c>
      <c r="J69" s="802">
        <f t="shared" si="35"/>
        <v>-52.695646202249996</v>
      </c>
      <c r="K69" s="802">
        <f t="shared" si="35"/>
        <v>-51.590678962500014</v>
      </c>
      <c r="L69" s="628" t="s">
        <v>869</v>
      </c>
    </row>
    <row r="71" spans="2:12" x14ac:dyDescent="0.3">
      <c r="B71" s="179" t="s">
        <v>455</v>
      </c>
      <c r="C71" s="180"/>
      <c r="D71" s="180"/>
      <c r="E71" s="180"/>
      <c r="F71" s="180"/>
      <c r="G71" s="180"/>
      <c r="H71" s="180"/>
      <c r="I71" s="180"/>
      <c r="J71" s="180"/>
      <c r="K71" s="180"/>
    </row>
    <row r="72" spans="2:12" x14ac:dyDescent="0.3">
      <c r="B72" s="809"/>
      <c r="C72" s="809" t="s">
        <v>318</v>
      </c>
      <c r="D72" s="809">
        <v>2015</v>
      </c>
      <c r="E72" s="809">
        <v>2020</v>
      </c>
      <c r="F72" s="809">
        <v>2025</v>
      </c>
      <c r="G72" s="809">
        <v>2030</v>
      </c>
      <c r="H72" s="809">
        <v>2035</v>
      </c>
      <c r="I72" s="809">
        <v>2040</v>
      </c>
      <c r="J72" s="809">
        <v>2045</v>
      </c>
      <c r="K72" s="809">
        <v>2050</v>
      </c>
    </row>
    <row r="73" spans="2:12" x14ac:dyDescent="0.3">
      <c r="B73" s="809"/>
      <c r="C73" s="816">
        <v>1</v>
      </c>
      <c r="D73" s="817">
        <v>2</v>
      </c>
      <c r="E73" s="816">
        <v>3</v>
      </c>
      <c r="F73" s="817">
        <v>4</v>
      </c>
      <c r="G73" s="816">
        <v>5</v>
      </c>
      <c r="H73" s="817">
        <v>6</v>
      </c>
      <c r="I73" s="816">
        <v>7</v>
      </c>
      <c r="J73" s="817">
        <v>8</v>
      </c>
      <c r="K73" s="816">
        <v>9</v>
      </c>
    </row>
    <row r="74" spans="2:12" x14ac:dyDescent="0.3">
      <c r="B74" s="818" t="s">
        <v>231</v>
      </c>
      <c r="C74" s="809">
        <v>1</v>
      </c>
      <c r="D74" s="802">
        <f t="shared" ref="D74:K74" si="36">SUMPRODUCT($N12:$N15,D46:D49)+SUMPRODUCT($N9:$N10,D43:D44)</f>
        <v>0</v>
      </c>
      <c r="E74" s="802">
        <f t="shared" si="36"/>
        <v>-2.4089999999999994</v>
      </c>
      <c r="F74" s="802">
        <f t="shared" si="36"/>
        <v>-2.9249999999999994</v>
      </c>
      <c r="G74" s="802">
        <f t="shared" si="36"/>
        <v>-3.4034999999999997</v>
      </c>
      <c r="H74" s="802">
        <f t="shared" si="36"/>
        <v>-3.1238999999999999</v>
      </c>
      <c r="I74" s="802">
        <f t="shared" si="36"/>
        <v>-2.8442999999999992</v>
      </c>
      <c r="J74" s="802">
        <f t="shared" si="36"/>
        <v>-2.5646999999999998</v>
      </c>
      <c r="K74" s="802">
        <f t="shared" si="36"/>
        <v>-2.355</v>
      </c>
    </row>
    <row r="75" spans="2:12" x14ac:dyDescent="0.3">
      <c r="B75" s="818" t="s">
        <v>133</v>
      </c>
      <c r="C75" s="809">
        <v>23</v>
      </c>
      <c r="D75" s="802">
        <f t="shared" ref="D75:K75" si="37">SUMPRODUCT($O12:$O15,D46:D49)+SUMPRODUCT($O9:$O10,D43:D44)</f>
        <v>0</v>
      </c>
      <c r="E75" s="802">
        <f t="shared" si="37"/>
        <v>0</v>
      </c>
      <c r="F75" s="802">
        <f t="shared" si="37"/>
        <v>0</v>
      </c>
      <c r="G75" s="802">
        <f t="shared" si="37"/>
        <v>0</v>
      </c>
      <c r="H75" s="802">
        <f t="shared" si="37"/>
        <v>0</v>
      </c>
      <c r="I75" s="802">
        <f t="shared" si="37"/>
        <v>0</v>
      </c>
      <c r="J75" s="802">
        <f t="shared" si="37"/>
        <v>0</v>
      </c>
      <c r="K75" s="802">
        <f t="shared" si="37"/>
        <v>0</v>
      </c>
    </row>
    <row r="76" spans="2:12" x14ac:dyDescent="0.3">
      <c r="B76" s="818" t="s">
        <v>285</v>
      </c>
      <c r="C76" s="809">
        <v>24</v>
      </c>
      <c r="D76" s="802">
        <f t="shared" ref="D76:K76" si="38">SUMPRODUCT($P12:$P15,D46:D49)+SUMPRODUCT($P9:$P10,D43:D44)</f>
        <v>0</v>
      </c>
      <c r="E76" s="802">
        <f t="shared" si="38"/>
        <v>-0.80299999999999983</v>
      </c>
      <c r="F76" s="802">
        <f t="shared" si="38"/>
        <v>-0.97499999999999987</v>
      </c>
      <c r="G76" s="802">
        <f t="shared" si="38"/>
        <v>-1.1344999999999998</v>
      </c>
      <c r="H76" s="802">
        <f t="shared" si="38"/>
        <v>-1.0413000000000001</v>
      </c>
      <c r="I76" s="802">
        <f t="shared" si="38"/>
        <v>-0.94809999999999983</v>
      </c>
      <c r="J76" s="802">
        <f t="shared" si="38"/>
        <v>-0.85489999999999999</v>
      </c>
      <c r="K76" s="802">
        <f t="shared" si="38"/>
        <v>-0.78500000000000003</v>
      </c>
    </row>
    <row r="77" spans="2:12" x14ac:dyDescent="0.3">
      <c r="B77" s="818" t="s">
        <v>315</v>
      </c>
      <c r="C77" s="809">
        <v>26</v>
      </c>
      <c r="D77" s="802">
        <f t="shared" ref="D77:K77" si="39">SUMPRODUCT($Q12:$Q15,D46:D49)+SUMPRODUCT($Q9:$Q10,D43:D44)</f>
        <v>0</v>
      </c>
      <c r="E77" s="802">
        <f t="shared" si="39"/>
        <v>0</v>
      </c>
      <c r="F77" s="802">
        <f t="shared" si="39"/>
        <v>0</v>
      </c>
      <c r="G77" s="802">
        <f t="shared" si="39"/>
        <v>0</v>
      </c>
      <c r="H77" s="802">
        <f t="shared" si="39"/>
        <v>0</v>
      </c>
      <c r="I77" s="802">
        <f t="shared" si="39"/>
        <v>0</v>
      </c>
      <c r="J77" s="802">
        <f t="shared" si="39"/>
        <v>0</v>
      </c>
      <c r="K77" s="802">
        <f t="shared" si="39"/>
        <v>0</v>
      </c>
    </row>
    <row r="78" spans="2:12" x14ac:dyDescent="0.3">
      <c r="B78" s="818" t="s">
        <v>38</v>
      </c>
      <c r="C78" s="809">
        <v>29</v>
      </c>
      <c r="D78" s="802">
        <f t="shared" ref="D78:K78" si="40">SUMPRODUCT($R12:$R15,D46:D49)+SUMPRODUCT($R9:$R10,D43:D44)</f>
        <v>91.350000000000009</v>
      </c>
      <c r="E78" s="802">
        <f t="shared" si="40"/>
        <v>91.350000000000009</v>
      </c>
      <c r="F78" s="802">
        <f t="shared" si="40"/>
        <v>91.350000000000009</v>
      </c>
      <c r="G78" s="802">
        <f t="shared" si="40"/>
        <v>91.350000000000009</v>
      </c>
      <c r="H78" s="802">
        <f t="shared" si="40"/>
        <v>0</v>
      </c>
      <c r="I78" s="802">
        <f t="shared" si="40"/>
        <v>0</v>
      </c>
      <c r="J78" s="802">
        <f t="shared" si="40"/>
        <v>0</v>
      </c>
      <c r="K78" s="802">
        <f t="shared" si="40"/>
        <v>0</v>
      </c>
    </row>
    <row r="79" spans="2:12" x14ac:dyDescent="0.3">
      <c r="B79" s="818" t="s">
        <v>453</v>
      </c>
      <c r="C79" s="809">
        <v>33</v>
      </c>
      <c r="D79" s="802">
        <f t="shared" ref="D79:K79" si="41">SUMPRODUCT($S12:$S15,D46:D49)+SUMPRODUCT($S9:$S10,D43:D44)</f>
        <v>0</v>
      </c>
      <c r="E79" s="802">
        <f t="shared" si="41"/>
        <v>0</v>
      </c>
      <c r="F79" s="802">
        <f t="shared" si="41"/>
        <v>0</v>
      </c>
      <c r="G79" s="802">
        <f t="shared" si="41"/>
        <v>0</v>
      </c>
      <c r="H79" s="802">
        <f t="shared" si="41"/>
        <v>0</v>
      </c>
      <c r="I79" s="802">
        <f t="shared" si="41"/>
        <v>0</v>
      </c>
      <c r="J79" s="802">
        <f t="shared" si="41"/>
        <v>0</v>
      </c>
      <c r="K79" s="802">
        <f t="shared" si="41"/>
        <v>0</v>
      </c>
    </row>
    <row r="80" spans="2:12" x14ac:dyDescent="0.3">
      <c r="B80" s="818" t="s">
        <v>511</v>
      </c>
      <c r="C80" s="809">
        <v>55</v>
      </c>
      <c r="D80" s="802">
        <f t="shared" ref="D80:K80" si="42">SUMPRODUCT($T12:$T15,D46:D49)+SUMPRODUCT($T9:$T10,D43:D44)</f>
        <v>0</v>
      </c>
      <c r="E80" s="802">
        <f t="shared" si="42"/>
        <v>0</v>
      </c>
      <c r="F80" s="802">
        <f t="shared" si="42"/>
        <v>0</v>
      </c>
      <c r="G80" s="802">
        <f t="shared" si="42"/>
        <v>0</v>
      </c>
      <c r="H80" s="802">
        <f t="shared" si="42"/>
        <v>0</v>
      </c>
      <c r="I80" s="802">
        <f t="shared" si="42"/>
        <v>0</v>
      </c>
      <c r="J80" s="802">
        <f t="shared" si="42"/>
        <v>0</v>
      </c>
      <c r="K80" s="802">
        <f t="shared" si="42"/>
        <v>0</v>
      </c>
    </row>
    <row r="81" spans="2:12" x14ac:dyDescent="0.3">
      <c r="B81" s="818" t="s">
        <v>204</v>
      </c>
      <c r="C81" s="809"/>
      <c r="D81" s="802">
        <f t="shared" ref="D81:K81" si="43">SUMPRODUCT($U12:$U15,D46:D49)+SUMPRODUCT($U9:$U10,D43:D44)</f>
        <v>0</v>
      </c>
      <c r="E81" s="802">
        <f t="shared" si="43"/>
        <v>0</v>
      </c>
      <c r="F81" s="802">
        <f t="shared" si="43"/>
        <v>0</v>
      </c>
      <c r="G81" s="802">
        <f t="shared" si="43"/>
        <v>0</v>
      </c>
      <c r="H81" s="802">
        <f t="shared" si="43"/>
        <v>0</v>
      </c>
      <c r="I81" s="802">
        <f t="shared" si="43"/>
        <v>0</v>
      </c>
      <c r="J81" s="802">
        <f t="shared" si="43"/>
        <v>0</v>
      </c>
      <c r="K81" s="802">
        <f t="shared" si="43"/>
        <v>0</v>
      </c>
    </row>
    <row r="82" spans="2:12" x14ac:dyDescent="0.3">
      <c r="B82" s="818" t="s">
        <v>496</v>
      </c>
      <c r="C82" s="809">
        <v>103</v>
      </c>
      <c r="D82" s="802">
        <f>-SUMPRODUCT($V12:$V15,D46:D49)-SUMPRODUCT($V9:$V10,D43:D44)-D43-D44</f>
        <v>-111.65</v>
      </c>
      <c r="E82" s="802">
        <f t="shared" ref="E82:K82" si="44">-SUMPRODUCT($V12:$V15,E46:E49)-SUMPRODUCT($V9:$V10,E43:E44)-E43-E44</f>
        <v>-103.62</v>
      </c>
      <c r="F82" s="802">
        <f t="shared" si="44"/>
        <v>-93.150535367000003</v>
      </c>
      <c r="G82" s="802">
        <f t="shared" si="44"/>
        <v>-90.618870825000002</v>
      </c>
      <c r="H82" s="802">
        <f t="shared" si="44"/>
        <v>21.983296188000008</v>
      </c>
      <c r="I82" s="802">
        <f t="shared" si="44"/>
        <v>24.047260599999991</v>
      </c>
      <c r="J82" s="802">
        <f t="shared" si="44"/>
        <v>26.047563994999997</v>
      </c>
      <c r="K82" s="802">
        <f t="shared" si="44"/>
        <v>25.808642074999987</v>
      </c>
    </row>
    <row r="83" spans="2:12" x14ac:dyDescent="0.3">
      <c r="B83" s="802" t="s">
        <v>53</v>
      </c>
      <c r="C83" s="809">
        <v>105</v>
      </c>
      <c r="D83" s="802">
        <f>-SUMPRODUCT($W9:$W15,D43:D49)+D93</f>
        <v>-6.7666666666666666</v>
      </c>
      <c r="E83" s="802">
        <f t="shared" ref="E83:K83" si="45">-SUMPRODUCT($W9:$W15,E43:E49)+E93</f>
        <v>-35.782000000000004</v>
      </c>
      <c r="F83" s="802">
        <f t="shared" si="45"/>
        <v>-59.83386870033334</v>
      </c>
      <c r="G83" s="802">
        <f t="shared" si="45"/>
        <v>-91.773537491666659</v>
      </c>
      <c r="H83" s="802">
        <f t="shared" si="45"/>
        <v>-90.448570478666653</v>
      </c>
      <c r="I83" s="802">
        <f t="shared" si="45"/>
        <v>-88.011806066666679</v>
      </c>
      <c r="J83" s="802">
        <f t="shared" si="45"/>
        <v>-85.638702671666664</v>
      </c>
      <c r="K83" s="802">
        <f t="shared" si="45"/>
        <v>-85.598024591666672</v>
      </c>
      <c r="L83" s="628"/>
    </row>
    <row r="88" spans="2:12" x14ac:dyDescent="0.3">
      <c r="B88" s="270" t="s">
        <v>867</v>
      </c>
      <c r="C88" s="219"/>
      <c r="D88" s="219"/>
      <c r="E88" s="219"/>
      <c r="F88" s="219"/>
      <c r="G88" s="219"/>
      <c r="H88" s="219"/>
      <c r="I88" s="219"/>
      <c r="J88" s="219"/>
      <c r="K88" s="219"/>
    </row>
    <row r="89" spans="2:12" x14ac:dyDescent="0.3">
      <c r="B89" s="263" t="s">
        <v>374</v>
      </c>
      <c r="C89" s="264" t="s">
        <v>566</v>
      </c>
      <c r="D89" s="267">
        <f>D28</f>
        <v>90</v>
      </c>
      <c r="E89" s="267">
        <f>D89+5*E28</f>
        <v>540</v>
      </c>
      <c r="F89" s="267">
        <f t="shared" ref="F89:K89" si="46">E89+5*F28</f>
        <v>990</v>
      </c>
      <c r="G89" s="267">
        <f t="shared" si="46"/>
        <v>1440</v>
      </c>
      <c r="H89" s="267">
        <f t="shared" si="46"/>
        <v>1890</v>
      </c>
      <c r="I89" s="267">
        <f t="shared" si="46"/>
        <v>1890</v>
      </c>
      <c r="J89" s="267">
        <f t="shared" si="46"/>
        <v>1890</v>
      </c>
      <c r="K89" s="267">
        <f t="shared" si="46"/>
        <v>1890</v>
      </c>
    </row>
    <row r="90" spans="2:12" x14ac:dyDescent="0.3">
      <c r="B90" s="263" t="s">
        <v>373</v>
      </c>
      <c r="C90" s="264" t="s">
        <v>347</v>
      </c>
      <c r="D90" s="267">
        <f>PMT($C$96,$C$97,D89)</f>
        <v>-3</v>
      </c>
      <c r="E90" s="267">
        <f t="shared" ref="E90:K90" si="47">PMT($C$96,$C$97,E89)</f>
        <v>-18</v>
      </c>
      <c r="F90" s="267">
        <f t="shared" si="47"/>
        <v>-33</v>
      </c>
      <c r="G90" s="267">
        <f t="shared" si="47"/>
        <v>-48</v>
      </c>
      <c r="H90" s="267">
        <f t="shared" si="47"/>
        <v>-63</v>
      </c>
      <c r="I90" s="267">
        <f t="shared" si="47"/>
        <v>-63</v>
      </c>
      <c r="J90" s="267">
        <f t="shared" si="47"/>
        <v>-63</v>
      </c>
      <c r="K90" s="267">
        <f t="shared" si="47"/>
        <v>-63</v>
      </c>
    </row>
    <row r="91" spans="2:12" x14ac:dyDescent="0.3">
      <c r="B91" s="270" t="s">
        <v>868</v>
      </c>
      <c r="C91" s="219"/>
      <c r="D91" s="219"/>
      <c r="E91" s="219"/>
      <c r="F91" s="219"/>
      <c r="G91" s="219"/>
      <c r="H91" s="219"/>
      <c r="I91" s="219"/>
      <c r="J91" s="219"/>
      <c r="K91" s="219"/>
    </row>
    <row r="92" spans="2:12" x14ac:dyDescent="0.3">
      <c r="B92" s="263" t="s">
        <v>374</v>
      </c>
      <c r="C92" s="264" t="s">
        <v>566</v>
      </c>
      <c r="D92" s="267">
        <f>D45</f>
        <v>203</v>
      </c>
      <c r="E92" s="267">
        <f>D92+5*E45</f>
        <v>1218</v>
      </c>
      <c r="F92" s="267">
        <f>E92+5*F45</f>
        <v>2233</v>
      </c>
      <c r="G92" s="267">
        <f t="shared" ref="G92:K92" si="48">F92+5*G45</f>
        <v>3248</v>
      </c>
      <c r="H92" s="267">
        <f t="shared" si="48"/>
        <v>3248</v>
      </c>
      <c r="I92" s="267">
        <f t="shared" si="48"/>
        <v>3248</v>
      </c>
      <c r="J92" s="267">
        <f t="shared" si="48"/>
        <v>3248</v>
      </c>
      <c r="K92" s="267">
        <f t="shared" si="48"/>
        <v>3248</v>
      </c>
    </row>
    <row r="93" spans="2:12" x14ac:dyDescent="0.3">
      <c r="B93" s="263" t="s">
        <v>373</v>
      </c>
      <c r="C93" s="264" t="s">
        <v>347</v>
      </c>
      <c r="D93" s="267">
        <f>PMT($C$96,$C$97,D92)</f>
        <v>-6.7666666666666666</v>
      </c>
      <c r="E93" s="267">
        <f t="shared" ref="E93" si="49">PMT($C$96,$C$97,E92)</f>
        <v>-40.6</v>
      </c>
      <c r="F93" s="267">
        <f t="shared" ref="F93" si="50">PMT($C$96,$C$97,F92)</f>
        <v>-74.433333333333337</v>
      </c>
      <c r="G93" s="267">
        <f t="shared" ref="G93" si="51">PMT($C$96,$C$97,G92)</f>
        <v>-108.26666666666667</v>
      </c>
      <c r="H93" s="267">
        <f t="shared" ref="H93" si="52">PMT($C$96,$C$97,H92)</f>
        <v>-108.26666666666667</v>
      </c>
      <c r="I93" s="267">
        <f t="shared" ref="I93" si="53">PMT($C$96,$C$97,I92)</f>
        <v>-108.26666666666667</v>
      </c>
      <c r="J93" s="267">
        <f t="shared" ref="J93" si="54">PMT($C$96,$C$97,J92)</f>
        <v>-108.26666666666667</v>
      </c>
      <c r="K93" s="267">
        <f t="shared" ref="K93" si="55">PMT($C$96,$C$97,K92)</f>
        <v>-108.26666666666667</v>
      </c>
    </row>
    <row r="95" spans="2:12" x14ac:dyDescent="0.3">
      <c r="B95" s="7" t="s">
        <v>371</v>
      </c>
      <c r="C95" s="3"/>
      <c r="D95" s="3"/>
    </row>
    <row r="96" spans="2:12" x14ac:dyDescent="0.3">
      <c r="B96" s="271" t="s">
        <v>375</v>
      </c>
      <c r="C96" s="1033">
        <v>0</v>
      </c>
      <c r="D96" s="261" t="s">
        <v>685</v>
      </c>
    </row>
    <row r="97" spans="2:4" x14ac:dyDescent="0.3">
      <c r="B97" s="271" t="s">
        <v>372</v>
      </c>
      <c r="C97" s="261">
        <v>30</v>
      </c>
      <c r="D97" s="3"/>
    </row>
  </sheetData>
  <conditionalFormatting sqref="X12:X15 X9:X10">
    <cfRule type="cellIs" dxfId="20" priority="1" operator="lessThan">
      <formula>1</formula>
    </cfRule>
    <cfRule type="cellIs" dxfId="19" priority="2" operator="greaterThan">
      <formula>1</formula>
    </cfRule>
  </conditionalFormatting>
  <hyperlinks>
    <hyperlink ref="A1" location="Tiitel!A1" display="Tiitel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8">
    <tabColor theme="5" tint="-0.249977111117893"/>
  </sheetPr>
  <dimension ref="A1:V117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109375" defaultRowHeight="13.8" x14ac:dyDescent="0.3"/>
  <cols>
    <col min="1" max="1" width="3.5546875" style="181" customWidth="1"/>
    <col min="2" max="2" width="40.33203125" style="181" customWidth="1"/>
    <col min="3" max="11" width="9.109375" style="181"/>
    <col min="12" max="12" width="10.88671875" style="181" customWidth="1"/>
    <col min="13" max="13" width="33.33203125" style="181" customWidth="1"/>
    <col min="14" max="14" width="8.33203125" style="181" customWidth="1"/>
    <col min="15" max="15" width="7.88671875" style="181" customWidth="1"/>
    <col min="16" max="16" width="8.33203125" style="181" customWidth="1"/>
    <col min="17" max="16384" width="9.109375" style="181"/>
  </cols>
  <sheetData>
    <row r="1" spans="1:22" x14ac:dyDescent="0.3">
      <c r="A1" s="801" t="s">
        <v>338</v>
      </c>
    </row>
    <row r="2" spans="1:22" ht="15.6" x14ac:dyDescent="0.3">
      <c r="B2" s="192" t="s">
        <v>423</v>
      </c>
      <c r="D2" s="771"/>
      <c r="E2" s="771"/>
      <c r="F2" s="771"/>
      <c r="G2" s="771"/>
      <c r="H2" s="771"/>
      <c r="I2" s="771"/>
      <c r="J2" s="771"/>
      <c r="K2" s="771"/>
      <c r="M2" s="567" t="s">
        <v>608</v>
      </c>
    </row>
    <row r="3" spans="1:22" ht="41.4" x14ac:dyDescent="0.3">
      <c r="B3" s="181" t="s">
        <v>625</v>
      </c>
      <c r="C3" s="181" t="s">
        <v>626</v>
      </c>
      <c r="D3" s="771">
        <v>10.130000000000001</v>
      </c>
      <c r="E3" s="771">
        <v>15</v>
      </c>
      <c r="F3" s="771">
        <v>19.88</v>
      </c>
      <c r="G3" s="771">
        <v>24.75</v>
      </c>
      <c r="H3" s="771">
        <v>30</v>
      </c>
      <c r="I3" s="771">
        <v>35</v>
      </c>
      <c r="J3" s="771">
        <v>40</v>
      </c>
      <c r="K3" s="771">
        <v>45</v>
      </c>
      <c r="U3" s="570" t="s">
        <v>632</v>
      </c>
    </row>
    <row r="4" spans="1:22" ht="55.2" x14ac:dyDescent="0.3">
      <c r="B4" s="603" t="s">
        <v>255</v>
      </c>
      <c r="C4" s="604"/>
      <c r="D4" s="615"/>
      <c r="E4" s="615"/>
      <c r="F4" s="615"/>
      <c r="G4" s="615"/>
      <c r="H4" s="615"/>
      <c r="I4" s="615"/>
      <c r="J4" s="615"/>
      <c r="K4" s="605"/>
      <c r="M4" s="186" t="s">
        <v>627</v>
      </c>
      <c r="N4" s="604"/>
      <c r="O4" s="329" t="s">
        <v>231</v>
      </c>
      <c r="P4" s="329" t="s">
        <v>422</v>
      </c>
      <c r="Q4" s="329" t="s">
        <v>417</v>
      </c>
      <c r="R4" s="329" t="s">
        <v>124</v>
      </c>
      <c r="S4" s="329" t="s">
        <v>315</v>
      </c>
      <c r="T4" s="329" t="s">
        <v>38</v>
      </c>
      <c r="U4" s="329" t="s">
        <v>25</v>
      </c>
      <c r="V4" s="330" t="s">
        <v>201</v>
      </c>
    </row>
    <row r="5" spans="1:22" x14ac:dyDescent="0.3">
      <c r="B5" s="616"/>
      <c r="C5" s="625" t="s">
        <v>293</v>
      </c>
      <c r="D5" s="625">
        <v>2015</v>
      </c>
      <c r="E5" s="625">
        <v>2020</v>
      </c>
      <c r="F5" s="625">
        <v>2025</v>
      </c>
      <c r="G5" s="625">
        <v>2030</v>
      </c>
      <c r="H5" s="625">
        <v>2035</v>
      </c>
      <c r="I5" s="625">
        <v>2040</v>
      </c>
      <c r="J5" s="625">
        <v>2045</v>
      </c>
      <c r="K5" s="625">
        <v>2050</v>
      </c>
      <c r="M5" s="331" t="s">
        <v>419</v>
      </c>
      <c r="N5" s="625" t="s">
        <v>293</v>
      </c>
      <c r="O5" s="332">
        <v>1</v>
      </c>
      <c r="P5" s="332">
        <v>2</v>
      </c>
      <c r="Q5" s="332">
        <v>4</v>
      </c>
      <c r="R5" s="332">
        <v>10</v>
      </c>
      <c r="S5" s="332">
        <v>26</v>
      </c>
      <c r="T5" s="332">
        <v>29</v>
      </c>
      <c r="U5" s="332"/>
      <c r="V5" s="333"/>
    </row>
    <row r="6" spans="1:22" x14ac:dyDescent="0.3">
      <c r="B6" s="623" t="s">
        <v>54</v>
      </c>
      <c r="C6" s="596"/>
      <c r="D6" s="596"/>
      <c r="E6" s="596"/>
      <c r="F6" s="596"/>
      <c r="G6" s="596"/>
      <c r="H6" s="596"/>
      <c r="I6" s="596"/>
      <c r="J6" s="596"/>
      <c r="K6" s="596"/>
      <c r="M6" s="186"/>
      <c r="N6" s="596"/>
      <c r="O6" s="691"/>
      <c r="P6" s="691"/>
      <c r="Q6" s="691"/>
      <c r="R6" s="691"/>
      <c r="S6" s="691"/>
      <c r="T6" s="691"/>
      <c r="U6" s="691"/>
      <c r="V6" s="189"/>
    </row>
    <row r="7" spans="1:22" x14ac:dyDescent="0.3">
      <c r="B7" s="601" t="s">
        <v>294</v>
      </c>
      <c r="C7" s="574" t="s">
        <v>75</v>
      </c>
      <c r="D7" s="798">
        <v>71960</v>
      </c>
      <c r="E7" s="798">
        <v>74230.588235294112</v>
      </c>
      <c r="F7" s="798">
        <v>76040.968858131484</v>
      </c>
      <c r="G7" s="798">
        <v>77753.771626297588</v>
      </c>
      <c r="H7" s="798">
        <v>77270.971272229828</v>
      </c>
      <c r="I7" s="798">
        <v>77045.417236662121</v>
      </c>
      <c r="J7" s="798">
        <v>74375.039417828986</v>
      </c>
      <c r="K7" s="798">
        <v>76360.162271805282</v>
      </c>
      <c r="M7" s="186"/>
      <c r="N7" s="574" t="s">
        <v>75</v>
      </c>
      <c r="O7" s="691"/>
      <c r="P7" s="691"/>
      <c r="Q7" s="691"/>
      <c r="R7" s="691"/>
      <c r="S7" s="691"/>
      <c r="T7" s="691"/>
      <c r="U7" s="691"/>
      <c r="V7" s="189"/>
    </row>
    <row r="8" spans="1:22" x14ac:dyDescent="0.3">
      <c r="B8" s="597" t="s">
        <v>323</v>
      </c>
      <c r="C8" s="574" t="s">
        <v>75</v>
      </c>
      <c r="D8" s="798">
        <v>35279.999999999993</v>
      </c>
      <c r="E8" s="798">
        <v>36360</v>
      </c>
      <c r="F8" s="798">
        <v>34560</v>
      </c>
      <c r="G8" s="798">
        <v>33120</v>
      </c>
      <c r="H8" s="798">
        <v>31680.000000000004</v>
      </c>
      <c r="I8" s="798">
        <v>31320.000000000004</v>
      </c>
      <c r="J8" s="798">
        <v>29520</v>
      </c>
      <c r="K8" s="798">
        <v>29520</v>
      </c>
      <c r="M8" s="187"/>
      <c r="N8" s="574" t="s">
        <v>75</v>
      </c>
      <c r="O8" s="691"/>
      <c r="P8" s="691"/>
      <c r="Q8" s="691"/>
      <c r="R8" s="691"/>
      <c r="S8" s="691"/>
      <c r="T8" s="691"/>
      <c r="U8" s="691"/>
      <c r="V8" s="189"/>
    </row>
    <row r="9" spans="1:22" x14ac:dyDescent="0.3">
      <c r="B9" s="597" t="s">
        <v>648</v>
      </c>
      <c r="C9" s="574" t="s">
        <v>75</v>
      </c>
      <c r="D9" s="798">
        <v>38119.640000000007</v>
      </c>
      <c r="E9" s="798">
        <v>39309.86823529411</v>
      </c>
      <c r="F9" s="798">
        <v>42920.248858131483</v>
      </c>
      <c r="G9" s="798">
        <v>46433.051626297587</v>
      </c>
      <c r="H9" s="798">
        <v>47390.251272229827</v>
      </c>
      <c r="I9" s="798">
        <v>47524.337236662119</v>
      </c>
      <c r="J9" s="798">
        <v>46653.959417828984</v>
      </c>
      <c r="K9" s="798">
        <v>48639.08227180528</v>
      </c>
      <c r="M9" s="187"/>
      <c r="N9" s="574" t="s">
        <v>75</v>
      </c>
      <c r="O9" s="691"/>
      <c r="P9" s="691"/>
      <c r="Q9" s="691"/>
      <c r="R9" s="691"/>
      <c r="S9" s="691"/>
      <c r="T9" s="691"/>
      <c r="U9" s="691"/>
      <c r="V9" s="189"/>
    </row>
    <row r="10" spans="1:22" x14ac:dyDescent="0.3">
      <c r="B10" s="624" t="s">
        <v>649</v>
      </c>
      <c r="C10" s="574" t="s">
        <v>75</v>
      </c>
      <c r="D10" s="798">
        <v>37800</v>
      </c>
      <c r="E10" s="798">
        <v>38519.999999999993</v>
      </c>
      <c r="F10" s="798">
        <v>41760</v>
      </c>
      <c r="G10" s="798">
        <v>45720</v>
      </c>
      <c r="H10" s="798">
        <v>46800</v>
      </c>
      <c r="I10" s="798">
        <v>46800</v>
      </c>
      <c r="J10" s="798">
        <v>47519.999999999993</v>
      </c>
      <c r="K10" s="798">
        <v>47519.999999999993</v>
      </c>
      <c r="M10" s="187"/>
      <c r="N10" s="574" t="s">
        <v>75</v>
      </c>
      <c r="O10" s="691"/>
      <c r="P10" s="691"/>
      <c r="Q10" s="691"/>
      <c r="R10" s="691"/>
      <c r="S10" s="691"/>
      <c r="T10" s="691"/>
      <c r="U10" s="691"/>
      <c r="V10" s="189"/>
    </row>
    <row r="11" spans="1:22" x14ac:dyDescent="0.3">
      <c r="B11" s="624"/>
      <c r="C11" s="574"/>
      <c r="D11" s="799"/>
      <c r="E11" s="799"/>
      <c r="F11" s="799"/>
      <c r="G11" s="799"/>
      <c r="H11" s="799"/>
      <c r="I11" s="799"/>
      <c r="J11" s="799"/>
      <c r="K11" s="799"/>
      <c r="M11" s="187"/>
      <c r="N11" s="574"/>
      <c r="O11" s="691"/>
      <c r="P11" s="691"/>
      <c r="Q11" s="691"/>
      <c r="R11" s="691"/>
      <c r="S11" s="691"/>
      <c r="T11" s="691"/>
      <c r="U11" s="691"/>
      <c r="V11" s="189"/>
    </row>
    <row r="12" spans="1:22" x14ac:dyDescent="0.3">
      <c r="B12" s="597" t="s">
        <v>305</v>
      </c>
      <c r="C12" s="574" t="s">
        <v>306</v>
      </c>
      <c r="D12" s="799">
        <v>0</v>
      </c>
      <c r="E12" s="799">
        <v>0</v>
      </c>
      <c r="F12" s="799">
        <v>0</v>
      </c>
      <c r="G12" s="799">
        <v>0</v>
      </c>
      <c r="H12" s="799">
        <v>0</v>
      </c>
      <c r="I12" s="799">
        <v>0</v>
      </c>
      <c r="J12" s="799">
        <v>0</v>
      </c>
      <c r="K12" s="799">
        <v>0</v>
      </c>
      <c r="M12" s="187"/>
      <c r="N12" s="574" t="s">
        <v>306</v>
      </c>
      <c r="O12" s="691"/>
      <c r="P12" s="691"/>
      <c r="Q12" s="691"/>
      <c r="R12" s="691"/>
      <c r="S12" s="691"/>
      <c r="T12" s="691"/>
      <c r="U12" s="691"/>
      <c r="V12" s="189"/>
    </row>
    <row r="13" spans="1:22" x14ac:dyDescent="0.3">
      <c r="B13" s="623" t="s">
        <v>424</v>
      </c>
      <c r="C13" s="623" t="s">
        <v>296</v>
      </c>
      <c r="D13" s="623">
        <v>0.1165844705882353</v>
      </c>
      <c r="E13" s="623">
        <v>0.75356751159620505</v>
      </c>
      <c r="F13" s="623">
        <v>1.4883114144974989</v>
      </c>
      <c r="G13" s="623">
        <v>2.3328594933143059</v>
      </c>
      <c r="H13" s="623">
        <v>3.2151283656737051</v>
      </c>
      <c r="I13" s="623">
        <v>4.6103977617097422</v>
      </c>
      <c r="J13" s="623">
        <v>6.2021277944077369</v>
      </c>
      <c r="K13" s="623">
        <v>8.0123513038555387</v>
      </c>
      <c r="M13" s="334" t="s">
        <v>424</v>
      </c>
      <c r="N13" s="623" t="s">
        <v>296</v>
      </c>
      <c r="O13" s="778"/>
      <c r="P13" s="778"/>
      <c r="Q13" s="778"/>
      <c r="R13" s="778"/>
      <c r="S13" s="778">
        <v>1</v>
      </c>
      <c r="T13" s="778"/>
      <c r="U13" s="778"/>
      <c r="V13" s="190">
        <f>SUM(O13:U13)</f>
        <v>1</v>
      </c>
    </row>
    <row r="14" spans="1:22" x14ac:dyDescent="0.3">
      <c r="B14" s="623" t="s">
        <v>420</v>
      </c>
      <c r="C14" s="623"/>
      <c r="D14" s="623">
        <f>SUM(D15:D24)</f>
        <v>490.14312380952384</v>
      </c>
      <c r="E14" s="623">
        <f t="shared" ref="E14:K14" si="0">SUM(E15:E24)</f>
        <v>507.32525238095246</v>
      </c>
      <c r="F14" s="623">
        <f t="shared" si="0"/>
        <v>531.18716190476198</v>
      </c>
      <c r="G14" s="623">
        <f t="shared" si="0"/>
        <v>547.80342857142864</v>
      </c>
      <c r="H14" s="623">
        <f t="shared" si="0"/>
        <v>559.32256190476187</v>
      </c>
      <c r="I14" s="623">
        <f t="shared" si="0"/>
        <v>589.52196666666669</v>
      </c>
      <c r="J14" s="623">
        <f t="shared" si="0"/>
        <v>608.66893809523822</v>
      </c>
      <c r="K14" s="623">
        <f t="shared" si="0"/>
        <v>646.35097619047622</v>
      </c>
      <c r="M14" s="334" t="s">
        <v>420</v>
      </c>
      <c r="N14" s="623"/>
      <c r="O14" s="778"/>
      <c r="P14" s="778"/>
      <c r="Q14" s="778"/>
      <c r="R14" s="778"/>
      <c r="S14" s="778"/>
      <c r="T14" s="778"/>
      <c r="U14" s="778"/>
      <c r="V14" s="335"/>
    </row>
    <row r="15" spans="1:22" x14ac:dyDescent="0.3">
      <c r="B15" s="597" t="s">
        <v>410</v>
      </c>
      <c r="C15" s="574" t="s">
        <v>296</v>
      </c>
      <c r="D15" s="577">
        <v>117</v>
      </c>
      <c r="E15" s="577">
        <v>130.24800000000002</v>
      </c>
      <c r="F15" s="577">
        <v>159.30000000000001</v>
      </c>
      <c r="G15" s="577">
        <v>185.76</v>
      </c>
      <c r="H15" s="577">
        <v>197.31599999999997</v>
      </c>
      <c r="I15" s="577">
        <v>203.57999999999998</v>
      </c>
      <c r="J15" s="577">
        <v>217.87199999999999</v>
      </c>
      <c r="K15" s="577">
        <v>227.48399999999998</v>
      </c>
      <c r="M15" s="187" t="s">
        <v>410</v>
      </c>
      <c r="N15" s="574" t="s">
        <v>296</v>
      </c>
      <c r="O15" s="691"/>
      <c r="P15" s="691">
        <v>1</v>
      </c>
      <c r="Q15" s="691"/>
      <c r="R15" s="691"/>
      <c r="S15" s="691"/>
      <c r="T15" s="691"/>
      <c r="U15" s="691"/>
      <c r="V15" s="190">
        <f t="shared" ref="V15:V24" si="1">SUM(O15:U15)</f>
        <v>1</v>
      </c>
    </row>
    <row r="16" spans="1:22" x14ac:dyDescent="0.3">
      <c r="B16" s="597" t="s">
        <v>426</v>
      </c>
      <c r="C16" s="574" t="s">
        <v>296</v>
      </c>
      <c r="D16" s="577">
        <v>60.609523809523814</v>
      </c>
      <c r="E16" s="577">
        <v>65.260952380952375</v>
      </c>
      <c r="F16" s="577">
        <v>70.264761904761912</v>
      </c>
      <c r="G16" s="577">
        <v>75.691428571428574</v>
      </c>
      <c r="H16" s="577">
        <v>83.744761904761887</v>
      </c>
      <c r="I16" s="577">
        <v>90.186666666666653</v>
      </c>
      <c r="J16" s="577">
        <v>97.13523809523808</v>
      </c>
      <c r="K16" s="577">
        <v>104.59047619047618</v>
      </c>
      <c r="M16" s="187" t="s">
        <v>426</v>
      </c>
      <c r="N16" s="574" t="s">
        <v>296</v>
      </c>
      <c r="O16" s="691"/>
      <c r="P16" s="691">
        <v>1</v>
      </c>
      <c r="Q16" s="691"/>
      <c r="R16" s="691"/>
      <c r="S16" s="691"/>
      <c r="T16" s="691"/>
      <c r="U16" s="691"/>
      <c r="V16" s="190">
        <f t="shared" si="1"/>
        <v>1</v>
      </c>
    </row>
    <row r="17" spans="2:22" x14ac:dyDescent="0.3">
      <c r="B17" s="597" t="s">
        <v>408</v>
      </c>
      <c r="C17" s="574" t="s">
        <v>296</v>
      </c>
      <c r="D17" s="577">
        <v>224.53920000000002</v>
      </c>
      <c r="E17" s="577">
        <v>238.91400000000004</v>
      </c>
      <c r="F17" s="577">
        <v>229.482</v>
      </c>
      <c r="G17" s="577">
        <v>212.8896</v>
      </c>
      <c r="H17" s="577">
        <v>219.744</v>
      </c>
      <c r="I17" s="577">
        <v>239.50080000000003</v>
      </c>
      <c r="J17" s="577">
        <v>259.45920000000001</v>
      </c>
      <c r="K17" s="577">
        <v>279.21600000000001</v>
      </c>
      <c r="M17" s="187" t="s">
        <v>408</v>
      </c>
      <c r="N17" s="574" t="s">
        <v>296</v>
      </c>
      <c r="O17" s="691"/>
      <c r="P17" s="691"/>
      <c r="Q17" s="691"/>
      <c r="R17" s="691"/>
      <c r="S17" s="691"/>
      <c r="T17" s="691"/>
      <c r="U17" s="691">
        <v>1</v>
      </c>
      <c r="V17" s="190">
        <f t="shared" si="1"/>
        <v>1</v>
      </c>
    </row>
    <row r="18" spans="2:22" x14ac:dyDescent="0.3">
      <c r="B18" s="597" t="s">
        <v>409</v>
      </c>
      <c r="C18" s="574" t="s">
        <v>296</v>
      </c>
      <c r="D18" s="577">
        <v>32.256</v>
      </c>
      <c r="E18" s="577">
        <v>2.2248000000000001</v>
      </c>
      <c r="F18" s="577">
        <v>2.1564000000000005</v>
      </c>
      <c r="G18" s="577">
        <v>2.1564000000000005</v>
      </c>
      <c r="H18" s="577"/>
      <c r="I18" s="577"/>
      <c r="J18" s="577"/>
      <c r="K18" s="577"/>
      <c r="M18" s="187" t="s">
        <v>409</v>
      </c>
      <c r="N18" s="574" t="s">
        <v>296</v>
      </c>
      <c r="O18" s="691"/>
      <c r="P18" s="691"/>
      <c r="Q18" s="691">
        <v>1</v>
      </c>
      <c r="R18" s="691"/>
      <c r="S18" s="691"/>
      <c r="T18" s="691"/>
      <c r="U18" s="691"/>
      <c r="V18" s="190">
        <f t="shared" si="1"/>
        <v>1</v>
      </c>
    </row>
    <row r="19" spans="2:22" x14ac:dyDescent="0.3">
      <c r="B19" s="597" t="s">
        <v>427</v>
      </c>
      <c r="C19" s="574" t="s">
        <v>296</v>
      </c>
      <c r="D19" s="577">
        <v>44.366399999999999</v>
      </c>
      <c r="E19" s="577">
        <v>42.174000000000007</v>
      </c>
      <c r="F19" s="577">
        <v>40.356000000000002</v>
      </c>
      <c r="G19" s="577">
        <v>41.04</v>
      </c>
      <c r="H19" s="577">
        <v>25.92</v>
      </c>
      <c r="I19" s="577">
        <v>22.896000000000001</v>
      </c>
      <c r="J19" s="577"/>
      <c r="K19" s="577"/>
      <c r="M19" s="187" t="s">
        <v>427</v>
      </c>
      <c r="N19" s="574" t="s">
        <v>296</v>
      </c>
      <c r="O19" s="691"/>
      <c r="P19" s="691"/>
      <c r="Q19" s="691"/>
      <c r="R19" s="691">
        <v>1</v>
      </c>
      <c r="S19" s="691"/>
      <c r="T19" s="691"/>
      <c r="U19" s="691"/>
      <c r="V19" s="190">
        <f t="shared" si="1"/>
        <v>1</v>
      </c>
    </row>
    <row r="20" spans="2:22" x14ac:dyDescent="0.3">
      <c r="B20" s="597" t="s">
        <v>428</v>
      </c>
      <c r="C20" s="574" t="s">
        <v>296</v>
      </c>
      <c r="D20" s="577">
        <v>5</v>
      </c>
      <c r="E20" s="577">
        <v>5.36</v>
      </c>
      <c r="F20" s="577">
        <v>5.7600000000000007</v>
      </c>
      <c r="G20" s="577">
        <v>6.2</v>
      </c>
      <c r="H20" s="577">
        <v>8.35</v>
      </c>
      <c r="I20" s="577">
        <v>9</v>
      </c>
      <c r="J20" s="577">
        <v>9.6999999999999993</v>
      </c>
      <c r="K20" s="577">
        <v>10.45</v>
      </c>
      <c r="M20" s="187" t="s">
        <v>428</v>
      </c>
      <c r="N20" s="574" t="s">
        <v>296</v>
      </c>
      <c r="O20" s="691"/>
      <c r="P20" s="691"/>
      <c r="Q20" s="691">
        <v>1</v>
      </c>
      <c r="R20" s="691"/>
      <c r="S20" s="691"/>
      <c r="T20" s="691"/>
      <c r="U20" s="691"/>
      <c r="V20" s="190">
        <f t="shared" si="1"/>
        <v>1</v>
      </c>
    </row>
    <row r="21" spans="2:22" x14ac:dyDescent="0.3">
      <c r="B21" s="597" t="s">
        <v>254</v>
      </c>
      <c r="C21" s="574" t="s">
        <v>296</v>
      </c>
      <c r="D21" s="577">
        <v>0</v>
      </c>
      <c r="E21" s="577">
        <v>0</v>
      </c>
      <c r="F21" s="577">
        <v>0</v>
      </c>
      <c r="G21" s="577">
        <v>0</v>
      </c>
      <c r="H21" s="577">
        <v>0</v>
      </c>
      <c r="I21" s="577">
        <v>0</v>
      </c>
      <c r="J21" s="577">
        <v>0</v>
      </c>
      <c r="K21" s="577">
        <v>0</v>
      </c>
      <c r="M21" s="187" t="s">
        <v>254</v>
      </c>
      <c r="N21" s="574" t="s">
        <v>296</v>
      </c>
      <c r="O21" s="691"/>
      <c r="P21" s="691"/>
      <c r="Q21" s="691"/>
      <c r="R21" s="691">
        <v>1</v>
      </c>
      <c r="S21" s="691"/>
      <c r="T21" s="691"/>
      <c r="U21" s="691"/>
      <c r="V21" s="190">
        <f t="shared" si="1"/>
        <v>1</v>
      </c>
    </row>
    <row r="22" spans="2:22" x14ac:dyDescent="0.3">
      <c r="B22" s="597" t="s">
        <v>429</v>
      </c>
      <c r="C22" s="574" t="s">
        <v>296</v>
      </c>
      <c r="D22" s="577">
        <v>0</v>
      </c>
      <c r="E22" s="577">
        <v>0</v>
      </c>
      <c r="F22" s="577">
        <v>0</v>
      </c>
      <c r="G22" s="577">
        <v>0</v>
      </c>
      <c r="H22" s="577">
        <v>0</v>
      </c>
      <c r="I22" s="577">
        <v>0</v>
      </c>
      <c r="J22" s="577">
        <v>0</v>
      </c>
      <c r="K22" s="577">
        <v>0</v>
      </c>
      <c r="M22" s="187" t="s">
        <v>429</v>
      </c>
      <c r="N22" s="574" t="s">
        <v>296</v>
      </c>
      <c r="O22" s="691"/>
      <c r="P22" s="691">
        <v>1</v>
      </c>
      <c r="Q22" s="691"/>
      <c r="R22" s="691"/>
      <c r="S22" s="691"/>
      <c r="T22" s="691"/>
      <c r="U22" s="691"/>
      <c r="V22" s="190">
        <f t="shared" si="1"/>
        <v>1</v>
      </c>
    </row>
    <row r="23" spans="2:22" x14ac:dyDescent="0.3">
      <c r="B23" s="597" t="s">
        <v>430</v>
      </c>
      <c r="C23" s="574" t="s">
        <v>296</v>
      </c>
      <c r="D23" s="577">
        <v>4.9320000000000004</v>
      </c>
      <c r="E23" s="577">
        <v>5.2560000000000002</v>
      </c>
      <c r="F23" s="577">
        <v>5.5080000000000009</v>
      </c>
      <c r="G23" s="577">
        <v>5.5440000000000005</v>
      </c>
      <c r="H23" s="577">
        <v>5.6880000000000006</v>
      </c>
      <c r="I23" s="577">
        <v>5.7960000000000012</v>
      </c>
      <c r="J23" s="577">
        <v>5.94</v>
      </c>
      <c r="K23" s="577">
        <v>6.0480000000000009</v>
      </c>
      <c r="M23" s="187" t="s">
        <v>430</v>
      </c>
      <c r="N23" s="574" t="s">
        <v>296</v>
      </c>
      <c r="O23" s="691"/>
      <c r="P23" s="691"/>
      <c r="Q23" s="691"/>
      <c r="R23" s="691">
        <v>1</v>
      </c>
      <c r="S23" s="691"/>
      <c r="T23" s="691"/>
      <c r="U23" s="691"/>
      <c r="V23" s="190">
        <f t="shared" si="1"/>
        <v>1</v>
      </c>
    </row>
    <row r="24" spans="2:22" x14ac:dyDescent="0.3">
      <c r="B24" s="597" t="s">
        <v>406</v>
      </c>
      <c r="C24" s="574" t="s">
        <v>296</v>
      </c>
      <c r="D24" s="577">
        <v>1.4400000000000002</v>
      </c>
      <c r="E24" s="577">
        <v>17.887500000000003</v>
      </c>
      <c r="F24" s="577">
        <v>18.36</v>
      </c>
      <c r="G24" s="577">
        <v>18.522000000000002</v>
      </c>
      <c r="H24" s="577">
        <v>18.559799999999999</v>
      </c>
      <c r="I24" s="577">
        <v>18.5625</v>
      </c>
      <c r="J24" s="577">
        <v>18.5625</v>
      </c>
      <c r="K24" s="577">
        <v>18.5625</v>
      </c>
      <c r="M24" s="187" t="s">
        <v>406</v>
      </c>
      <c r="N24" s="574" t="s">
        <v>296</v>
      </c>
      <c r="O24" s="691"/>
      <c r="P24" s="691"/>
      <c r="Q24" s="691"/>
      <c r="R24" s="691"/>
      <c r="S24" s="691"/>
      <c r="T24" s="691"/>
      <c r="U24" s="691">
        <v>1</v>
      </c>
      <c r="V24" s="190">
        <f t="shared" si="1"/>
        <v>1</v>
      </c>
    </row>
    <row r="25" spans="2:22" x14ac:dyDescent="0.3">
      <c r="B25" s="623" t="s">
        <v>45</v>
      </c>
      <c r="C25" s="623" t="s">
        <v>296</v>
      </c>
      <c r="D25" s="630"/>
      <c r="E25" s="630"/>
      <c r="F25" s="630"/>
      <c r="G25" s="630"/>
      <c r="H25" s="630"/>
      <c r="I25" s="630"/>
      <c r="J25" s="630"/>
      <c r="K25" s="630"/>
      <c r="M25" s="334" t="s">
        <v>45</v>
      </c>
      <c r="N25" s="623" t="s">
        <v>296</v>
      </c>
      <c r="O25" s="778"/>
      <c r="P25" s="778"/>
      <c r="Q25" s="778"/>
      <c r="R25" s="778"/>
      <c r="S25" s="778"/>
      <c r="T25" s="778"/>
      <c r="U25" s="778"/>
      <c r="V25" s="335"/>
    </row>
    <row r="26" spans="2:22" x14ac:dyDescent="0.3">
      <c r="B26" s="597" t="s">
        <v>431</v>
      </c>
      <c r="C26" s="574" t="s">
        <v>296</v>
      </c>
      <c r="D26" s="577">
        <v>37.5</v>
      </c>
      <c r="E26" s="577">
        <v>37.5</v>
      </c>
      <c r="F26" s="577">
        <v>37.5</v>
      </c>
      <c r="G26" s="577">
        <v>37.5</v>
      </c>
      <c r="H26" s="577">
        <v>49.5</v>
      </c>
      <c r="I26" s="577">
        <v>49.5</v>
      </c>
      <c r="J26" s="577">
        <v>49.5</v>
      </c>
      <c r="K26" s="577">
        <v>49.5</v>
      </c>
      <c r="M26" s="187" t="s">
        <v>431</v>
      </c>
      <c r="N26" s="574" t="s">
        <v>296</v>
      </c>
      <c r="O26" s="691"/>
      <c r="P26" s="691"/>
      <c r="Q26" s="691"/>
      <c r="R26" s="691"/>
      <c r="S26" s="691"/>
      <c r="T26" s="691">
        <v>0.35</v>
      </c>
      <c r="U26" s="691">
        <v>0.65</v>
      </c>
      <c r="V26" s="190">
        <f>SUM(O26:U26)</f>
        <v>1</v>
      </c>
    </row>
    <row r="27" spans="2:22" x14ac:dyDescent="0.3">
      <c r="B27" s="597" t="s">
        <v>432</v>
      </c>
      <c r="C27" s="574" t="s">
        <v>296</v>
      </c>
      <c r="D27" s="577">
        <v>3.75</v>
      </c>
      <c r="E27" s="577">
        <v>3.75</v>
      </c>
      <c r="F27" s="577">
        <v>3.75</v>
      </c>
      <c r="G27" s="577">
        <v>3.75</v>
      </c>
      <c r="H27" s="577">
        <v>9.75</v>
      </c>
      <c r="I27" s="577">
        <v>9.75</v>
      </c>
      <c r="J27" s="577">
        <v>9.75</v>
      </c>
      <c r="K27" s="577">
        <v>9.75</v>
      </c>
      <c r="M27" s="187" t="s">
        <v>432</v>
      </c>
      <c r="N27" s="574" t="s">
        <v>296</v>
      </c>
      <c r="O27" s="691"/>
      <c r="P27" s="691"/>
      <c r="Q27" s="691"/>
      <c r="R27" s="691"/>
      <c r="S27" s="691"/>
      <c r="T27" s="691">
        <v>0.5</v>
      </c>
      <c r="U27" s="691">
        <v>0.5</v>
      </c>
      <c r="V27" s="190">
        <f>SUM(O27:U27)</f>
        <v>1</v>
      </c>
    </row>
    <row r="28" spans="2:22" x14ac:dyDescent="0.3">
      <c r="B28" s="597" t="s">
        <v>433</v>
      </c>
      <c r="C28" s="574" t="s">
        <v>296</v>
      </c>
      <c r="D28" s="577">
        <v>12.8</v>
      </c>
      <c r="E28" s="577">
        <v>12.8</v>
      </c>
      <c r="F28" s="577">
        <v>12.8</v>
      </c>
      <c r="G28" s="577">
        <v>12.8</v>
      </c>
      <c r="H28" s="577">
        <v>0.2</v>
      </c>
      <c r="I28" s="577">
        <v>0.2</v>
      </c>
      <c r="J28" s="577">
        <v>0.2</v>
      </c>
      <c r="K28" s="577">
        <v>0.2</v>
      </c>
      <c r="M28" s="187" t="s">
        <v>433</v>
      </c>
      <c r="N28" s="574" t="s">
        <v>296</v>
      </c>
      <c r="O28" s="691"/>
      <c r="P28" s="691"/>
      <c r="Q28" s="691"/>
      <c r="R28" s="691"/>
      <c r="S28" s="691"/>
      <c r="T28" s="691">
        <v>0.4</v>
      </c>
      <c r="U28" s="691">
        <v>0.6</v>
      </c>
      <c r="V28" s="190">
        <f>SUM(O28:U28)</f>
        <v>1</v>
      </c>
    </row>
    <row r="29" spans="2:22" x14ac:dyDescent="0.3">
      <c r="B29" s="597" t="s">
        <v>434</v>
      </c>
      <c r="C29" s="574" t="s">
        <v>296</v>
      </c>
      <c r="D29" s="577">
        <v>0.875</v>
      </c>
      <c r="E29" s="577">
        <v>0.875</v>
      </c>
      <c r="F29" s="577">
        <v>0.875</v>
      </c>
      <c r="G29" s="577">
        <v>0.875</v>
      </c>
      <c r="H29" s="577"/>
      <c r="I29" s="577"/>
      <c r="J29" s="577"/>
      <c r="K29" s="577"/>
      <c r="M29" s="187" t="s">
        <v>434</v>
      </c>
      <c r="N29" s="574" t="s">
        <v>296</v>
      </c>
      <c r="O29" s="691"/>
      <c r="P29" s="691"/>
      <c r="Q29" s="691"/>
      <c r="R29" s="691"/>
      <c r="S29" s="691"/>
      <c r="T29" s="691">
        <v>0.6</v>
      </c>
      <c r="U29" s="691">
        <v>0.4</v>
      </c>
      <c r="V29" s="190">
        <f>SUM(O29:U29)</f>
        <v>1</v>
      </c>
    </row>
    <row r="30" spans="2:22" x14ac:dyDescent="0.3">
      <c r="B30" s="189" t="s">
        <v>787</v>
      </c>
      <c r="C30" s="574" t="s">
        <v>628</v>
      </c>
      <c r="D30" s="798">
        <v>6119.2</v>
      </c>
      <c r="E30" s="798">
        <v>6194.3</v>
      </c>
      <c r="F30" s="798">
        <v>6388.5000000000009</v>
      </c>
      <c r="G30" s="798">
        <v>6684.5000000000009</v>
      </c>
      <c r="H30" s="798">
        <v>6681.3</v>
      </c>
      <c r="I30" s="798">
        <v>6651.4000000000005</v>
      </c>
      <c r="J30" s="798">
        <v>6570.9000000000005</v>
      </c>
      <c r="K30" s="798">
        <v>6570.9000000000005</v>
      </c>
      <c r="M30" s="189" t="s">
        <v>787</v>
      </c>
      <c r="N30" s="574" t="s">
        <v>628</v>
      </c>
      <c r="O30" s="691"/>
      <c r="P30" s="189"/>
      <c r="Q30" s="189"/>
      <c r="R30" s="189"/>
      <c r="S30" s="189"/>
      <c r="T30" s="189"/>
      <c r="U30" s="189"/>
      <c r="V30" s="189"/>
    </row>
    <row r="31" spans="2:22" x14ac:dyDescent="0.3">
      <c r="B31" s="574" t="s">
        <v>308</v>
      </c>
      <c r="C31" s="574" t="s">
        <v>628</v>
      </c>
      <c r="D31" s="798">
        <v>2496.7000000000003</v>
      </c>
      <c r="E31" s="798">
        <v>2502.8000000000002</v>
      </c>
      <c r="F31" s="798">
        <v>2386.5</v>
      </c>
      <c r="G31" s="798">
        <v>2303</v>
      </c>
      <c r="H31" s="798">
        <v>2196.3000000000002</v>
      </c>
      <c r="I31" s="798">
        <v>2166.3999999999996</v>
      </c>
      <c r="J31" s="798">
        <v>2016.8999999999999</v>
      </c>
      <c r="K31" s="798">
        <v>2016.8999999999999</v>
      </c>
      <c r="L31" s="628" t="s">
        <v>629</v>
      </c>
      <c r="M31" s="574" t="s">
        <v>308</v>
      </c>
      <c r="N31" s="574" t="s">
        <v>628</v>
      </c>
      <c r="O31" s="691"/>
      <c r="P31" s="691"/>
      <c r="Q31" s="691"/>
      <c r="R31" s="691"/>
      <c r="S31" s="691"/>
      <c r="T31" s="691"/>
      <c r="U31" s="691"/>
      <c r="V31" s="189"/>
    </row>
    <row r="32" spans="2:22" x14ac:dyDescent="0.3">
      <c r="B32" s="574" t="s">
        <v>308</v>
      </c>
      <c r="C32" s="574" t="s">
        <v>296</v>
      </c>
      <c r="D32" s="798">
        <f>D31*D$3/1000</f>
        <v>25.291571000000005</v>
      </c>
      <c r="E32" s="798">
        <f t="shared" ref="E32:K32" si="2">E31*E$3/1000</f>
        <v>37.542000000000002</v>
      </c>
      <c r="F32" s="798">
        <f t="shared" si="2"/>
        <v>47.443619999999996</v>
      </c>
      <c r="G32" s="798">
        <f t="shared" si="2"/>
        <v>56.999250000000004</v>
      </c>
      <c r="H32" s="798">
        <f t="shared" si="2"/>
        <v>65.888999999999996</v>
      </c>
      <c r="I32" s="798">
        <f t="shared" si="2"/>
        <v>75.823999999999984</v>
      </c>
      <c r="J32" s="798">
        <f t="shared" si="2"/>
        <v>80.676000000000002</v>
      </c>
      <c r="K32" s="798">
        <f t="shared" si="2"/>
        <v>90.760499999999993</v>
      </c>
      <c r="M32" s="186" t="s">
        <v>308</v>
      </c>
      <c r="N32" s="574" t="s">
        <v>296</v>
      </c>
      <c r="O32" s="189"/>
      <c r="P32" s="189"/>
      <c r="Q32" s="189"/>
      <c r="R32" s="189"/>
      <c r="S32" s="189"/>
      <c r="T32" s="189"/>
      <c r="U32" s="189"/>
      <c r="V32" s="189"/>
    </row>
    <row r="34" spans="2:22" x14ac:dyDescent="0.3">
      <c r="B34" s="603" t="s">
        <v>435</v>
      </c>
      <c r="C34" s="604"/>
      <c r="D34" s="615"/>
      <c r="E34" s="615"/>
      <c r="F34" s="615"/>
      <c r="G34" s="615"/>
      <c r="H34" s="615"/>
      <c r="I34" s="615"/>
      <c r="J34" s="615"/>
      <c r="K34" s="605"/>
      <c r="M34" s="603" t="s">
        <v>256</v>
      </c>
      <c r="N34" s="604"/>
      <c r="O34" s="615"/>
      <c r="P34" s="615"/>
      <c r="Q34" s="615"/>
      <c r="R34" s="615"/>
      <c r="S34" s="615"/>
      <c r="T34" s="615"/>
      <c r="U34" s="615"/>
      <c r="V34" s="605"/>
    </row>
    <row r="35" spans="2:22" x14ac:dyDescent="0.3">
      <c r="B35" s="616"/>
      <c r="C35" s="625" t="s">
        <v>293</v>
      </c>
      <c r="D35" s="625">
        <v>2015</v>
      </c>
      <c r="E35" s="625">
        <v>2020</v>
      </c>
      <c r="F35" s="625">
        <v>2025</v>
      </c>
      <c r="G35" s="625">
        <v>2030</v>
      </c>
      <c r="H35" s="625">
        <v>2035</v>
      </c>
      <c r="I35" s="625">
        <v>2040</v>
      </c>
      <c r="J35" s="625">
        <v>2045</v>
      </c>
      <c r="K35" s="625">
        <v>2050</v>
      </c>
      <c r="M35" s="616"/>
      <c r="N35" s="625" t="s">
        <v>293</v>
      </c>
      <c r="O35" s="625">
        <v>2015</v>
      </c>
      <c r="P35" s="625">
        <v>2020</v>
      </c>
      <c r="Q35" s="625">
        <v>2025</v>
      </c>
      <c r="R35" s="625">
        <v>2030</v>
      </c>
      <c r="S35" s="625">
        <v>2035</v>
      </c>
      <c r="T35" s="625">
        <v>2040</v>
      </c>
      <c r="U35" s="625">
        <v>2045</v>
      </c>
      <c r="V35" s="625">
        <v>2050</v>
      </c>
    </row>
    <row r="36" spans="2:22" x14ac:dyDescent="0.3">
      <c r="B36" s="623" t="s">
        <v>54</v>
      </c>
      <c r="C36" s="596"/>
      <c r="D36" s="596"/>
      <c r="E36" s="596"/>
      <c r="F36" s="596"/>
      <c r="G36" s="596"/>
      <c r="H36" s="596"/>
      <c r="I36" s="596"/>
      <c r="J36" s="596"/>
      <c r="K36" s="596"/>
      <c r="M36" s="623" t="s">
        <v>54</v>
      </c>
      <c r="N36" s="596"/>
      <c r="O36" s="596"/>
      <c r="P36" s="596"/>
      <c r="Q36" s="596"/>
      <c r="R36" s="596"/>
      <c r="S36" s="596"/>
      <c r="T36" s="596"/>
      <c r="U36" s="596"/>
      <c r="V36" s="596"/>
    </row>
    <row r="37" spans="2:22" x14ac:dyDescent="0.3">
      <c r="B37" s="601" t="s">
        <v>294</v>
      </c>
      <c r="C37" s="574" t="s">
        <v>75</v>
      </c>
      <c r="D37" s="629">
        <f t="shared" ref="D37:K37" si="3">O37-D7</f>
        <v>49.184975194904837</v>
      </c>
      <c r="E37" s="629">
        <f t="shared" si="3"/>
        <v>-3297.4789915966103</v>
      </c>
      <c r="F37" s="629">
        <f t="shared" si="3"/>
        <v>-6153.633217993076</v>
      </c>
      <c r="G37" s="629">
        <f t="shared" si="3"/>
        <v>-9053.3612295807543</v>
      </c>
      <c r="H37" s="629">
        <f t="shared" si="3"/>
        <v>-12527.113543091662</v>
      </c>
      <c r="I37" s="629">
        <f t="shared" si="3"/>
        <v>-16489.717439501866</v>
      </c>
      <c r="J37" s="629">
        <f t="shared" si="3"/>
        <v>-17694.390330607879</v>
      </c>
      <c r="K37" s="629">
        <f t="shared" si="3"/>
        <v>-23725.082057901534</v>
      </c>
      <c r="M37" s="601" t="s">
        <v>294</v>
      </c>
      <c r="N37" s="574" t="s">
        <v>75</v>
      </c>
      <c r="O37" s="798">
        <v>72009.184975194905</v>
      </c>
      <c r="P37" s="798">
        <v>70933.109243697501</v>
      </c>
      <c r="Q37" s="798">
        <v>69887.335640138408</v>
      </c>
      <c r="R37" s="798">
        <v>68700.410396716834</v>
      </c>
      <c r="S37" s="798">
        <v>64743.857729138166</v>
      </c>
      <c r="T37" s="798">
        <v>60555.699797160254</v>
      </c>
      <c r="U37" s="798">
        <v>56680.649087221107</v>
      </c>
      <c r="V37" s="798">
        <v>52635.080213903748</v>
      </c>
    </row>
    <row r="38" spans="2:22" x14ac:dyDescent="0.3">
      <c r="B38" s="597" t="s">
        <v>323</v>
      </c>
      <c r="C38" s="574" t="s">
        <v>75</v>
      </c>
      <c r="D38" s="629">
        <f t="shared" ref="D38:K40" si="4">O38-D8</f>
        <v>0</v>
      </c>
      <c r="E38" s="629">
        <f t="shared" si="4"/>
        <v>-3240</v>
      </c>
      <c r="F38" s="629">
        <f t="shared" si="4"/>
        <v>-3960</v>
      </c>
      <c r="G38" s="629">
        <f t="shared" si="4"/>
        <v>-5759.9999999999964</v>
      </c>
      <c r="H38" s="629">
        <f t="shared" si="4"/>
        <v>-6479.9999999999964</v>
      </c>
      <c r="I38" s="629">
        <f t="shared" si="4"/>
        <v>-8280.0000000000036</v>
      </c>
      <c r="J38" s="629">
        <f t="shared" si="4"/>
        <v>-8639.9999999999964</v>
      </c>
      <c r="K38" s="629">
        <f t="shared" si="4"/>
        <v>-12600</v>
      </c>
      <c r="M38" s="597" t="s">
        <v>323</v>
      </c>
      <c r="N38" s="574" t="s">
        <v>75</v>
      </c>
      <c r="O38" s="798">
        <v>35279.999999999993</v>
      </c>
      <c r="P38" s="798">
        <v>33120</v>
      </c>
      <c r="Q38" s="798">
        <v>30600</v>
      </c>
      <c r="R38" s="798">
        <v>27360.000000000004</v>
      </c>
      <c r="S38" s="798">
        <v>25200.000000000007</v>
      </c>
      <c r="T38" s="798">
        <v>23040</v>
      </c>
      <c r="U38" s="798">
        <v>20880.000000000004</v>
      </c>
      <c r="V38" s="798">
        <v>16920</v>
      </c>
    </row>
    <row r="39" spans="2:22" x14ac:dyDescent="0.3">
      <c r="B39" s="597" t="s">
        <v>648</v>
      </c>
      <c r="C39" s="574" t="s">
        <v>75</v>
      </c>
      <c r="D39" s="629">
        <f t="shared" si="4"/>
        <v>49.184975194904837</v>
      </c>
      <c r="E39" s="629">
        <f t="shared" si="4"/>
        <v>-57.118991596609703</v>
      </c>
      <c r="F39" s="629">
        <f t="shared" si="4"/>
        <v>-2193.633217993076</v>
      </c>
      <c r="G39" s="629">
        <f t="shared" si="4"/>
        <v>-3653.3612295807543</v>
      </c>
      <c r="H39" s="629">
        <f t="shared" si="4"/>
        <v>-6407.1135430916693</v>
      </c>
      <c r="I39" s="629">
        <f t="shared" si="4"/>
        <v>-8929.3574395018659</v>
      </c>
      <c r="J39" s="629">
        <f t="shared" si="4"/>
        <v>-9774.3903306078864</v>
      </c>
      <c r="K39" s="629">
        <f t="shared" si="4"/>
        <v>-11845.082057901534</v>
      </c>
      <c r="M39" s="597" t="s">
        <v>648</v>
      </c>
      <c r="N39" s="574" t="s">
        <v>75</v>
      </c>
      <c r="O39" s="798">
        <v>38168.824975194912</v>
      </c>
      <c r="P39" s="798">
        <v>39252.749243697501</v>
      </c>
      <c r="Q39" s="798">
        <v>40726.615640138407</v>
      </c>
      <c r="R39" s="798">
        <v>42779.690396716833</v>
      </c>
      <c r="S39" s="798">
        <v>40983.137729138158</v>
      </c>
      <c r="T39" s="798">
        <v>38594.979797160253</v>
      </c>
      <c r="U39" s="798">
        <v>36879.569087221098</v>
      </c>
      <c r="V39" s="798">
        <v>36794.000213903746</v>
      </c>
    </row>
    <row r="40" spans="2:22" x14ac:dyDescent="0.3">
      <c r="B40" s="624" t="s">
        <v>649</v>
      </c>
      <c r="C40" s="574" t="s">
        <v>75</v>
      </c>
      <c r="D40" s="629">
        <f t="shared" si="4"/>
        <v>0</v>
      </c>
      <c r="E40" s="629">
        <f t="shared" si="4"/>
        <v>360</v>
      </c>
      <c r="F40" s="629">
        <f t="shared" si="4"/>
        <v>-1800.0000000000073</v>
      </c>
      <c r="G40" s="629">
        <f t="shared" si="4"/>
        <v>-3600</v>
      </c>
      <c r="H40" s="629">
        <f t="shared" si="4"/>
        <v>-6840.0000000000073</v>
      </c>
      <c r="I40" s="629">
        <f t="shared" si="4"/>
        <v>-9000</v>
      </c>
      <c r="J40" s="629">
        <f t="shared" si="4"/>
        <v>-11879.999999999993</v>
      </c>
      <c r="K40" s="629">
        <f t="shared" si="4"/>
        <v>-11879.999999999993</v>
      </c>
      <c r="M40" s="624" t="s">
        <v>649</v>
      </c>
      <c r="N40" s="574" t="s">
        <v>75</v>
      </c>
      <c r="O40" s="798">
        <v>37800</v>
      </c>
      <c r="P40" s="798">
        <v>38879.999999999993</v>
      </c>
      <c r="Q40" s="798">
        <v>39959.999999999993</v>
      </c>
      <c r="R40" s="798">
        <v>42120</v>
      </c>
      <c r="S40" s="798">
        <v>39959.999999999993</v>
      </c>
      <c r="T40" s="798">
        <v>37800</v>
      </c>
      <c r="U40" s="798">
        <v>35640</v>
      </c>
      <c r="V40" s="798">
        <v>35640</v>
      </c>
    </row>
    <row r="41" spans="2:22" x14ac:dyDescent="0.3">
      <c r="B41" s="624"/>
      <c r="C41" s="574"/>
      <c r="D41" s="574"/>
      <c r="E41" s="574"/>
      <c r="F41" s="574"/>
      <c r="G41" s="574"/>
      <c r="H41" s="574"/>
      <c r="I41" s="574"/>
      <c r="J41" s="574"/>
      <c r="K41" s="574"/>
      <c r="M41" s="624"/>
      <c r="N41" s="574"/>
      <c r="O41" s="799"/>
      <c r="P41" s="799"/>
      <c r="Q41" s="799"/>
      <c r="R41" s="799"/>
      <c r="S41" s="799"/>
      <c r="T41" s="799"/>
      <c r="U41" s="799"/>
      <c r="V41" s="799"/>
    </row>
    <row r="42" spans="2:22" x14ac:dyDescent="0.3">
      <c r="B42" s="597" t="s">
        <v>305</v>
      </c>
      <c r="C42" s="574" t="s">
        <v>306</v>
      </c>
      <c r="D42" s="574">
        <v>0</v>
      </c>
      <c r="E42" s="574">
        <v>0</v>
      </c>
      <c r="F42" s="574">
        <v>0</v>
      </c>
      <c r="G42" s="574">
        <v>0</v>
      </c>
      <c r="H42" s="574">
        <v>0</v>
      </c>
      <c r="I42" s="574">
        <v>0</v>
      </c>
      <c r="J42" s="574">
        <v>0</v>
      </c>
      <c r="K42" s="574">
        <v>0</v>
      </c>
      <c r="M42" s="597" t="s">
        <v>305</v>
      </c>
      <c r="N42" s="574" t="s">
        <v>306</v>
      </c>
      <c r="O42" s="938">
        <v>0</v>
      </c>
      <c r="P42" s="938">
        <v>0</v>
      </c>
      <c r="Q42" s="938">
        <v>0</v>
      </c>
      <c r="R42" s="938">
        <v>0</v>
      </c>
      <c r="S42" s="938">
        <v>0</v>
      </c>
      <c r="T42" s="938">
        <v>0</v>
      </c>
      <c r="U42" s="938">
        <v>0</v>
      </c>
      <c r="V42" s="938">
        <v>0</v>
      </c>
    </row>
    <row r="43" spans="2:22" x14ac:dyDescent="0.3">
      <c r="B43" s="623" t="s">
        <v>424</v>
      </c>
      <c r="C43" s="623" t="s">
        <v>296</v>
      </c>
      <c r="D43" s="623">
        <f t="shared" ref="D43:K43" si="5">-1*(O43-D13)</f>
        <v>-4.4289941176470601E-2</v>
      </c>
      <c r="E43" s="623">
        <f t="shared" si="5"/>
        <v>-0.28627707097435007</v>
      </c>
      <c r="F43" s="623">
        <f t="shared" si="5"/>
        <v>-0.5654031336058214</v>
      </c>
      <c r="G43" s="623">
        <f t="shared" si="5"/>
        <v>-0.88706906851637157</v>
      </c>
      <c r="H43" s="623">
        <f t="shared" si="5"/>
        <v>-0.67871862696932173</v>
      </c>
      <c r="I43" s="623">
        <f t="shared" si="5"/>
        <v>-0.56121962286648053</v>
      </c>
      <c r="J43" s="623">
        <f t="shared" si="5"/>
        <v>-0.42150516945725069</v>
      </c>
      <c r="K43" s="623">
        <f t="shared" si="5"/>
        <v>-0.25684326907997068</v>
      </c>
      <c r="M43" s="623" t="s">
        <v>424</v>
      </c>
      <c r="N43" s="623" t="s">
        <v>296</v>
      </c>
      <c r="O43" s="935">
        <v>0.1608744117647059</v>
      </c>
      <c r="P43" s="935">
        <v>1.0398445825705551</v>
      </c>
      <c r="Q43" s="935">
        <v>2.0537145481033203</v>
      </c>
      <c r="R43" s="935">
        <v>3.2199285618306774</v>
      </c>
      <c r="S43" s="935">
        <v>3.8938469926430268</v>
      </c>
      <c r="T43" s="935">
        <v>5.1716173845762228</v>
      </c>
      <c r="U43" s="935">
        <v>6.6236329638649876</v>
      </c>
      <c r="V43" s="935">
        <v>8.2691945729355094</v>
      </c>
    </row>
    <row r="44" spans="2:22" x14ac:dyDescent="0.3">
      <c r="B44" s="623" t="s">
        <v>425</v>
      </c>
      <c r="C44" s="623" t="s">
        <v>296</v>
      </c>
      <c r="D44" s="623">
        <f t="shared" ref="D44:D54" si="6">O44-D14</f>
        <v>0</v>
      </c>
      <c r="E44" s="623">
        <f t="shared" ref="E44:E54" si="7">P44-E14</f>
        <v>-29.28690000000006</v>
      </c>
      <c r="F44" s="623">
        <f t="shared" ref="F44:F54" si="8">Q44-F14</f>
        <v>-50.333447619047661</v>
      </c>
      <c r="G44" s="623">
        <f t="shared" ref="G44:G54" si="9">R44-G14</f>
        <v>-75.581142857142936</v>
      </c>
      <c r="H44" s="623">
        <f t="shared" ref="H44:H54" si="10">S44-H14</f>
        <v>-92.315647619047638</v>
      </c>
      <c r="I44" s="623">
        <f t="shared" ref="I44:I54" si="11">T44-I14</f>
        <v>-129.26990000000001</v>
      </c>
      <c r="J44" s="623">
        <f t="shared" ref="J44:J54" si="12">U44-J14</f>
        <v>-161.21502380952393</v>
      </c>
      <c r="K44" s="623">
        <f t="shared" ref="K44:K54" si="13">V44-K14</f>
        <v>-188.43754761904768</v>
      </c>
      <c r="M44" s="623" t="s">
        <v>425</v>
      </c>
      <c r="N44" s="623" t="s">
        <v>296</v>
      </c>
      <c r="O44" s="935">
        <f>SUM(O45:O54)</f>
        <v>490.14312380952384</v>
      </c>
      <c r="P44" s="935">
        <f t="shared" ref="P44:V44" si="14">SUM(P45:P54)</f>
        <v>478.0383523809524</v>
      </c>
      <c r="Q44" s="935">
        <f t="shared" si="14"/>
        <v>480.85371428571432</v>
      </c>
      <c r="R44" s="935">
        <f t="shared" si="14"/>
        <v>472.2222857142857</v>
      </c>
      <c r="S44" s="935">
        <f t="shared" si="14"/>
        <v>467.00691428571423</v>
      </c>
      <c r="T44" s="935">
        <f t="shared" si="14"/>
        <v>460.25206666666668</v>
      </c>
      <c r="U44" s="935">
        <f t="shared" si="14"/>
        <v>447.45391428571429</v>
      </c>
      <c r="V44" s="935">
        <f t="shared" si="14"/>
        <v>457.91342857142854</v>
      </c>
    </row>
    <row r="45" spans="2:22" x14ac:dyDescent="0.3">
      <c r="B45" s="597" t="s">
        <v>410</v>
      </c>
      <c r="C45" s="574" t="s">
        <v>296</v>
      </c>
      <c r="D45" s="577">
        <f t="shared" si="6"/>
        <v>0</v>
      </c>
      <c r="E45" s="577">
        <f t="shared" si="7"/>
        <v>1.9439999999999884</v>
      </c>
      <c r="F45" s="577">
        <f t="shared" si="8"/>
        <v>-8.4960000000000093</v>
      </c>
      <c r="G45" s="577">
        <f t="shared" si="9"/>
        <v>-15.119999999999976</v>
      </c>
      <c r="H45" s="577">
        <f t="shared" si="10"/>
        <v>-29.48399999999998</v>
      </c>
      <c r="I45" s="577">
        <f t="shared" si="11"/>
        <v>-44.45999999999998</v>
      </c>
      <c r="J45" s="577">
        <f t="shared" si="12"/>
        <v>-61.19999999999996</v>
      </c>
      <c r="K45" s="577">
        <f t="shared" si="13"/>
        <v>-63.899999999999977</v>
      </c>
      <c r="M45" s="597" t="s">
        <v>410</v>
      </c>
      <c r="N45" s="574" t="s">
        <v>296</v>
      </c>
      <c r="O45" s="936">
        <v>117</v>
      </c>
      <c r="P45" s="936">
        <v>132.19200000000001</v>
      </c>
      <c r="Q45" s="936">
        <v>150.804</v>
      </c>
      <c r="R45" s="936">
        <v>170.64000000000001</v>
      </c>
      <c r="S45" s="936">
        <v>167.83199999999999</v>
      </c>
      <c r="T45" s="936">
        <v>159.12</v>
      </c>
      <c r="U45" s="936">
        <v>156.67200000000003</v>
      </c>
      <c r="V45" s="936">
        <v>163.584</v>
      </c>
    </row>
    <row r="46" spans="2:22" x14ac:dyDescent="0.3">
      <c r="B46" s="597" t="s">
        <v>426</v>
      </c>
      <c r="C46" s="574" t="s">
        <v>296</v>
      </c>
      <c r="D46" s="577">
        <f t="shared" si="6"/>
        <v>0</v>
      </c>
      <c r="E46" s="577">
        <f t="shared" si="7"/>
        <v>0</v>
      </c>
      <c r="F46" s="577">
        <f t="shared" si="8"/>
        <v>-1.8990476190476215</v>
      </c>
      <c r="G46" s="577">
        <f t="shared" si="9"/>
        <v>-6.1371428571428481</v>
      </c>
      <c r="H46" s="577">
        <f t="shared" si="10"/>
        <v>-11.019047619047598</v>
      </c>
      <c r="I46" s="577">
        <f t="shared" si="11"/>
        <v>-14.239999999999981</v>
      </c>
      <c r="J46" s="577">
        <f t="shared" si="12"/>
        <v>-20.449523809523811</v>
      </c>
      <c r="K46" s="577">
        <f t="shared" si="13"/>
        <v>-22.019047619047598</v>
      </c>
      <c r="M46" s="597" t="s">
        <v>426</v>
      </c>
      <c r="N46" s="574" t="s">
        <v>296</v>
      </c>
      <c r="O46" s="936">
        <v>60.609523809523814</v>
      </c>
      <c r="P46" s="936">
        <v>65.260952380952375</v>
      </c>
      <c r="Q46" s="936">
        <v>68.36571428571429</v>
      </c>
      <c r="R46" s="936">
        <v>69.554285714285726</v>
      </c>
      <c r="S46" s="936">
        <v>72.72571428571429</v>
      </c>
      <c r="T46" s="936">
        <v>75.946666666666673</v>
      </c>
      <c r="U46" s="936">
        <v>76.685714285714269</v>
      </c>
      <c r="V46" s="936">
        <v>82.571428571428584</v>
      </c>
    </row>
    <row r="47" spans="2:22" x14ac:dyDescent="0.3">
      <c r="B47" s="597" t="s">
        <v>408</v>
      </c>
      <c r="C47" s="574" t="s">
        <v>296</v>
      </c>
      <c r="D47" s="577">
        <f t="shared" si="6"/>
        <v>0</v>
      </c>
      <c r="E47" s="577">
        <f t="shared" si="7"/>
        <v>-14.702400000000011</v>
      </c>
      <c r="F47" s="577">
        <f t="shared" si="8"/>
        <v>-22.572000000000003</v>
      </c>
      <c r="G47" s="577">
        <f t="shared" si="9"/>
        <v>-30.412799999999976</v>
      </c>
      <c r="H47" s="577">
        <f t="shared" si="10"/>
        <v>-35.315999999999974</v>
      </c>
      <c r="I47" s="577">
        <f t="shared" si="11"/>
        <v>-47.044800000000009</v>
      </c>
      <c r="J47" s="577">
        <f t="shared" si="12"/>
        <v>-69.498000000000019</v>
      </c>
      <c r="K47" s="577">
        <f t="shared" si="13"/>
        <v>-79.77600000000001</v>
      </c>
      <c r="M47" s="597" t="s">
        <v>408</v>
      </c>
      <c r="N47" s="574" t="s">
        <v>296</v>
      </c>
      <c r="O47" s="936">
        <v>224.53920000000002</v>
      </c>
      <c r="P47" s="936">
        <v>224.21160000000003</v>
      </c>
      <c r="Q47" s="936">
        <v>206.91</v>
      </c>
      <c r="R47" s="936">
        <v>182.47680000000003</v>
      </c>
      <c r="S47" s="936">
        <v>184.42800000000003</v>
      </c>
      <c r="T47" s="936">
        <v>192.45600000000002</v>
      </c>
      <c r="U47" s="936">
        <v>189.96119999999999</v>
      </c>
      <c r="V47" s="936">
        <v>199.44</v>
      </c>
    </row>
    <row r="48" spans="2:22" x14ac:dyDescent="0.3">
      <c r="B48" s="597" t="s">
        <v>409</v>
      </c>
      <c r="C48" s="574" t="s">
        <v>296</v>
      </c>
      <c r="D48" s="577">
        <f t="shared" si="6"/>
        <v>0</v>
      </c>
      <c r="E48" s="577">
        <f t="shared" si="7"/>
        <v>0</v>
      </c>
      <c r="F48" s="577">
        <f t="shared" si="8"/>
        <v>0</v>
      </c>
      <c r="G48" s="577">
        <f t="shared" si="9"/>
        <v>-2.1564000000000005</v>
      </c>
      <c r="H48" s="577">
        <f t="shared" si="10"/>
        <v>0</v>
      </c>
      <c r="I48" s="577">
        <f t="shared" si="11"/>
        <v>0</v>
      </c>
      <c r="J48" s="577">
        <f t="shared" si="12"/>
        <v>0</v>
      </c>
      <c r="K48" s="577">
        <f t="shared" si="13"/>
        <v>0</v>
      </c>
      <c r="M48" s="597" t="s">
        <v>409</v>
      </c>
      <c r="N48" s="574" t="s">
        <v>296</v>
      </c>
      <c r="O48" s="936">
        <v>32.256</v>
      </c>
      <c r="P48" s="936">
        <v>2.2248000000000001</v>
      </c>
      <c r="Q48" s="936">
        <v>2.1564000000000005</v>
      </c>
      <c r="R48" s="936"/>
      <c r="S48" s="936"/>
      <c r="T48" s="936"/>
      <c r="U48" s="936"/>
      <c r="V48" s="936"/>
    </row>
    <row r="49" spans="2:22" x14ac:dyDescent="0.3">
      <c r="B49" s="597" t="s">
        <v>427</v>
      </c>
      <c r="C49" s="574" t="s">
        <v>296</v>
      </c>
      <c r="D49" s="577">
        <f t="shared" si="6"/>
        <v>0</v>
      </c>
      <c r="E49" s="577">
        <f t="shared" si="7"/>
        <v>-15.336000000000006</v>
      </c>
      <c r="F49" s="577">
        <f t="shared" si="8"/>
        <v>-16.142399999999999</v>
      </c>
      <c r="G49" s="577">
        <f t="shared" si="9"/>
        <v>-20.52</v>
      </c>
      <c r="H49" s="577">
        <f t="shared" si="10"/>
        <v>-8.64</v>
      </c>
      <c r="I49" s="577">
        <f t="shared" si="11"/>
        <v>-13.737599999999999</v>
      </c>
      <c r="J49" s="577">
        <f t="shared" si="12"/>
        <v>0</v>
      </c>
      <c r="K49" s="577">
        <f t="shared" si="13"/>
        <v>0</v>
      </c>
      <c r="M49" s="597" t="s">
        <v>427</v>
      </c>
      <c r="N49" s="574" t="s">
        <v>296</v>
      </c>
      <c r="O49" s="936">
        <v>44.366399999999999</v>
      </c>
      <c r="P49" s="936">
        <v>26.838000000000001</v>
      </c>
      <c r="Q49" s="936">
        <v>24.213600000000003</v>
      </c>
      <c r="R49" s="936">
        <v>20.52</v>
      </c>
      <c r="S49" s="936">
        <v>17.28</v>
      </c>
      <c r="T49" s="936">
        <v>9.1584000000000021</v>
      </c>
      <c r="U49" s="936"/>
      <c r="V49" s="936"/>
    </row>
    <row r="50" spans="2:22" x14ac:dyDescent="0.3">
      <c r="B50" s="597" t="s">
        <v>428</v>
      </c>
      <c r="C50" s="574" t="s">
        <v>296</v>
      </c>
      <c r="D50" s="577">
        <f t="shared" si="6"/>
        <v>0</v>
      </c>
      <c r="E50" s="577">
        <f t="shared" si="7"/>
        <v>0</v>
      </c>
      <c r="F50" s="577">
        <f t="shared" si="8"/>
        <v>0</v>
      </c>
      <c r="G50" s="577">
        <f t="shared" si="9"/>
        <v>0</v>
      </c>
      <c r="H50" s="577">
        <f t="shared" si="10"/>
        <v>-1.67</v>
      </c>
      <c r="I50" s="577">
        <f t="shared" si="11"/>
        <v>-3.6000000000000005</v>
      </c>
      <c r="J50" s="577">
        <f t="shared" si="12"/>
        <v>-3.88</v>
      </c>
      <c r="K50" s="577">
        <f t="shared" si="13"/>
        <v>-4.18</v>
      </c>
      <c r="M50" s="597" t="s">
        <v>428</v>
      </c>
      <c r="N50" s="574" t="s">
        <v>296</v>
      </c>
      <c r="O50" s="936">
        <v>5</v>
      </c>
      <c r="P50" s="936">
        <v>5.36</v>
      </c>
      <c r="Q50" s="936">
        <v>5.7600000000000007</v>
      </c>
      <c r="R50" s="936">
        <v>6.2</v>
      </c>
      <c r="S50" s="936">
        <v>6.68</v>
      </c>
      <c r="T50" s="936">
        <v>5.3999999999999995</v>
      </c>
      <c r="U50" s="936">
        <v>5.8199999999999994</v>
      </c>
      <c r="V50" s="936">
        <v>6.27</v>
      </c>
    </row>
    <row r="51" spans="2:22" x14ac:dyDescent="0.3">
      <c r="B51" s="597" t="s">
        <v>254</v>
      </c>
      <c r="C51" s="574" t="s">
        <v>296</v>
      </c>
      <c r="D51" s="577">
        <f t="shared" si="6"/>
        <v>0</v>
      </c>
      <c r="E51" s="577">
        <f t="shared" si="7"/>
        <v>0</v>
      </c>
      <c r="F51" s="577">
        <f t="shared" si="8"/>
        <v>0</v>
      </c>
      <c r="G51" s="577">
        <f t="shared" si="9"/>
        <v>0</v>
      </c>
      <c r="H51" s="577">
        <f t="shared" si="10"/>
        <v>0</v>
      </c>
      <c r="I51" s="577">
        <f t="shared" si="11"/>
        <v>0</v>
      </c>
      <c r="J51" s="577">
        <f t="shared" si="12"/>
        <v>0</v>
      </c>
      <c r="K51" s="577">
        <f t="shared" si="13"/>
        <v>0</v>
      </c>
      <c r="M51" s="597" t="s">
        <v>254</v>
      </c>
      <c r="N51" s="574" t="s">
        <v>296</v>
      </c>
      <c r="O51" s="936">
        <v>0</v>
      </c>
      <c r="P51" s="936">
        <v>0</v>
      </c>
      <c r="Q51" s="936">
        <v>0</v>
      </c>
      <c r="R51" s="936">
        <v>0</v>
      </c>
      <c r="S51" s="936">
        <v>0</v>
      </c>
      <c r="T51" s="936">
        <v>0</v>
      </c>
      <c r="U51" s="936">
        <v>0</v>
      </c>
      <c r="V51" s="936">
        <v>0</v>
      </c>
    </row>
    <row r="52" spans="2:22" x14ac:dyDescent="0.3">
      <c r="B52" s="597" t="s">
        <v>429</v>
      </c>
      <c r="C52" s="574" t="s">
        <v>296</v>
      </c>
      <c r="D52" s="577">
        <f t="shared" si="6"/>
        <v>0</v>
      </c>
      <c r="E52" s="577">
        <f t="shared" si="7"/>
        <v>0</v>
      </c>
      <c r="F52" s="577">
        <f t="shared" si="8"/>
        <v>0</v>
      </c>
      <c r="G52" s="577">
        <f t="shared" si="9"/>
        <v>0</v>
      </c>
      <c r="H52" s="577">
        <f t="shared" si="10"/>
        <v>0</v>
      </c>
      <c r="I52" s="577">
        <f t="shared" si="11"/>
        <v>0</v>
      </c>
      <c r="J52" s="577">
        <f t="shared" si="12"/>
        <v>0</v>
      </c>
      <c r="K52" s="577">
        <f t="shared" si="13"/>
        <v>0</v>
      </c>
      <c r="M52" s="597" t="s">
        <v>429</v>
      </c>
      <c r="N52" s="574" t="s">
        <v>296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</row>
    <row r="53" spans="2:22" x14ac:dyDescent="0.3">
      <c r="B53" s="597" t="s">
        <v>430</v>
      </c>
      <c r="C53" s="574" t="s">
        <v>296</v>
      </c>
      <c r="D53" s="577">
        <f t="shared" si="6"/>
        <v>0</v>
      </c>
      <c r="E53" s="577">
        <f t="shared" si="7"/>
        <v>0</v>
      </c>
      <c r="F53" s="577">
        <f t="shared" si="8"/>
        <v>0</v>
      </c>
      <c r="G53" s="577">
        <f t="shared" si="9"/>
        <v>0</v>
      </c>
      <c r="H53" s="577">
        <f t="shared" si="10"/>
        <v>0</v>
      </c>
      <c r="I53" s="577">
        <f t="shared" si="11"/>
        <v>0</v>
      </c>
      <c r="J53" s="577">
        <f t="shared" si="12"/>
        <v>0</v>
      </c>
      <c r="K53" s="577">
        <f t="shared" si="13"/>
        <v>0</v>
      </c>
      <c r="M53" s="597" t="s">
        <v>430</v>
      </c>
      <c r="N53" s="574" t="s">
        <v>296</v>
      </c>
      <c r="O53" s="936">
        <v>4.9320000000000004</v>
      </c>
      <c r="P53" s="936">
        <v>5.2560000000000002</v>
      </c>
      <c r="Q53" s="936">
        <v>5.5080000000000009</v>
      </c>
      <c r="R53" s="936">
        <v>5.5440000000000005</v>
      </c>
      <c r="S53" s="936">
        <v>5.6880000000000006</v>
      </c>
      <c r="T53" s="936">
        <v>5.7960000000000012</v>
      </c>
      <c r="U53" s="936">
        <v>5.94</v>
      </c>
      <c r="V53" s="936">
        <v>6.0480000000000009</v>
      </c>
    </row>
    <row r="54" spans="2:22" x14ac:dyDescent="0.3">
      <c r="B54" s="597" t="s">
        <v>406</v>
      </c>
      <c r="C54" s="574" t="s">
        <v>296</v>
      </c>
      <c r="D54" s="577">
        <f t="shared" si="6"/>
        <v>0</v>
      </c>
      <c r="E54" s="577">
        <f t="shared" si="7"/>
        <v>-1.1925000000000026</v>
      </c>
      <c r="F54" s="577">
        <f t="shared" si="8"/>
        <v>-1.2240000000000002</v>
      </c>
      <c r="G54" s="577">
        <f t="shared" si="9"/>
        <v>-1.2347999999999999</v>
      </c>
      <c r="H54" s="577">
        <f t="shared" si="10"/>
        <v>-6.1866000000000003</v>
      </c>
      <c r="I54" s="577">
        <f t="shared" si="11"/>
        <v>-6.1875</v>
      </c>
      <c r="J54" s="577">
        <f t="shared" si="12"/>
        <v>-6.1875</v>
      </c>
      <c r="K54" s="577">
        <f t="shared" si="13"/>
        <v>-18.5625</v>
      </c>
      <c r="M54" s="597" t="s">
        <v>406</v>
      </c>
      <c r="N54" s="574" t="s">
        <v>296</v>
      </c>
      <c r="O54" s="936">
        <v>1.4400000000000002</v>
      </c>
      <c r="P54" s="936">
        <v>16.695</v>
      </c>
      <c r="Q54" s="936">
        <v>17.135999999999999</v>
      </c>
      <c r="R54" s="936">
        <v>17.287200000000002</v>
      </c>
      <c r="S54" s="936">
        <v>12.373199999999999</v>
      </c>
      <c r="T54" s="936">
        <v>12.375</v>
      </c>
      <c r="U54" s="936">
        <v>12.375</v>
      </c>
      <c r="V54" s="936"/>
    </row>
    <row r="55" spans="2:22" x14ac:dyDescent="0.3">
      <c r="B55" s="623" t="s">
        <v>45</v>
      </c>
      <c r="C55" s="623" t="s">
        <v>296</v>
      </c>
      <c r="D55" s="630"/>
      <c r="E55" s="630"/>
      <c r="F55" s="630"/>
      <c r="G55" s="630"/>
      <c r="H55" s="630"/>
      <c r="I55" s="630"/>
      <c r="J55" s="630"/>
      <c r="K55" s="630"/>
      <c r="M55" s="623" t="s">
        <v>45</v>
      </c>
      <c r="N55" s="623" t="s">
        <v>296</v>
      </c>
      <c r="O55" s="937"/>
      <c r="P55" s="937"/>
      <c r="Q55" s="937"/>
      <c r="R55" s="937"/>
      <c r="S55" s="937"/>
      <c r="T55" s="937"/>
      <c r="U55" s="937"/>
      <c r="V55" s="937"/>
    </row>
    <row r="56" spans="2:22" x14ac:dyDescent="0.3">
      <c r="B56" s="597" t="s">
        <v>431</v>
      </c>
      <c r="C56" s="574" t="s">
        <v>296</v>
      </c>
      <c r="D56" s="577">
        <f t="shared" ref="D56:K62" si="15">O56-D26</f>
        <v>0</v>
      </c>
      <c r="E56" s="577">
        <f t="shared" si="15"/>
        <v>0</v>
      </c>
      <c r="F56" s="577">
        <f t="shared" si="15"/>
        <v>0</v>
      </c>
      <c r="G56" s="577">
        <f t="shared" si="15"/>
        <v>0</v>
      </c>
      <c r="H56" s="577">
        <f t="shared" si="15"/>
        <v>-2.5</v>
      </c>
      <c r="I56" s="577">
        <f t="shared" si="15"/>
        <v>-2.5</v>
      </c>
      <c r="J56" s="577">
        <f t="shared" si="15"/>
        <v>-2.5</v>
      </c>
      <c r="K56" s="577">
        <f t="shared" si="15"/>
        <v>-2.5</v>
      </c>
      <c r="M56" s="597" t="s">
        <v>431</v>
      </c>
      <c r="N56" s="574" t="s">
        <v>296</v>
      </c>
      <c r="O56" s="936">
        <v>37.5</v>
      </c>
      <c r="P56" s="936">
        <v>37.5</v>
      </c>
      <c r="Q56" s="936">
        <v>37.5</v>
      </c>
      <c r="R56" s="936">
        <v>37.5</v>
      </c>
      <c r="S56" s="936">
        <v>47</v>
      </c>
      <c r="T56" s="936">
        <v>47</v>
      </c>
      <c r="U56" s="936">
        <v>47</v>
      </c>
      <c r="V56" s="936">
        <v>47</v>
      </c>
    </row>
    <row r="57" spans="2:22" x14ac:dyDescent="0.3">
      <c r="B57" s="597" t="s">
        <v>432</v>
      </c>
      <c r="C57" s="574" t="s">
        <v>296</v>
      </c>
      <c r="D57" s="577">
        <f t="shared" si="15"/>
        <v>3.75</v>
      </c>
      <c r="E57" s="577">
        <f t="shared" si="15"/>
        <v>3.75</v>
      </c>
      <c r="F57" s="577">
        <f t="shared" si="15"/>
        <v>3.75</v>
      </c>
      <c r="G57" s="577">
        <f t="shared" si="15"/>
        <v>3.75</v>
      </c>
      <c r="H57" s="577">
        <f t="shared" si="15"/>
        <v>-3.3</v>
      </c>
      <c r="I57" s="577">
        <f t="shared" si="15"/>
        <v>-3.3</v>
      </c>
      <c r="J57" s="577">
        <f t="shared" si="15"/>
        <v>-3.3</v>
      </c>
      <c r="K57" s="577">
        <f t="shared" si="15"/>
        <v>-3.3</v>
      </c>
      <c r="M57" s="597" t="s">
        <v>432</v>
      </c>
      <c r="N57" s="574" t="s">
        <v>296</v>
      </c>
      <c r="O57" s="936">
        <v>7.5</v>
      </c>
      <c r="P57" s="936">
        <v>7.5</v>
      </c>
      <c r="Q57" s="936">
        <v>7.5</v>
      </c>
      <c r="R57" s="936">
        <v>7.5</v>
      </c>
      <c r="S57" s="936">
        <v>6.45</v>
      </c>
      <c r="T57" s="936">
        <v>6.45</v>
      </c>
      <c r="U57" s="936">
        <v>6.45</v>
      </c>
      <c r="V57" s="936">
        <v>6.45</v>
      </c>
    </row>
    <row r="58" spans="2:22" x14ac:dyDescent="0.3">
      <c r="B58" s="597" t="s">
        <v>433</v>
      </c>
      <c r="C58" s="574" t="s">
        <v>296</v>
      </c>
      <c r="D58" s="577">
        <f t="shared" si="15"/>
        <v>0</v>
      </c>
      <c r="E58" s="577">
        <f t="shared" si="15"/>
        <v>0</v>
      </c>
      <c r="F58" s="577">
        <f t="shared" si="15"/>
        <v>0</v>
      </c>
      <c r="G58" s="577">
        <f t="shared" si="15"/>
        <v>0</v>
      </c>
      <c r="H58" s="577">
        <f t="shared" si="15"/>
        <v>0.49999999999999994</v>
      </c>
      <c r="I58" s="577">
        <f t="shared" si="15"/>
        <v>0.49999999999999994</v>
      </c>
      <c r="J58" s="577">
        <f t="shared" si="15"/>
        <v>0.49999999999999994</v>
      </c>
      <c r="K58" s="577">
        <f t="shared" si="15"/>
        <v>0.49999999999999994</v>
      </c>
      <c r="M58" s="597" t="s">
        <v>433</v>
      </c>
      <c r="N58" s="574" t="s">
        <v>296</v>
      </c>
      <c r="O58" s="936">
        <v>12.8</v>
      </c>
      <c r="P58" s="936">
        <v>12.8</v>
      </c>
      <c r="Q58" s="936">
        <v>12.8</v>
      </c>
      <c r="R58" s="936">
        <v>12.8</v>
      </c>
      <c r="S58" s="936">
        <v>0.7</v>
      </c>
      <c r="T58" s="936">
        <v>0.7</v>
      </c>
      <c r="U58" s="936">
        <v>0.7</v>
      </c>
      <c r="V58" s="936">
        <v>0.7</v>
      </c>
    </row>
    <row r="59" spans="2:22" x14ac:dyDescent="0.3">
      <c r="B59" s="597" t="s">
        <v>434</v>
      </c>
      <c r="C59" s="574" t="s">
        <v>296</v>
      </c>
      <c r="D59" s="577">
        <f t="shared" si="15"/>
        <v>0.25</v>
      </c>
      <c r="E59" s="577">
        <f t="shared" si="15"/>
        <v>0.25</v>
      </c>
      <c r="F59" s="577">
        <f t="shared" si="15"/>
        <v>0.25</v>
      </c>
      <c r="G59" s="577">
        <f t="shared" si="15"/>
        <v>0.25</v>
      </c>
      <c r="H59" s="577">
        <f t="shared" si="15"/>
        <v>0</v>
      </c>
      <c r="I59" s="577">
        <f t="shared" si="15"/>
        <v>0</v>
      </c>
      <c r="J59" s="577">
        <f t="shared" si="15"/>
        <v>0</v>
      </c>
      <c r="K59" s="577">
        <f t="shared" si="15"/>
        <v>0</v>
      </c>
      <c r="M59" s="597" t="s">
        <v>434</v>
      </c>
      <c r="N59" s="574" t="s">
        <v>296</v>
      </c>
      <c r="O59" s="936">
        <v>1.125</v>
      </c>
      <c r="P59" s="936">
        <v>1.125</v>
      </c>
      <c r="Q59" s="936">
        <v>1.125</v>
      </c>
      <c r="R59" s="936">
        <v>1.125</v>
      </c>
      <c r="S59" s="936"/>
      <c r="T59" s="936"/>
      <c r="U59" s="936"/>
      <c r="V59" s="936"/>
    </row>
    <row r="60" spans="2:22" x14ac:dyDescent="0.3">
      <c r="B60" s="601" t="s">
        <v>787</v>
      </c>
      <c r="C60" s="574" t="s">
        <v>628</v>
      </c>
      <c r="D60" s="577">
        <f t="shared" si="15"/>
        <v>0</v>
      </c>
      <c r="E60" s="577">
        <f t="shared" si="15"/>
        <v>-203.89999999999873</v>
      </c>
      <c r="F60" s="577">
        <f t="shared" si="15"/>
        <v>-454.10000000000036</v>
      </c>
      <c r="G60" s="577">
        <f t="shared" si="15"/>
        <v>-745.80000000000018</v>
      </c>
      <c r="H60" s="577">
        <f t="shared" si="15"/>
        <v>-1130.6999999999998</v>
      </c>
      <c r="I60" s="577">
        <f t="shared" si="15"/>
        <v>-1469.8000000000002</v>
      </c>
      <c r="J60" s="577">
        <f t="shared" si="15"/>
        <v>-1742.5</v>
      </c>
      <c r="K60" s="577">
        <f t="shared" si="15"/>
        <v>-2088.1000000000004</v>
      </c>
      <c r="M60" s="601" t="s">
        <v>787</v>
      </c>
      <c r="N60" s="574" t="s">
        <v>628</v>
      </c>
      <c r="O60" s="939">
        <v>6119.2</v>
      </c>
      <c r="P60" s="939">
        <v>5990.4000000000015</v>
      </c>
      <c r="Q60" s="939">
        <v>5934.4000000000005</v>
      </c>
      <c r="R60" s="939">
        <v>5938.7000000000007</v>
      </c>
      <c r="S60" s="939">
        <v>5550.6</v>
      </c>
      <c r="T60" s="939">
        <v>5181.6000000000004</v>
      </c>
      <c r="U60" s="939">
        <v>4828.4000000000005</v>
      </c>
      <c r="V60" s="939">
        <v>4482.8</v>
      </c>
    </row>
    <row r="61" spans="2:22" x14ac:dyDescent="0.3">
      <c r="B61" s="574" t="s">
        <v>308</v>
      </c>
      <c r="C61" s="574" t="s">
        <v>628</v>
      </c>
      <c r="D61" s="629">
        <f t="shared" si="15"/>
        <v>0</v>
      </c>
      <c r="E61" s="629">
        <f t="shared" si="15"/>
        <v>-238.40000000000055</v>
      </c>
      <c r="F61" s="629">
        <f t="shared" si="15"/>
        <v>-281.59999999999991</v>
      </c>
      <c r="G61" s="629">
        <f t="shared" si="15"/>
        <v>-400.80000000000018</v>
      </c>
      <c r="H61" s="629">
        <f t="shared" si="15"/>
        <v>-475.20000000000027</v>
      </c>
      <c r="I61" s="629">
        <f t="shared" si="15"/>
        <v>-607.29999999999973</v>
      </c>
      <c r="J61" s="629">
        <f t="shared" si="15"/>
        <v>-604</v>
      </c>
      <c r="K61" s="629">
        <f t="shared" si="15"/>
        <v>-949.59999999999991</v>
      </c>
      <c r="M61" s="574" t="s">
        <v>308</v>
      </c>
      <c r="N61" s="574" t="s">
        <v>628</v>
      </c>
      <c r="O61" s="798">
        <v>2496.7000000000003</v>
      </c>
      <c r="P61" s="798">
        <v>2264.3999999999996</v>
      </c>
      <c r="Q61" s="798">
        <v>2104.9</v>
      </c>
      <c r="R61" s="798">
        <v>1902.1999999999998</v>
      </c>
      <c r="S61" s="798">
        <v>1721.1</v>
      </c>
      <c r="T61" s="798">
        <v>1559.1</v>
      </c>
      <c r="U61" s="798">
        <v>1412.8999999999999</v>
      </c>
      <c r="V61" s="798">
        <v>1067.3</v>
      </c>
    </row>
    <row r="62" spans="2:22" x14ac:dyDescent="0.3">
      <c r="B62" s="574" t="s">
        <v>308</v>
      </c>
      <c r="C62" s="574" t="s">
        <v>296</v>
      </c>
      <c r="D62" s="629">
        <f t="shared" si="15"/>
        <v>0</v>
      </c>
      <c r="E62" s="629">
        <f t="shared" si="15"/>
        <v>-3.5760000000000076</v>
      </c>
      <c r="F62" s="629">
        <f t="shared" si="15"/>
        <v>-5.5982079999999996</v>
      </c>
      <c r="G62" s="629">
        <f t="shared" si="15"/>
        <v>-9.9198000000000093</v>
      </c>
      <c r="H62" s="629">
        <f t="shared" si="15"/>
        <v>-14.255999999999993</v>
      </c>
      <c r="I62" s="629">
        <f t="shared" si="15"/>
        <v>-21.255499999999984</v>
      </c>
      <c r="J62" s="629">
        <f t="shared" si="15"/>
        <v>-24.160000000000011</v>
      </c>
      <c r="K62" s="629">
        <f t="shared" si="15"/>
        <v>-42.731999999999992</v>
      </c>
      <c r="M62" s="574" t="s">
        <v>308</v>
      </c>
      <c r="N62" s="574" t="s">
        <v>296</v>
      </c>
      <c r="O62" s="798">
        <f>O61*D$3/1000</f>
        <v>25.291571000000005</v>
      </c>
      <c r="P62" s="798">
        <f t="shared" ref="P62:V62" si="16">P61*E$3/1000</f>
        <v>33.965999999999994</v>
      </c>
      <c r="Q62" s="798">
        <f t="shared" si="16"/>
        <v>41.845411999999996</v>
      </c>
      <c r="R62" s="798">
        <f t="shared" si="16"/>
        <v>47.079449999999994</v>
      </c>
      <c r="S62" s="798">
        <f t="shared" si="16"/>
        <v>51.633000000000003</v>
      </c>
      <c r="T62" s="798">
        <f>T61*I$3/1000</f>
        <v>54.5685</v>
      </c>
      <c r="U62" s="798">
        <f t="shared" si="16"/>
        <v>56.515999999999991</v>
      </c>
      <c r="V62" s="798">
        <f t="shared" si="16"/>
        <v>48.028500000000001</v>
      </c>
    </row>
    <row r="64" spans="2:22" x14ac:dyDescent="0.3">
      <c r="B64" s="603" t="s">
        <v>436</v>
      </c>
      <c r="C64" s="604"/>
      <c r="D64" s="615"/>
      <c r="E64" s="615"/>
      <c r="F64" s="615"/>
      <c r="G64" s="615"/>
      <c r="H64" s="615"/>
      <c r="I64" s="615"/>
      <c r="J64" s="615"/>
      <c r="K64" s="605"/>
      <c r="M64" s="603" t="s">
        <v>437</v>
      </c>
      <c r="N64" s="604"/>
      <c r="O64" s="615"/>
      <c r="P64" s="615"/>
      <c r="Q64" s="615"/>
      <c r="R64" s="615"/>
      <c r="S64" s="615"/>
      <c r="T64" s="615"/>
      <c r="U64" s="615"/>
      <c r="V64" s="605"/>
    </row>
    <row r="65" spans="2:22" x14ac:dyDescent="0.3">
      <c r="B65" s="616"/>
      <c r="C65" s="625" t="s">
        <v>293</v>
      </c>
      <c r="D65" s="625">
        <v>2015</v>
      </c>
      <c r="E65" s="625">
        <v>2020</v>
      </c>
      <c r="F65" s="625">
        <v>2025</v>
      </c>
      <c r="G65" s="625">
        <v>2030</v>
      </c>
      <c r="H65" s="625">
        <v>2035</v>
      </c>
      <c r="I65" s="625">
        <v>2040</v>
      </c>
      <c r="J65" s="625">
        <v>2045</v>
      </c>
      <c r="K65" s="625">
        <v>2050</v>
      </c>
      <c r="M65" s="616"/>
      <c r="N65" s="625" t="s">
        <v>293</v>
      </c>
      <c r="O65" s="625">
        <v>2015</v>
      </c>
      <c r="P65" s="625">
        <v>2020</v>
      </c>
      <c r="Q65" s="625">
        <v>2025</v>
      </c>
      <c r="R65" s="625">
        <v>2030</v>
      </c>
      <c r="S65" s="625">
        <v>2035</v>
      </c>
      <c r="T65" s="625">
        <v>2040</v>
      </c>
      <c r="U65" s="625">
        <v>2045</v>
      </c>
      <c r="V65" s="625">
        <v>2050</v>
      </c>
    </row>
    <row r="66" spans="2:22" x14ac:dyDescent="0.3">
      <c r="B66" s="623" t="s">
        <v>54</v>
      </c>
      <c r="C66" s="596"/>
      <c r="D66" s="596"/>
      <c r="E66" s="596"/>
      <c r="F66" s="596"/>
      <c r="G66" s="596"/>
      <c r="H66" s="596"/>
      <c r="I66" s="596"/>
      <c r="J66" s="596"/>
      <c r="K66" s="596"/>
      <c r="M66" s="623" t="s">
        <v>54</v>
      </c>
      <c r="N66" s="596"/>
      <c r="O66" s="596"/>
      <c r="P66" s="596"/>
      <c r="Q66" s="596"/>
      <c r="R66" s="596"/>
      <c r="S66" s="596"/>
      <c r="T66" s="596"/>
      <c r="U66" s="596"/>
      <c r="V66" s="596"/>
    </row>
    <row r="67" spans="2:22" x14ac:dyDescent="0.3">
      <c r="B67" s="601" t="s">
        <v>294</v>
      </c>
      <c r="C67" s="574" t="s">
        <v>75</v>
      </c>
      <c r="D67" s="629">
        <f>O67-D7</f>
        <v>49.184975194904837</v>
      </c>
      <c r="E67" s="629">
        <f t="shared" ref="E67:K67" si="17">P67-E7</f>
        <v>-5364.7058823529223</v>
      </c>
      <c r="F67" s="629">
        <f t="shared" si="17"/>
        <v>-10484.5256296773</v>
      </c>
      <c r="G67" s="629">
        <f t="shared" si="17"/>
        <v>-15313.985530040896</v>
      </c>
      <c r="H67" s="629">
        <f t="shared" si="17"/>
        <v>-20533.431165277958</v>
      </c>
      <c r="I67" s="629">
        <f t="shared" si="17"/>
        <v>-26196.190534745401</v>
      </c>
      <c r="J67" s="629">
        <f t="shared" si="17"/>
        <v>-27981.675240697456</v>
      </c>
      <c r="K67" s="629">
        <f t="shared" si="17"/>
        <v>-34898.985801217044</v>
      </c>
      <c r="M67" s="601" t="s">
        <v>294</v>
      </c>
      <c r="N67" s="574" t="s">
        <v>75</v>
      </c>
      <c r="O67" s="798">
        <v>72009.184975194905</v>
      </c>
      <c r="P67" s="798">
        <v>68865.882352941189</v>
      </c>
      <c r="Q67" s="798">
        <v>65556.443228454184</v>
      </c>
      <c r="R67" s="798">
        <v>62439.786096256692</v>
      </c>
      <c r="S67" s="798">
        <v>56737.54010695187</v>
      </c>
      <c r="T67" s="798">
        <v>50849.226701916719</v>
      </c>
      <c r="U67" s="798">
        <v>46393.364177131531</v>
      </c>
      <c r="V67" s="798">
        <v>41461.176470588238</v>
      </c>
    </row>
    <row r="68" spans="2:22" x14ac:dyDescent="0.3">
      <c r="B68" s="597" t="s">
        <v>323</v>
      </c>
      <c r="C68" s="574" t="s">
        <v>75</v>
      </c>
      <c r="D68" s="629">
        <f>O68-D8</f>
        <v>0</v>
      </c>
      <c r="E68" s="629">
        <f t="shared" ref="E68:K70" si="18">P68-E8</f>
        <v>-4680</v>
      </c>
      <c r="F68" s="629">
        <f t="shared" si="18"/>
        <v>-6839.9999999999964</v>
      </c>
      <c r="G68" s="629">
        <f t="shared" si="18"/>
        <v>-10800</v>
      </c>
      <c r="H68" s="629">
        <f t="shared" si="18"/>
        <v>-13320</v>
      </c>
      <c r="I68" s="629">
        <f t="shared" si="18"/>
        <v>-15120</v>
      </c>
      <c r="J68" s="629">
        <f t="shared" si="18"/>
        <v>-16200</v>
      </c>
      <c r="K68" s="629">
        <f t="shared" si="18"/>
        <v>-16920</v>
      </c>
      <c r="M68" s="597" t="s">
        <v>323</v>
      </c>
      <c r="N68" s="574" t="s">
        <v>75</v>
      </c>
      <c r="O68" s="798">
        <v>35279.999999999993</v>
      </c>
      <c r="P68" s="798">
        <v>31680</v>
      </c>
      <c r="Q68" s="798">
        <v>27720.000000000004</v>
      </c>
      <c r="R68" s="798">
        <v>22320</v>
      </c>
      <c r="S68" s="798">
        <v>18360.000000000004</v>
      </c>
      <c r="T68" s="798">
        <v>16200.000000000004</v>
      </c>
      <c r="U68" s="798">
        <v>13320</v>
      </c>
      <c r="V68" s="798">
        <v>12600</v>
      </c>
    </row>
    <row r="69" spans="2:22" x14ac:dyDescent="0.3">
      <c r="B69" s="597" t="s">
        <v>648</v>
      </c>
      <c r="C69" s="574" t="s">
        <v>75</v>
      </c>
      <c r="D69" s="629">
        <f>O69-D9</f>
        <v>49.184975194904837</v>
      </c>
      <c r="E69" s="629">
        <f t="shared" si="18"/>
        <v>-684.34588235292176</v>
      </c>
      <c r="F69" s="629">
        <f t="shared" si="18"/>
        <v>-3644.5256296773005</v>
      </c>
      <c r="G69" s="629">
        <f t="shared" si="18"/>
        <v>-4873.9855300408963</v>
      </c>
      <c r="H69" s="629">
        <f t="shared" si="18"/>
        <v>-7573.4311652779579</v>
      </c>
      <c r="I69" s="629">
        <f t="shared" si="18"/>
        <v>-11436.190534745401</v>
      </c>
      <c r="J69" s="629">
        <f t="shared" si="18"/>
        <v>-12501.675240697456</v>
      </c>
      <c r="K69" s="629">
        <f t="shared" si="18"/>
        <v>-18698.985801217044</v>
      </c>
      <c r="M69" s="597" t="s">
        <v>648</v>
      </c>
      <c r="N69" s="574" t="s">
        <v>75</v>
      </c>
      <c r="O69" s="798">
        <v>38168.824975194912</v>
      </c>
      <c r="P69" s="798">
        <v>38625.522352941189</v>
      </c>
      <c r="Q69" s="798">
        <v>39275.723228454182</v>
      </c>
      <c r="R69" s="798">
        <v>41559.066096256691</v>
      </c>
      <c r="S69" s="798">
        <v>39816.820106951869</v>
      </c>
      <c r="T69" s="798">
        <v>36088.146701916718</v>
      </c>
      <c r="U69" s="798">
        <v>34152.284177131529</v>
      </c>
      <c r="V69" s="798">
        <v>29940.096470588236</v>
      </c>
    </row>
    <row r="70" spans="2:22" x14ac:dyDescent="0.3">
      <c r="B70" s="624" t="s">
        <v>649</v>
      </c>
      <c r="C70" s="574" t="s">
        <v>75</v>
      </c>
      <c r="D70" s="629">
        <f>O70-D10</f>
        <v>0</v>
      </c>
      <c r="E70" s="629">
        <f t="shared" si="18"/>
        <v>-359.99999999999272</v>
      </c>
      <c r="F70" s="629">
        <f t="shared" si="18"/>
        <v>-3240.0000000000073</v>
      </c>
      <c r="G70" s="629">
        <f t="shared" si="18"/>
        <v>-5040</v>
      </c>
      <c r="H70" s="629">
        <f t="shared" si="18"/>
        <v>-7560.0000000000073</v>
      </c>
      <c r="I70" s="629">
        <f t="shared" si="18"/>
        <v>-11880.000000000007</v>
      </c>
      <c r="J70" s="629">
        <f t="shared" si="18"/>
        <v>-14399.999999999993</v>
      </c>
      <c r="K70" s="629">
        <f t="shared" si="18"/>
        <v>-18719.999999999993</v>
      </c>
      <c r="M70" s="624" t="s">
        <v>649</v>
      </c>
      <c r="N70" s="574" t="s">
        <v>75</v>
      </c>
      <c r="O70" s="798">
        <v>37800</v>
      </c>
      <c r="P70" s="798">
        <v>38160</v>
      </c>
      <c r="Q70" s="798">
        <v>38519.999999999993</v>
      </c>
      <c r="R70" s="798">
        <v>40680</v>
      </c>
      <c r="S70" s="798">
        <v>39239.999999999993</v>
      </c>
      <c r="T70" s="798">
        <v>34919.999999999993</v>
      </c>
      <c r="U70" s="798">
        <v>33120</v>
      </c>
      <c r="V70" s="798">
        <v>28800</v>
      </c>
    </row>
    <row r="71" spans="2:22" x14ac:dyDescent="0.3">
      <c r="B71" s="624"/>
      <c r="C71" s="574"/>
      <c r="D71" s="574"/>
      <c r="E71" s="574"/>
      <c r="F71" s="574"/>
      <c r="G71" s="574"/>
      <c r="H71" s="574"/>
      <c r="I71" s="574"/>
      <c r="J71" s="574"/>
      <c r="K71" s="574"/>
      <c r="M71" s="624"/>
      <c r="N71" s="574"/>
      <c r="O71" s="799"/>
      <c r="P71" s="799"/>
      <c r="Q71" s="799"/>
      <c r="R71" s="799"/>
      <c r="S71" s="799"/>
      <c r="T71" s="799"/>
      <c r="U71" s="799"/>
      <c r="V71" s="799"/>
    </row>
    <row r="72" spans="2:22" x14ac:dyDescent="0.3">
      <c r="B72" s="597" t="s">
        <v>305</v>
      </c>
      <c r="C72" s="574" t="s">
        <v>306</v>
      </c>
      <c r="D72" s="574">
        <v>0</v>
      </c>
      <c r="E72" s="574">
        <v>0</v>
      </c>
      <c r="F72" s="574">
        <v>0</v>
      </c>
      <c r="G72" s="574">
        <v>0</v>
      </c>
      <c r="H72" s="574">
        <v>0</v>
      </c>
      <c r="I72" s="574">
        <v>0</v>
      </c>
      <c r="J72" s="574">
        <v>0</v>
      </c>
      <c r="K72" s="574">
        <v>0</v>
      </c>
      <c r="M72" s="597" t="s">
        <v>305</v>
      </c>
      <c r="N72" s="574" t="s">
        <v>306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</row>
    <row r="73" spans="2:22" x14ac:dyDescent="0.3">
      <c r="B73" s="623" t="s">
        <v>424</v>
      </c>
      <c r="C73" s="623" t="s">
        <v>296</v>
      </c>
      <c r="D73" s="623">
        <f t="shared" ref="D73:K73" si="19">-1*(O73-D13)</f>
        <v>-0.1234414117647059</v>
      </c>
      <c r="E73" s="623">
        <f t="shared" si="19"/>
        <v>-0.79788874986613267</v>
      </c>
      <c r="F73" s="623">
        <f t="shared" si="19"/>
        <v>-1.5758467763684902</v>
      </c>
      <c r="G73" s="623">
        <f t="shared" si="19"/>
        <v>-2.4665240098522077</v>
      </c>
      <c r="H73" s="623">
        <f t="shared" si="19"/>
        <v>-1.7072971160089607</v>
      </c>
      <c r="I73" s="623">
        <f t="shared" si="19"/>
        <v>-1.3180245083033775</v>
      </c>
      <c r="J73" s="623">
        <f t="shared" si="19"/>
        <v>-0.85838543546949708</v>
      </c>
      <c r="K73" s="623">
        <f t="shared" si="19"/>
        <v>-0.31982854732745736</v>
      </c>
      <c r="M73" s="623" t="s">
        <v>424</v>
      </c>
      <c r="N73" s="623" t="s">
        <v>296</v>
      </c>
      <c r="O73" s="935">
        <v>0.2400258823529412</v>
      </c>
      <c r="P73" s="935">
        <v>1.5514562614623377</v>
      </c>
      <c r="Q73" s="935">
        <v>3.0641581908659892</v>
      </c>
      <c r="R73" s="935">
        <v>4.7993835031665135</v>
      </c>
      <c r="S73" s="935">
        <v>4.9224254816826658</v>
      </c>
      <c r="T73" s="935">
        <v>5.9284222700131197</v>
      </c>
      <c r="U73" s="935">
        <v>7.060513229877234</v>
      </c>
      <c r="V73" s="935">
        <v>8.3321798511829961</v>
      </c>
    </row>
    <row r="74" spans="2:22" x14ac:dyDescent="0.3">
      <c r="B74" s="623" t="s">
        <v>425</v>
      </c>
      <c r="C74" s="623" t="s">
        <v>296</v>
      </c>
      <c r="D74" s="623">
        <f t="shared" ref="D74:D85" si="20">O74-D14</f>
        <v>0</v>
      </c>
      <c r="E74" s="623">
        <f t="shared" ref="E74:E85" si="21">P74-E14</f>
        <v>-47.697109523809559</v>
      </c>
      <c r="F74" s="623">
        <f t="shared" ref="F74:F85" si="22">Q74-F14</f>
        <v>-88.64474285714283</v>
      </c>
      <c r="G74" s="623">
        <f t="shared" ref="G74:G85" si="23">R74-G14</f>
        <v>-138.2177714285715</v>
      </c>
      <c r="H74" s="623">
        <f t="shared" ref="H74:H85" si="24">S74-H14</f>
        <v>-172.30907619047616</v>
      </c>
      <c r="I74" s="623">
        <f t="shared" ref="I74:I85" si="25">T74-I14</f>
        <v>-227.39796666666672</v>
      </c>
      <c r="J74" s="623">
        <f t="shared" ref="J74:J85" si="26">U74-J14</f>
        <v>-243.3225952380954</v>
      </c>
      <c r="K74" s="623">
        <f t="shared" ref="K74:K85" si="27">V74-K14</f>
        <v>-298.87745238095243</v>
      </c>
      <c r="M74" s="623" t="s">
        <v>425</v>
      </c>
      <c r="N74" s="623" t="s">
        <v>296</v>
      </c>
      <c r="O74" s="935">
        <f>SUM(O75:O84)</f>
        <v>490.14312380952384</v>
      </c>
      <c r="P74" s="935">
        <f t="shared" ref="P74:V74" si="28">SUM(P75:P84)</f>
        <v>459.6281428571429</v>
      </c>
      <c r="Q74" s="935">
        <f t="shared" si="28"/>
        <v>442.54241904761915</v>
      </c>
      <c r="R74" s="935">
        <f t="shared" si="28"/>
        <v>409.58565714285714</v>
      </c>
      <c r="S74" s="935">
        <f t="shared" si="28"/>
        <v>387.01348571428571</v>
      </c>
      <c r="T74" s="935">
        <f t="shared" si="28"/>
        <v>362.12399999999997</v>
      </c>
      <c r="U74" s="935">
        <f t="shared" si="28"/>
        <v>365.34634285714282</v>
      </c>
      <c r="V74" s="935">
        <f t="shared" si="28"/>
        <v>347.47352380952378</v>
      </c>
    </row>
    <row r="75" spans="2:22" x14ac:dyDescent="0.3">
      <c r="B75" s="597" t="s">
        <v>410</v>
      </c>
      <c r="C75" s="574" t="s">
        <v>296</v>
      </c>
      <c r="D75" s="577">
        <f t="shared" si="20"/>
        <v>0</v>
      </c>
      <c r="E75" s="577">
        <f t="shared" si="21"/>
        <v>0</v>
      </c>
      <c r="F75" s="577">
        <f t="shared" si="22"/>
        <v>-10.620000000000005</v>
      </c>
      <c r="G75" s="577">
        <f t="shared" si="23"/>
        <v>-19.439999999999969</v>
      </c>
      <c r="H75" s="577">
        <f t="shared" si="24"/>
        <v>-27.21599999999998</v>
      </c>
      <c r="I75" s="577">
        <f t="shared" si="25"/>
        <v>-49.139999999999986</v>
      </c>
      <c r="J75" s="577">
        <f t="shared" si="26"/>
        <v>-70.99199999999999</v>
      </c>
      <c r="K75" s="577">
        <f t="shared" si="27"/>
        <v>-99.683999999999983</v>
      </c>
      <c r="M75" s="597" t="s">
        <v>410</v>
      </c>
      <c r="N75" s="574" t="s">
        <v>296</v>
      </c>
      <c r="O75" s="936">
        <v>117</v>
      </c>
      <c r="P75" s="936">
        <v>130.24800000000002</v>
      </c>
      <c r="Q75" s="936">
        <v>148.68</v>
      </c>
      <c r="R75" s="936">
        <v>166.32000000000002</v>
      </c>
      <c r="S75" s="936">
        <v>170.1</v>
      </c>
      <c r="T75" s="936">
        <v>154.44</v>
      </c>
      <c r="U75" s="936">
        <v>146.88</v>
      </c>
      <c r="V75" s="936">
        <v>127.8</v>
      </c>
    </row>
    <row r="76" spans="2:22" x14ac:dyDescent="0.3">
      <c r="B76" s="597" t="s">
        <v>426</v>
      </c>
      <c r="C76" s="574" t="s">
        <v>296</v>
      </c>
      <c r="D76" s="577">
        <f t="shared" si="20"/>
        <v>0</v>
      </c>
      <c r="E76" s="577">
        <f t="shared" si="21"/>
        <v>-1.7638095238095275</v>
      </c>
      <c r="F76" s="577">
        <f t="shared" si="22"/>
        <v>-5.6971428571428504</v>
      </c>
      <c r="G76" s="577">
        <f t="shared" si="23"/>
        <v>-10.228571428571414</v>
      </c>
      <c r="H76" s="577">
        <f t="shared" si="24"/>
        <v>-17.630476190476159</v>
      </c>
      <c r="I76" s="577">
        <f t="shared" si="25"/>
        <v>-26.106666666666655</v>
      </c>
      <c r="J76" s="577">
        <f t="shared" si="26"/>
        <v>-28.118095238095222</v>
      </c>
      <c r="K76" s="577">
        <f t="shared" si="27"/>
        <v>-35.780952380952385</v>
      </c>
      <c r="M76" s="597" t="s">
        <v>426</v>
      </c>
      <c r="N76" s="574" t="s">
        <v>296</v>
      </c>
      <c r="O76" s="936">
        <v>60.609523809523814</v>
      </c>
      <c r="P76" s="936">
        <v>63.497142857142848</v>
      </c>
      <c r="Q76" s="936">
        <v>64.567619047619061</v>
      </c>
      <c r="R76" s="936">
        <v>65.46285714285716</v>
      </c>
      <c r="S76" s="936">
        <v>66.114285714285728</v>
      </c>
      <c r="T76" s="936">
        <v>64.08</v>
      </c>
      <c r="U76" s="936">
        <v>69.017142857142858</v>
      </c>
      <c r="V76" s="936">
        <v>68.809523809523796</v>
      </c>
    </row>
    <row r="77" spans="2:22" x14ac:dyDescent="0.3">
      <c r="B77" s="597" t="s">
        <v>408</v>
      </c>
      <c r="C77" s="574" t="s">
        <v>296</v>
      </c>
      <c r="D77" s="577">
        <f t="shared" si="20"/>
        <v>0</v>
      </c>
      <c r="E77" s="577">
        <f t="shared" si="21"/>
        <v>-29.404800000000023</v>
      </c>
      <c r="F77" s="577">
        <f t="shared" si="22"/>
        <v>-41.382000000000005</v>
      </c>
      <c r="G77" s="577">
        <f t="shared" si="23"/>
        <v>-57.024000000000001</v>
      </c>
      <c r="H77" s="577">
        <f t="shared" si="24"/>
        <v>-86.328000000000003</v>
      </c>
      <c r="I77" s="577">
        <f t="shared" si="25"/>
        <v>-111.1968</v>
      </c>
      <c r="J77" s="577">
        <f t="shared" si="26"/>
        <v>-115.83000000000001</v>
      </c>
      <c r="K77" s="577">
        <f t="shared" si="27"/>
        <v>-134.62200000000001</v>
      </c>
      <c r="M77" s="597" t="s">
        <v>408</v>
      </c>
      <c r="N77" s="574" t="s">
        <v>296</v>
      </c>
      <c r="O77" s="936">
        <v>224.53920000000002</v>
      </c>
      <c r="P77" s="936">
        <v>209.50920000000002</v>
      </c>
      <c r="Q77" s="936">
        <v>188.1</v>
      </c>
      <c r="R77" s="936">
        <v>155.8656</v>
      </c>
      <c r="S77" s="936">
        <v>133.416</v>
      </c>
      <c r="T77" s="936">
        <v>128.30400000000003</v>
      </c>
      <c r="U77" s="936">
        <v>143.6292</v>
      </c>
      <c r="V77" s="936">
        <v>144.59399999999999</v>
      </c>
    </row>
    <row r="78" spans="2:22" x14ac:dyDescent="0.3">
      <c r="B78" s="597" t="s">
        <v>409</v>
      </c>
      <c r="C78" s="574" t="s">
        <v>296</v>
      </c>
      <c r="D78" s="577">
        <f t="shared" si="20"/>
        <v>0</v>
      </c>
      <c r="E78" s="577">
        <f t="shared" si="21"/>
        <v>0</v>
      </c>
      <c r="F78" s="577">
        <f t="shared" si="22"/>
        <v>0</v>
      </c>
      <c r="G78" s="577">
        <f t="shared" si="23"/>
        <v>-2.1564000000000005</v>
      </c>
      <c r="H78" s="577">
        <f t="shared" si="24"/>
        <v>0</v>
      </c>
      <c r="I78" s="577">
        <f t="shared" si="25"/>
        <v>0</v>
      </c>
      <c r="J78" s="577">
        <f t="shared" si="26"/>
        <v>0</v>
      </c>
      <c r="K78" s="577">
        <f t="shared" si="27"/>
        <v>0</v>
      </c>
      <c r="M78" s="597" t="s">
        <v>409</v>
      </c>
      <c r="N78" s="574" t="s">
        <v>296</v>
      </c>
      <c r="O78" s="936">
        <v>32.256</v>
      </c>
      <c r="P78" s="936">
        <v>2.2248000000000001</v>
      </c>
      <c r="Q78" s="936">
        <v>2.1564000000000005</v>
      </c>
      <c r="R78" s="936"/>
      <c r="S78" s="936"/>
      <c r="T78" s="936"/>
      <c r="U78" s="936"/>
      <c r="V78" s="936"/>
    </row>
    <row r="79" spans="2:22" x14ac:dyDescent="0.3">
      <c r="B79" s="597" t="s">
        <v>427</v>
      </c>
      <c r="C79" s="574" t="s">
        <v>296</v>
      </c>
      <c r="D79" s="577">
        <f t="shared" si="20"/>
        <v>0</v>
      </c>
      <c r="E79" s="577">
        <f t="shared" si="21"/>
        <v>-15.336000000000006</v>
      </c>
      <c r="F79" s="577">
        <f t="shared" si="22"/>
        <v>-24.2136</v>
      </c>
      <c r="G79" s="577">
        <f t="shared" si="23"/>
        <v>-41.04</v>
      </c>
      <c r="H79" s="577">
        <f t="shared" si="24"/>
        <v>-25.92</v>
      </c>
      <c r="I79" s="577">
        <f t="shared" si="25"/>
        <v>-22.896000000000001</v>
      </c>
      <c r="J79" s="577">
        <f t="shared" si="26"/>
        <v>0</v>
      </c>
      <c r="K79" s="577">
        <f t="shared" si="27"/>
        <v>0</v>
      </c>
      <c r="M79" s="597" t="s">
        <v>427</v>
      </c>
      <c r="N79" s="574" t="s">
        <v>296</v>
      </c>
      <c r="O79" s="936">
        <v>44.366399999999999</v>
      </c>
      <c r="P79" s="936">
        <v>26.838000000000001</v>
      </c>
      <c r="Q79" s="936">
        <v>16.142400000000002</v>
      </c>
      <c r="R79" s="936"/>
      <c r="S79" s="936"/>
      <c r="T79" s="936"/>
      <c r="U79" s="936"/>
      <c r="V79" s="936"/>
    </row>
    <row r="80" spans="2:22" x14ac:dyDescent="0.3">
      <c r="B80" s="597" t="s">
        <v>428</v>
      </c>
      <c r="C80" s="574" t="s">
        <v>296</v>
      </c>
      <c r="D80" s="577">
        <f t="shared" si="20"/>
        <v>0</v>
      </c>
      <c r="E80" s="577">
        <f t="shared" si="21"/>
        <v>0</v>
      </c>
      <c r="F80" s="577">
        <f t="shared" si="22"/>
        <v>0</v>
      </c>
      <c r="G80" s="577">
        <f t="shared" si="23"/>
        <v>-1.5500000000000007</v>
      </c>
      <c r="H80" s="577">
        <f t="shared" si="24"/>
        <v>-3.34</v>
      </c>
      <c r="I80" s="577">
        <f t="shared" si="25"/>
        <v>-3.6000000000000005</v>
      </c>
      <c r="J80" s="577">
        <f t="shared" si="26"/>
        <v>-3.88</v>
      </c>
      <c r="K80" s="577">
        <f t="shared" si="27"/>
        <v>-4.18</v>
      </c>
      <c r="M80" s="597" t="s">
        <v>428</v>
      </c>
      <c r="N80" s="574" t="s">
        <v>296</v>
      </c>
      <c r="O80" s="936">
        <v>5</v>
      </c>
      <c r="P80" s="936">
        <v>5.36</v>
      </c>
      <c r="Q80" s="936">
        <v>5.7600000000000007</v>
      </c>
      <c r="R80" s="936">
        <v>4.6499999999999995</v>
      </c>
      <c r="S80" s="936">
        <v>5.01</v>
      </c>
      <c r="T80" s="936">
        <v>5.3999999999999995</v>
      </c>
      <c r="U80" s="936">
        <v>5.8199999999999994</v>
      </c>
      <c r="V80" s="936">
        <v>6.27</v>
      </c>
    </row>
    <row r="81" spans="2:22" x14ac:dyDescent="0.3">
      <c r="B81" s="597" t="s">
        <v>254</v>
      </c>
      <c r="C81" s="574" t="s">
        <v>296</v>
      </c>
      <c r="D81" s="577">
        <f t="shared" si="20"/>
        <v>0</v>
      </c>
      <c r="E81" s="577">
        <f t="shared" si="21"/>
        <v>0</v>
      </c>
      <c r="F81" s="577">
        <f t="shared" si="22"/>
        <v>0</v>
      </c>
      <c r="G81" s="577">
        <f t="shared" si="23"/>
        <v>0</v>
      </c>
      <c r="H81" s="577">
        <f t="shared" si="24"/>
        <v>0</v>
      </c>
      <c r="I81" s="577">
        <f t="shared" si="25"/>
        <v>0</v>
      </c>
      <c r="J81" s="577">
        <f t="shared" si="26"/>
        <v>0</v>
      </c>
      <c r="K81" s="577">
        <f t="shared" si="27"/>
        <v>0</v>
      </c>
      <c r="M81" s="597" t="s">
        <v>254</v>
      </c>
      <c r="N81" s="574" t="s">
        <v>296</v>
      </c>
      <c r="O81" s="936">
        <v>0</v>
      </c>
      <c r="P81" s="936">
        <v>0</v>
      </c>
      <c r="Q81" s="936">
        <v>0</v>
      </c>
      <c r="R81" s="936">
        <v>0</v>
      </c>
      <c r="S81" s="936">
        <v>0</v>
      </c>
      <c r="T81" s="936">
        <v>0</v>
      </c>
      <c r="U81" s="936">
        <v>0</v>
      </c>
      <c r="V81" s="936">
        <v>0</v>
      </c>
    </row>
    <row r="82" spans="2:22" x14ac:dyDescent="0.3">
      <c r="B82" s="597" t="s">
        <v>429</v>
      </c>
      <c r="C82" s="574" t="s">
        <v>296</v>
      </c>
      <c r="D82" s="577">
        <f t="shared" si="20"/>
        <v>0</v>
      </c>
      <c r="E82" s="577">
        <f t="shared" si="21"/>
        <v>0</v>
      </c>
      <c r="F82" s="577">
        <f t="shared" si="22"/>
        <v>0</v>
      </c>
      <c r="G82" s="577">
        <f t="shared" si="23"/>
        <v>0</v>
      </c>
      <c r="H82" s="577">
        <f t="shared" si="24"/>
        <v>0</v>
      </c>
      <c r="I82" s="577">
        <f t="shared" si="25"/>
        <v>0</v>
      </c>
      <c r="J82" s="577">
        <f t="shared" si="26"/>
        <v>0</v>
      </c>
      <c r="K82" s="577">
        <f t="shared" si="27"/>
        <v>0</v>
      </c>
      <c r="M82" s="597" t="s">
        <v>429</v>
      </c>
      <c r="N82" s="574" t="s">
        <v>296</v>
      </c>
      <c r="O82" s="936">
        <v>0</v>
      </c>
      <c r="P82" s="936">
        <v>0</v>
      </c>
      <c r="Q82" s="936">
        <v>0</v>
      </c>
      <c r="R82" s="936">
        <v>0</v>
      </c>
      <c r="S82" s="936">
        <v>0</v>
      </c>
      <c r="T82" s="936">
        <v>0</v>
      </c>
      <c r="U82" s="936">
        <v>0</v>
      </c>
      <c r="V82" s="936">
        <v>0</v>
      </c>
    </row>
    <row r="83" spans="2:22" x14ac:dyDescent="0.3">
      <c r="B83" s="597" t="s">
        <v>430</v>
      </c>
      <c r="C83" s="574" t="s">
        <v>296</v>
      </c>
      <c r="D83" s="577">
        <f t="shared" si="20"/>
        <v>0</v>
      </c>
      <c r="E83" s="577">
        <f t="shared" si="21"/>
        <v>0</v>
      </c>
      <c r="F83" s="577">
        <f t="shared" si="22"/>
        <v>-5.5080000000000009</v>
      </c>
      <c r="G83" s="577">
        <f t="shared" si="23"/>
        <v>-5.5440000000000005</v>
      </c>
      <c r="H83" s="577">
        <f t="shared" si="24"/>
        <v>-5.6880000000000006</v>
      </c>
      <c r="I83" s="577">
        <f t="shared" si="25"/>
        <v>-5.7960000000000012</v>
      </c>
      <c r="J83" s="577">
        <f t="shared" si="26"/>
        <v>-5.94</v>
      </c>
      <c r="K83" s="577">
        <f t="shared" si="27"/>
        <v>-6.0480000000000009</v>
      </c>
      <c r="M83" s="597" t="s">
        <v>430</v>
      </c>
      <c r="N83" s="574" t="s">
        <v>296</v>
      </c>
      <c r="O83" s="936">
        <v>4.9320000000000004</v>
      </c>
      <c r="P83" s="936">
        <v>5.2560000000000002</v>
      </c>
      <c r="Q83" s="936">
        <v>0</v>
      </c>
      <c r="R83" s="936">
        <v>0</v>
      </c>
      <c r="S83" s="936">
        <v>0</v>
      </c>
      <c r="T83" s="936">
        <v>0</v>
      </c>
      <c r="U83" s="936">
        <v>0</v>
      </c>
      <c r="V83" s="936">
        <v>0</v>
      </c>
    </row>
    <row r="84" spans="2:22" x14ac:dyDescent="0.3">
      <c r="B84" s="597" t="s">
        <v>406</v>
      </c>
      <c r="C84" s="574" t="s">
        <v>296</v>
      </c>
      <c r="D84" s="577">
        <f t="shared" si="20"/>
        <v>0</v>
      </c>
      <c r="E84" s="577">
        <f t="shared" si="21"/>
        <v>-1.1925000000000026</v>
      </c>
      <c r="F84" s="577">
        <f t="shared" si="22"/>
        <v>-1.2240000000000002</v>
      </c>
      <c r="G84" s="577">
        <f t="shared" si="23"/>
        <v>-1.2347999999999999</v>
      </c>
      <c r="H84" s="577">
        <f t="shared" si="24"/>
        <v>-6.1866000000000003</v>
      </c>
      <c r="I84" s="577">
        <f t="shared" si="25"/>
        <v>-8.6624999999999996</v>
      </c>
      <c r="J84" s="577">
        <f t="shared" si="26"/>
        <v>-18.5625</v>
      </c>
      <c r="K84" s="577">
        <f t="shared" si="27"/>
        <v>-18.5625</v>
      </c>
      <c r="M84" s="597" t="s">
        <v>406</v>
      </c>
      <c r="N84" s="574" t="s">
        <v>296</v>
      </c>
      <c r="O84" s="936">
        <v>1.4400000000000002</v>
      </c>
      <c r="P84" s="936">
        <v>16.695</v>
      </c>
      <c r="Q84" s="936">
        <v>17.135999999999999</v>
      </c>
      <c r="R84" s="936">
        <v>17.287200000000002</v>
      </c>
      <c r="S84" s="936">
        <v>12.373199999999999</v>
      </c>
      <c r="T84" s="936">
        <v>9.9</v>
      </c>
      <c r="U84" s="936"/>
      <c r="V84" s="936"/>
    </row>
    <row r="85" spans="2:22" x14ac:dyDescent="0.3">
      <c r="B85" s="623" t="s">
        <v>45</v>
      </c>
      <c r="C85" s="623" t="s">
        <v>296</v>
      </c>
      <c r="D85" s="630">
        <f t="shared" si="20"/>
        <v>0</v>
      </c>
      <c r="E85" s="630">
        <f t="shared" si="21"/>
        <v>0</v>
      </c>
      <c r="F85" s="630">
        <f t="shared" si="22"/>
        <v>0</v>
      </c>
      <c r="G85" s="630">
        <f t="shared" si="23"/>
        <v>0</v>
      </c>
      <c r="H85" s="630">
        <f t="shared" si="24"/>
        <v>0</v>
      </c>
      <c r="I85" s="630">
        <f t="shared" si="25"/>
        <v>0</v>
      </c>
      <c r="J85" s="630">
        <f t="shared" si="26"/>
        <v>0</v>
      </c>
      <c r="K85" s="630">
        <f t="shared" si="27"/>
        <v>0</v>
      </c>
      <c r="M85" s="623" t="s">
        <v>45</v>
      </c>
      <c r="N85" s="623" t="s">
        <v>296</v>
      </c>
      <c r="O85" s="937"/>
      <c r="P85" s="937"/>
      <c r="Q85" s="937"/>
      <c r="R85" s="937"/>
      <c r="S85" s="937"/>
      <c r="T85" s="937"/>
      <c r="U85" s="937"/>
      <c r="V85" s="937"/>
    </row>
    <row r="86" spans="2:22" x14ac:dyDescent="0.3">
      <c r="B86" s="597" t="s">
        <v>431</v>
      </c>
      <c r="C86" s="574" t="s">
        <v>296</v>
      </c>
      <c r="D86" s="577">
        <f>O86-D26</f>
        <v>-1.875</v>
      </c>
      <c r="E86" s="577">
        <f t="shared" ref="E86:K86" si="29">P86-E26</f>
        <v>-1.875</v>
      </c>
      <c r="F86" s="577">
        <f t="shared" si="29"/>
        <v>-1.875</v>
      </c>
      <c r="G86" s="577">
        <f t="shared" si="29"/>
        <v>-1.875</v>
      </c>
      <c r="H86" s="577">
        <f t="shared" si="29"/>
        <v>-3</v>
      </c>
      <c r="I86" s="577">
        <f t="shared" si="29"/>
        <v>-3</v>
      </c>
      <c r="J86" s="577">
        <f t="shared" si="29"/>
        <v>-3</v>
      </c>
      <c r="K86" s="577">
        <f t="shared" si="29"/>
        <v>-3</v>
      </c>
      <c r="M86" s="597" t="s">
        <v>431</v>
      </c>
      <c r="N86" s="574" t="s">
        <v>296</v>
      </c>
      <c r="O86" s="936">
        <v>35.625</v>
      </c>
      <c r="P86" s="936">
        <v>35.625</v>
      </c>
      <c r="Q86" s="936">
        <v>35.625</v>
      </c>
      <c r="R86" s="936">
        <v>35.625</v>
      </c>
      <c r="S86" s="936">
        <v>46.5</v>
      </c>
      <c r="T86" s="936">
        <v>46.5</v>
      </c>
      <c r="U86" s="936">
        <v>46.5</v>
      </c>
      <c r="V86" s="936">
        <v>46.5</v>
      </c>
    </row>
    <row r="87" spans="2:22" x14ac:dyDescent="0.3">
      <c r="B87" s="597" t="s">
        <v>432</v>
      </c>
      <c r="C87" s="574" t="s">
        <v>296</v>
      </c>
      <c r="D87" s="577">
        <f t="shared" ref="D87:K87" si="30">O87-D27</f>
        <v>9.375</v>
      </c>
      <c r="E87" s="577">
        <f t="shared" si="30"/>
        <v>9.375</v>
      </c>
      <c r="F87" s="577">
        <f t="shared" si="30"/>
        <v>9.375</v>
      </c>
      <c r="G87" s="577">
        <f t="shared" si="30"/>
        <v>9.375</v>
      </c>
      <c r="H87" s="577">
        <f t="shared" si="30"/>
        <v>-9.75</v>
      </c>
      <c r="I87" s="577">
        <f t="shared" si="30"/>
        <v>-9.75</v>
      </c>
      <c r="J87" s="577">
        <f t="shared" si="30"/>
        <v>-9.75</v>
      </c>
      <c r="K87" s="577">
        <f t="shared" si="30"/>
        <v>-9.75</v>
      </c>
      <c r="M87" s="597" t="s">
        <v>432</v>
      </c>
      <c r="N87" s="574" t="s">
        <v>296</v>
      </c>
      <c r="O87" s="936">
        <v>13.125</v>
      </c>
      <c r="P87" s="936">
        <v>13.125</v>
      </c>
      <c r="Q87" s="936">
        <v>13.125</v>
      </c>
      <c r="R87" s="936">
        <v>13.125</v>
      </c>
      <c r="S87" s="936"/>
      <c r="T87" s="936"/>
      <c r="U87" s="936"/>
      <c r="V87" s="936"/>
    </row>
    <row r="88" spans="2:22" x14ac:dyDescent="0.3">
      <c r="B88" s="597" t="s">
        <v>433</v>
      </c>
      <c r="C88" s="574" t="s">
        <v>296</v>
      </c>
      <c r="D88" s="577">
        <f t="shared" ref="D88:K88" si="31">O88-D28</f>
        <v>0</v>
      </c>
      <c r="E88" s="577">
        <f t="shared" si="31"/>
        <v>0</v>
      </c>
      <c r="F88" s="577">
        <f t="shared" si="31"/>
        <v>0</v>
      </c>
      <c r="G88" s="577">
        <f t="shared" si="31"/>
        <v>0</v>
      </c>
      <c r="H88" s="577">
        <f t="shared" si="31"/>
        <v>1.1500000000000001</v>
      </c>
      <c r="I88" s="577">
        <f t="shared" si="31"/>
        <v>1.1500000000000001</v>
      </c>
      <c r="J88" s="577">
        <f t="shared" si="31"/>
        <v>1.1500000000000001</v>
      </c>
      <c r="K88" s="577">
        <f t="shared" si="31"/>
        <v>1.1500000000000001</v>
      </c>
      <c r="M88" s="597" t="s">
        <v>433</v>
      </c>
      <c r="N88" s="574" t="s">
        <v>296</v>
      </c>
      <c r="O88" s="936">
        <v>12.8</v>
      </c>
      <c r="P88" s="936">
        <v>12.8</v>
      </c>
      <c r="Q88" s="936">
        <v>12.8</v>
      </c>
      <c r="R88" s="936">
        <v>12.8</v>
      </c>
      <c r="S88" s="936">
        <v>1.35</v>
      </c>
      <c r="T88" s="936">
        <v>1.35</v>
      </c>
      <c r="U88" s="936">
        <v>1.35</v>
      </c>
      <c r="V88" s="936">
        <v>1.35</v>
      </c>
    </row>
    <row r="89" spans="2:22" x14ac:dyDescent="0.3">
      <c r="B89" s="597" t="s">
        <v>434</v>
      </c>
      <c r="C89" s="574" t="s">
        <v>296</v>
      </c>
      <c r="D89" s="577">
        <f t="shared" ref="D89:K89" si="32">O89-D29</f>
        <v>1.125</v>
      </c>
      <c r="E89" s="577">
        <f t="shared" si="32"/>
        <v>1.125</v>
      </c>
      <c r="F89" s="577">
        <f t="shared" si="32"/>
        <v>1.125</v>
      </c>
      <c r="G89" s="577">
        <f t="shared" si="32"/>
        <v>1.125</v>
      </c>
      <c r="H89" s="577">
        <f t="shared" si="32"/>
        <v>0</v>
      </c>
      <c r="I89" s="577">
        <f t="shared" si="32"/>
        <v>0</v>
      </c>
      <c r="J89" s="577">
        <f t="shared" si="32"/>
        <v>0</v>
      </c>
      <c r="K89" s="577">
        <f t="shared" si="32"/>
        <v>0</v>
      </c>
      <c r="M89" s="597" t="s">
        <v>434</v>
      </c>
      <c r="N89" s="574" t="s">
        <v>296</v>
      </c>
      <c r="O89" s="577">
        <v>2</v>
      </c>
      <c r="P89" s="577">
        <v>2</v>
      </c>
      <c r="Q89" s="577">
        <v>2</v>
      </c>
      <c r="R89" s="577">
        <v>2</v>
      </c>
      <c r="S89" s="577"/>
      <c r="T89" s="577"/>
      <c r="U89" s="577"/>
      <c r="V89" s="577"/>
    </row>
    <row r="90" spans="2:22" x14ac:dyDescent="0.3">
      <c r="B90" s="601" t="s">
        <v>787</v>
      </c>
      <c r="C90" s="574" t="s">
        <v>628</v>
      </c>
      <c r="D90" s="577">
        <f t="shared" ref="D90:K90" si="33">O90-D30</f>
        <v>0</v>
      </c>
      <c r="E90" s="577">
        <f t="shared" si="33"/>
        <v>-359.29999999999927</v>
      </c>
      <c r="F90" s="577">
        <f t="shared" si="33"/>
        <v>-786.19999999999982</v>
      </c>
      <c r="G90" s="577">
        <f t="shared" si="33"/>
        <v>-1245.3000000000002</v>
      </c>
      <c r="H90" s="577">
        <f t="shared" si="33"/>
        <v>-1660.9000000000005</v>
      </c>
      <c r="I90" s="577">
        <f t="shared" si="33"/>
        <v>-2196.2000000000007</v>
      </c>
      <c r="J90" s="577">
        <f t="shared" si="33"/>
        <v>-2550.3000000000006</v>
      </c>
      <c r="K90" s="577">
        <f t="shared" si="33"/>
        <v>-3007.5000000000005</v>
      </c>
      <c r="M90" s="601" t="s">
        <v>787</v>
      </c>
      <c r="N90" s="574" t="s">
        <v>628</v>
      </c>
      <c r="O90" s="798">
        <v>6119.2</v>
      </c>
      <c r="P90" s="798">
        <v>5835.0000000000009</v>
      </c>
      <c r="Q90" s="798">
        <v>5602.3000000000011</v>
      </c>
      <c r="R90" s="798">
        <v>5439.2000000000007</v>
      </c>
      <c r="S90" s="798">
        <v>5020.3999999999996</v>
      </c>
      <c r="T90" s="798">
        <v>4455.2</v>
      </c>
      <c r="U90" s="798">
        <v>4020.6</v>
      </c>
      <c r="V90" s="798">
        <v>3563.4</v>
      </c>
    </row>
    <row r="91" spans="2:22" x14ac:dyDescent="0.3">
      <c r="B91" s="574" t="s">
        <v>308</v>
      </c>
      <c r="C91" s="574" t="s">
        <v>628</v>
      </c>
      <c r="D91" s="577">
        <f t="shared" ref="D91:K91" si="34">O91-D31</f>
        <v>0</v>
      </c>
      <c r="E91" s="577">
        <f t="shared" si="34"/>
        <v>-324.80000000000018</v>
      </c>
      <c r="F91" s="577">
        <f t="shared" si="34"/>
        <v>-475.70000000000027</v>
      </c>
      <c r="G91" s="577">
        <f t="shared" si="34"/>
        <v>-762.30000000000018</v>
      </c>
      <c r="H91" s="577">
        <f t="shared" si="34"/>
        <v>-936.40000000000009</v>
      </c>
      <c r="I91" s="577">
        <f t="shared" si="34"/>
        <v>-1057.6999999999996</v>
      </c>
      <c r="J91" s="577">
        <f t="shared" si="34"/>
        <v>-1170.2999999999997</v>
      </c>
      <c r="K91" s="577">
        <f t="shared" si="34"/>
        <v>-1213.5</v>
      </c>
      <c r="M91" s="574" t="s">
        <v>308</v>
      </c>
      <c r="N91" s="574" t="s">
        <v>628</v>
      </c>
      <c r="O91" s="799">
        <v>2496.7000000000003</v>
      </c>
      <c r="P91" s="799">
        <v>2178</v>
      </c>
      <c r="Q91" s="799">
        <v>1910.7999999999997</v>
      </c>
      <c r="R91" s="799">
        <v>1540.6999999999998</v>
      </c>
      <c r="S91" s="799">
        <v>1259.9000000000001</v>
      </c>
      <c r="T91" s="799">
        <v>1108.7</v>
      </c>
      <c r="U91" s="799">
        <v>846.6</v>
      </c>
      <c r="V91" s="799">
        <v>803.4</v>
      </c>
    </row>
    <row r="92" spans="2:22" x14ac:dyDescent="0.3">
      <c r="B92" s="574" t="s">
        <v>308</v>
      </c>
      <c r="C92" s="574" t="s">
        <v>296</v>
      </c>
      <c r="D92" s="577">
        <f t="shared" ref="D92:K92" si="35">O92-D32</f>
        <v>0</v>
      </c>
      <c r="E92" s="577">
        <f t="shared" si="35"/>
        <v>-4.8719999999999999</v>
      </c>
      <c r="F92" s="577">
        <f t="shared" si="35"/>
        <v>-9.4569160000000068</v>
      </c>
      <c r="G92" s="577">
        <f t="shared" si="35"/>
        <v>-18.866925000000009</v>
      </c>
      <c r="H92" s="577">
        <f t="shared" si="35"/>
        <v>-28.091999999999999</v>
      </c>
      <c r="I92" s="577">
        <f t="shared" si="35"/>
        <v>-37.019499999999987</v>
      </c>
      <c r="J92" s="577">
        <f t="shared" si="35"/>
        <v>-46.812000000000005</v>
      </c>
      <c r="K92" s="577">
        <f t="shared" si="35"/>
        <v>-54.607499999999995</v>
      </c>
      <c r="M92" s="574" t="s">
        <v>308</v>
      </c>
      <c r="N92" s="574" t="s">
        <v>296</v>
      </c>
      <c r="O92" s="799">
        <f>O91*D$3/1000</f>
        <v>25.291571000000005</v>
      </c>
      <c r="P92" s="799">
        <f t="shared" ref="P92:V92" si="36">P91*E$3/1000</f>
        <v>32.67</v>
      </c>
      <c r="Q92" s="799">
        <f t="shared" si="36"/>
        <v>37.986703999999989</v>
      </c>
      <c r="R92" s="799">
        <f t="shared" si="36"/>
        <v>38.132324999999994</v>
      </c>
      <c r="S92" s="799">
        <f t="shared" si="36"/>
        <v>37.796999999999997</v>
      </c>
      <c r="T92" s="799">
        <f>T91*I$3/1000</f>
        <v>38.804499999999997</v>
      </c>
      <c r="U92" s="799">
        <f t="shared" si="36"/>
        <v>33.863999999999997</v>
      </c>
      <c r="V92" s="799">
        <f t="shared" si="36"/>
        <v>36.152999999999999</v>
      </c>
    </row>
    <row r="95" spans="2:22" ht="13.5" customHeight="1" x14ac:dyDescent="0.3">
      <c r="B95" s="179" t="s">
        <v>438</v>
      </c>
      <c r="C95" s="180"/>
      <c r="D95" s="180"/>
      <c r="E95" s="180"/>
      <c r="F95" s="180"/>
      <c r="G95" s="180"/>
      <c r="H95" s="180"/>
      <c r="I95" s="180"/>
      <c r="J95" s="180"/>
      <c r="K95" s="180"/>
    </row>
    <row r="96" spans="2:22" x14ac:dyDescent="0.3">
      <c r="B96" s="183"/>
      <c r="C96" s="183" t="s">
        <v>318</v>
      </c>
      <c r="D96" s="183">
        <v>2015</v>
      </c>
      <c r="E96" s="183">
        <v>2020</v>
      </c>
      <c r="F96" s="183">
        <v>2025</v>
      </c>
      <c r="G96" s="183">
        <v>2030</v>
      </c>
      <c r="H96" s="183">
        <v>2035</v>
      </c>
      <c r="I96" s="183">
        <v>2040</v>
      </c>
      <c r="J96" s="183">
        <v>2045</v>
      </c>
      <c r="K96" s="183">
        <v>2050</v>
      </c>
    </row>
    <row r="97" spans="2:11" x14ac:dyDescent="0.3">
      <c r="B97" s="183"/>
      <c r="C97" s="296">
        <v>1</v>
      </c>
      <c r="D97" s="297">
        <v>2</v>
      </c>
      <c r="E97" s="296">
        <v>3</v>
      </c>
      <c r="F97" s="297">
        <v>4</v>
      </c>
      <c r="G97" s="296">
        <v>5</v>
      </c>
      <c r="H97" s="297">
        <v>6</v>
      </c>
      <c r="I97" s="296">
        <v>7</v>
      </c>
      <c r="J97" s="297">
        <v>8</v>
      </c>
      <c r="K97" s="296">
        <v>9</v>
      </c>
    </row>
    <row r="98" spans="2:11" x14ac:dyDescent="0.3">
      <c r="B98" s="191" t="s">
        <v>231</v>
      </c>
      <c r="C98" s="183">
        <v>1</v>
      </c>
      <c r="D98" s="99">
        <f t="shared" ref="D98:J98" si="37">SUMPRODUCT($O13:$O32,D43:D62)</f>
        <v>0</v>
      </c>
      <c r="E98" s="99">
        <f t="shared" si="37"/>
        <v>0</v>
      </c>
      <c r="F98" s="99">
        <f t="shared" si="37"/>
        <v>0</v>
      </c>
      <c r="G98" s="99">
        <f t="shared" si="37"/>
        <v>0</v>
      </c>
      <c r="H98" s="99">
        <f t="shared" si="37"/>
        <v>0</v>
      </c>
      <c r="I98" s="99">
        <f t="shared" si="37"/>
        <v>0</v>
      </c>
      <c r="J98" s="99">
        <f t="shared" si="37"/>
        <v>0</v>
      </c>
      <c r="K98" s="99">
        <f>SUMPRODUCT($O13:$O32,K43:K62)</f>
        <v>0</v>
      </c>
    </row>
    <row r="99" spans="2:11" x14ac:dyDescent="0.3">
      <c r="B99" s="191" t="s">
        <v>116</v>
      </c>
      <c r="C99" s="183">
        <v>2</v>
      </c>
      <c r="D99" s="99">
        <f t="shared" ref="D99:K99" si="38">SUMPRODUCT($P13:$P32,D43:D62)</f>
        <v>0</v>
      </c>
      <c r="E99" s="99">
        <f t="shared" si="38"/>
        <v>1.9439999999999884</v>
      </c>
      <c r="F99" s="99">
        <f t="shared" si="38"/>
        <v>-10.395047619047631</v>
      </c>
      <c r="G99" s="99">
        <f t="shared" si="38"/>
        <v>-21.257142857142824</v>
      </c>
      <c r="H99" s="99">
        <f t="shared" si="38"/>
        <v>-40.503047619047578</v>
      </c>
      <c r="I99" s="99">
        <f t="shared" si="38"/>
        <v>-58.69999999999996</v>
      </c>
      <c r="J99" s="99">
        <f t="shared" si="38"/>
        <v>-81.649523809523771</v>
      </c>
      <c r="K99" s="99">
        <f t="shared" si="38"/>
        <v>-85.919047619047575</v>
      </c>
    </row>
    <row r="100" spans="2:11" x14ac:dyDescent="0.3">
      <c r="B100" s="191" t="s">
        <v>417</v>
      </c>
      <c r="C100" s="183">
        <v>4</v>
      </c>
      <c r="D100" s="99">
        <f t="shared" ref="D100:K100" si="39">SUMPRODUCT($Q13:$Q32,D43:D62)</f>
        <v>0</v>
      </c>
      <c r="E100" s="99">
        <f t="shared" si="39"/>
        <v>0</v>
      </c>
      <c r="F100" s="99">
        <f t="shared" si="39"/>
        <v>0</v>
      </c>
      <c r="G100" s="99">
        <f t="shared" si="39"/>
        <v>-2.1564000000000005</v>
      </c>
      <c r="H100" s="99">
        <f t="shared" si="39"/>
        <v>-1.67</v>
      </c>
      <c r="I100" s="99">
        <f t="shared" si="39"/>
        <v>-3.6000000000000005</v>
      </c>
      <c r="J100" s="99">
        <f t="shared" si="39"/>
        <v>-3.88</v>
      </c>
      <c r="K100" s="99">
        <f t="shared" si="39"/>
        <v>-4.18</v>
      </c>
    </row>
    <row r="101" spans="2:11" x14ac:dyDescent="0.3">
      <c r="B101" s="191" t="s">
        <v>124</v>
      </c>
      <c r="C101" s="183">
        <v>10</v>
      </c>
      <c r="D101" s="99">
        <f t="shared" ref="D101:K101" si="40">SUMPRODUCT($R13:$R32,D$43:D$62)</f>
        <v>0</v>
      </c>
      <c r="E101" s="99">
        <f t="shared" si="40"/>
        <v>-15.336000000000006</v>
      </c>
      <c r="F101" s="99">
        <f t="shared" si="40"/>
        <v>-16.142399999999999</v>
      </c>
      <c r="G101" s="99">
        <f t="shared" si="40"/>
        <v>-20.52</v>
      </c>
      <c r="H101" s="99">
        <f t="shared" si="40"/>
        <v>-8.64</v>
      </c>
      <c r="I101" s="99">
        <f t="shared" si="40"/>
        <v>-13.737599999999999</v>
      </c>
      <c r="J101" s="99">
        <f t="shared" si="40"/>
        <v>0</v>
      </c>
      <c r="K101" s="99">
        <f t="shared" si="40"/>
        <v>0</v>
      </c>
    </row>
    <row r="102" spans="2:11" x14ac:dyDescent="0.3">
      <c r="B102" s="191" t="s">
        <v>315</v>
      </c>
      <c r="C102" s="183">
        <v>26</v>
      </c>
      <c r="D102" s="99">
        <f t="shared" ref="D102:K102" si="41">SUMPRODUCT($S13:$S32,D$43:D$62)</f>
        <v>-4.4289941176470601E-2</v>
      </c>
      <c r="E102" s="99">
        <f t="shared" si="41"/>
        <v>-0.28627707097435007</v>
      </c>
      <c r="F102" s="99">
        <f t="shared" si="41"/>
        <v>-0.5654031336058214</v>
      </c>
      <c r="G102" s="99">
        <f t="shared" si="41"/>
        <v>-0.88706906851637157</v>
      </c>
      <c r="H102" s="99">
        <f t="shared" si="41"/>
        <v>-0.67871862696932173</v>
      </c>
      <c r="I102" s="99">
        <f t="shared" si="41"/>
        <v>-0.56121962286648053</v>
      </c>
      <c r="J102" s="99">
        <f t="shared" si="41"/>
        <v>-0.42150516945725069</v>
      </c>
      <c r="K102" s="99">
        <f t="shared" si="41"/>
        <v>-0.25684326907997068</v>
      </c>
    </row>
    <row r="103" spans="2:11" x14ac:dyDescent="0.3">
      <c r="B103" s="191" t="s">
        <v>38</v>
      </c>
      <c r="C103" s="183">
        <v>29</v>
      </c>
      <c r="D103" s="99">
        <f t="shared" ref="D103:K103" si="42">SUMPRODUCT($T13:$T32,D43:D62)</f>
        <v>2.0249999999999999</v>
      </c>
      <c r="E103" s="99">
        <f t="shared" si="42"/>
        <v>2.0249999999999999</v>
      </c>
      <c r="F103" s="99">
        <f t="shared" si="42"/>
        <v>2.0249999999999999</v>
      </c>
      <c r="G103" s="99">
        <f t="shared" si="42"/>
        <v>2.0249999999999999</v>
      </c>
      <c r="H103" s="99">
        <f t="shared" si="42"/>
        <v>-2.3249999999999997</v>
      </c>
      <c r="I103" s="99">
        <f t="shared" si="42"/>
        <v>-2.3249999999999997</v>
      </c>
      <c r="J103" s="99">
        <f t="shared" si="42"/>
        <v>-2.3249999999999997</v>
      </c>
      <c r="K103" s="99">
        <f t="shared" si="42"/>
        <v>-2.3249999999999997</v>
      </c>
    </row>
    <row r="104" spans="2:11" x14ac:dyDescent="0.3">
      <c r="B104" s="191"/>
      <c r="C104" s="183"/>
      <c r="D104" s="99"/>
      <c r="E104" s="99"/>
      <c r="F104" s="99"/>
      <c r="G104" s="99"/>
      <c r="H104" s="99"/>
      <c r="I104" s="99"/>
      <c r="J104" s="99"/>
      <c r="K104" s="99"/>
    </row>
    <row r="105" spans="2:11" x14ac:dyDescent="0.3">
      <c r="B105" s="94" t="s">
        <v>25</v>
      </c>
      <c r="C105" s="183">
        <v>103</v>
      </c>
      <c r="D105" s="99">
        <f t="shared" ref="D105:K105" si="43">SUMPRODUCT($U13:$U32,D$43:D$62)</f>
        <v>1.9750000000000001</v>
      </c>
      <c r="E105" s="99">
        <f t="shared" si="43"/>
        <v>-13.919900000000014</v>
      </c>
      <c r="F105" s="99">
        <f t="shared" si="43"/>
        <v>-21.821000000000002</v>
      </c>
      <c r="G105" s="99">
        <f t="shared" si="43"/>
        <v>-29.672599999999974</v>
      </c>
      <c r="H105" s="99">
        <f t="shared" si="43"/>
        <v>-44.477599999999974</v>
      </c>
      <c r="I105" s="99">
        <f t="shared" si="43"/>
        <v>-56.207300000000011</v>
      </c>
      <c r="J105" s="99">
        <f t="shared" si="43"/>
        <v>-78.660500000000027</v>
      </c>
      <c r="K105" s="99">
        <f t="shared" si="43"/>
        <v>-101.31350000000002</v>
      </c>
    </row>
    <row r="107" spans="2:11" x14ac:dyDescent="0.3">
      <c r="B107" s="179" t="s">
        <v>439</v>
      </c>
      <c r="C107" s="180"/>
      <c r="D107" s="180"/>
      <c r="E107" s="180"/>
      <c r="F107" s="180"/>
      <c r="G107" s="180"/>
      <c r="H107" s="180"/>
      <c r="I107" s="180"/>
      <c r="J107" s="180"/>
      <c r="K107" s="180"/>
    </row>
    <row r="108" spans="2:11" x14ac:dyDescent="0.3">
      <c r="B108" s="183"/>
      <c r="C108" s="183" t="s">
        <v>318</v>
      </c>
      <c r="D108" s="183">
        <v>2015</v>
      </c>
      <c r="E108" s="183">
        <v>2020</v>
      </c>
      <c r="F108" s="183">
        <v>2025</v>
      </c>
      <c r="G108" s="183">
        <v>2030</v>
      </c>
      <c r="H108" s="183">
        <v>2035</v>
      </c>
      <c r="I108" s="183">
        <v>2040</v>
      </c>
      <c r="J108" s="183">
        <v>2045</v>
      </c>
      <c r="K108" s="183">
        <v>2050</v>
      </c>
    </row>
    <row r="109" spans="2:11" x14ac:dyDescent="0.3">
      <c r="B109" s="183"/>
      <c r="C109" s="296">
        <v>1</v>
      </c>
      <c r="D109" s="297">
        <v>2</v>
      </c>
      <c r="E109" s="296">
        <v>3</v>
      </c>
      <c r="F109" s="297">
        <v>4</v>
      </c>
      <c r="G109" s="296">
        <v>5</v>
      </c>
      <c r="H109" s="297">
        <v>6</v>
      </c>
      <c r="I109" s="296">
        <v>7</v>
      </c>
      <c r="J109" s="297">
        <v>8</v>
      </c>
      <c r="K109" s="296">
        <v>9</v>
      </c>
    </row>
    <row r="110" spans="2:11" x14ac:dyDescent="0.3">
      <c r="B110" s="191" t="s">
        <v>231</v>
      </c>
      <c r="C110" s="183">
        <v>1</v>
      </c>
      <c r="D110" s="99">
        <f t="shared" ref="D110:K110" si="44">SUMPRODUCT($O13:$O32,D$73:D$92)</f>
        <v>0</v>
      </c>
      <c r="E110" s="99">
        <f t="shared" si="44"/>
        <v>0</v>
      </c>
      <c r="F110" s="99">
        <f t="shared" si="44"/>
        <v>0</v>
      </c>
      <c r="G110" s="99">
        <f t="shared" si="44"/>
        <v>0</v>
      </c>
      <c r="H110" s="99">
        <f t="shared" si="44"/>
        <v>0</v>
      </c>
      <c r="I110" s="99">
        <f t="shared" si="44"/>
        <v>0</v>
      </c>
      <c r="J110" s="99">
        <f t="shared" si="44"/>
        <v>0</v>
      </c>
      <c r="K110" s="99">
        <f t="shared" si="44"/>
        <v>0</v>
      </c>
    </row>
    <row r="111" spans="2:11" x14ac:dyDescent="0.3">
      <c r="B111" s="191" t="s">
        <v>116</v>
      </c>
      <c r="C111" s="183">
        <v>2</v>
      </c>
      <c r="D111" s="99">
        <f t="shared" ref="D111:K111" si="45">SUMPRODUCT($P13:$P32,D$73:D$92)</f>
        <v>0</v>
      </c>
      <c r="E111" s="99">
        <f t="shared" si="45"/>
        <v>-1.7638095238095275</v>
      </c>
      <c r="F111" s="99">
        <f t="shared" si="45"/>
        <v>-16.317142857142855</v>
      </c>
      <c r="G111" s="99">
        <f t="shared" si="45"/>
        <v>-29.668571428571383</v>
      </c>
      <c r="H111" s="99">
        <f t="shared" si="45"/>
        <v>-44.846476190476139</v>
      </c>
      <c r="I111" s="99">
        <f t="shared" si="45"/>
        <v>-75.246666666666641</v>
      </c>
      <c r="J111" s="99">
        <f t="shared" si="45"/>
        <v>-99.110095238095212</v>
      </c>
      <c r="K111" s="99">
        <f t="shared" si="45"/>
        <v>-135.46495238095235</v>
      </c>
    </row>
    <row r="112" spans="2:11" x14ac:dyDescent="0.3">
      <c r="B112" s="191" t="s">
        <v>417</v>
      </c>
      <c r="C112" s="183">
        <v>4</v>
      </c>
      <c r="D112" s="99">
        <f t="shared" ref="D112:K112" si="46">SUMPRODUCT($Q13:$Q32,D$73:D$92)</f>
        <v>0</v>
      </c>
      <c r="E112" s="99">
        <f t="shared" si="46"/>
        <v>0</v>
      </c>
      <c r="F112" s="99">
        <f t="shared" si="46"/>
        <v>0</v>
      </c>
      <c r="G112" s="99">
        <f t="shared" si="46"/>
        <v>-3.7064000000000012</v>
      </c>
      <c r="H112" s="99">
        <f t="shared" si="46"/>
        <v>-3.34</v>
      </c>
      <c r="I112" s="99">
        <f t="shared" si="46"/>
        <v>-3.6000000000000005</v>
      </c>
      <c r="J112" s="99">
        <f t="shared" si="46"/>
        <v>-3.88</v>
      </c>
      <c r="K112" s="99">
        <f t="shared" si="46"/>
        <v>-4.18</v>
      </c>
    </row>
    <row r="113" spans="2:11" x14ac:dyDescent="0.3">
      <c r="B113" s="191" t="s">
        <v>124</v>
      </c>
      <c r="C113" s="183">
        <v>10</v>
      </c>
      <c r="D113" s="99">
        <f t="shared" ref="D113:K113" si="47">SUMPRODUCT($R13:$R32,D$73:D$92)</f>
        <v>0</v>
      </c>
      <c r="E113" s="99">
        <f t="shared" si="47"/>
        <v>-15.336000000000006</v>
      </c>
      <c r="F113" s="99">
        <f t="shared" si="47"/>
        <v>-29.721600000000002</v>
      </c>
      <c r="G113" s="99">
        <f t="shared" si="47"/>
        <v>-46.584000000000003</v>
      </c>
      <c r="H113" s="99">
        <f t="shared" si="47"/>
        <v>-31.608000000000004</v>
      </c>
      <c r="I113" s="99">
        <f t="shared" si="47"/>
        <v>-28.692</v>
      </c>
      <c r="J113" s="99">
        <f t="shared" si="47"/>
        <v>-5.94</v>
      </c>
      <c r="K113" s="99">
        <f t="shared" si="47"/>
        <v>-6.0480000000000009</v>
      </c>
    </row>
    <row r="114" spans="2:11" x14ac:dyDescent="0.3">
      <c r="B114" s="191" t="s">
        <v>315</v>
      </c>
      <c r="C114" s="183">
        <v>26</v>
      </c>
      <c r="D114" s="99">
        <f t="shared" ref="D114:K114" si="48">SUMPRODUCT($S13:$S32,D$73:D$92)</f>
        <v>-0.1234414117647059</v>
      </c>
      <c r="E114" s="99">
        <f t="shared" si="48"/>
        <v>-0.79788874986613267</v>
      </c>
      <c r="F114" s="99">
        <f t="shared" si="48"/>
        <v>-1.5758467763684902</v>
      </c>
      <c r="G114" s="99">
        <f t="shared" si="48"/>
        <v>-2.4665240098522077</v>
      </c>
      <c r="H114" s="99">
        <f t="shared" si="48"/>
        <v>-1.7072971160089607</v>
      </c>
      <c r="I114" s="99">
        <f t="shared" si="48"/>
        <v>-1.3180245083033775</v>
      </c>
      <c r="J114" s="99">
        <f t="shared" si="48"/>
        <v>-0.85838543546949708</v>
      </c>
      <c r="K114" s="99">
        <f t="shared" si="48"/>
        <v>-0.31982854732745736</v>
      </c>
    </row>
    <row r="115" spans="2:11" x14ac:dyDescent="0.3">
      <c r="B115" s="191" t="s">
        <v>38</v>
      </c>
      <c r="C115" s="183">
        <v>29</v>
      </c>
      <c r="D115" s="99">
        <f t="shared" ref="D115:K115" si="49">SUMPRODUCT($T13:$T32,D$73:D$92)</f>
        <v>4.7062499999999998</v>
      </c>
      <c r="E115" s="99">
        <f t="shared" si="49"/>
        <v>4.7062499999999998</v>
      </c>
      <c r="F115" s="99">
        <f t="shared" si="49"/>
        <v>4.7062499999999998</v>
      </c>
      <c r="G115" s="99">
        <f t="shared" si="49"/>
        <v>4.7062499999999998</v>
      </c>
      <c r="H115" s="99">
        <f t="shared" si="49"/>
        <v>-5.4649999999999999</v>
      </c>
      <c r="I115" s="99">
        <f t="shared" si="49"/>
        <v>-5.4649999999999999</v>
      </c>
      <c r="J115" s="99">
        <f t="shared" si="49"/>
        <v>-5.4649999999999999</v>
      </c>
      <c r="K115" s="99">
        <f t="shared" si="49"/>
        <v>-5.4649999999999999</v>
      </c>
    </row>
    <row r="116" spans="2:11" x14ac:dyDescent="0.3">
      <c r="B116" s="191"/>
      <c r="C116" s="183"/>
      <c r="D116" s="99"/>
      <c r="E116" s="99"/>
      <c r="F116" s="99"/>
      <c r="G116" s="99"/>
      <c r="H116" s="99"/>
      <c r="I116" s="99"/>
      <c r="J116" s="99"/>
      <c r="K116" s="99"/>
    </row>
    <row r="117" spans="2:11" x14ac:dyDescent="0.3">
      <c r="B117" s="94" t="s">
        <v>25</v>
      </c>
      <c r="C117" s="183">
        <v>103</v>
      </c>
      <c r="D117" s="99">
        <f t="shared" ref="D117:J117" si="50">SUMPRODUCT($U13:$U32,D$73:D$92)</f>
        <v>3.9187500000000002</v>
      </c>
      <c r="E117" s="99">
        <f t="shared" si="50"/>
        <v>-26.678550000000026</v>
      </c>
      <c r="F117" s="99">
        <f t="shared" si="50"/>
        <v>-38.687250000000006</v>
      </c>
      <c r="G117" s="99">
        <f t="shared" si="50"/>
        <v>-54.340049999999998</v>
      </c>
      <c r="H117" s="99">
        <f t="shared" si="50"/>
        <v>-98.649600000000007</v>
      </c>
      <c r="I117" s="99">
        <f t="shared" si="50"/>
        <v>-125.9943</v>
      </c>
      <c r="J117" s="99">
        <f t="shared" si="50"/>
        <v>-140.5275</v>
      </c>
      <c r="K117" s="99">
        <f>SUMPRODUCT($U13:$U32,K$73:K$92)</f>
        <v>-159.31950000000001</v>
      </c>
    </row>
  </sheetData>
  <conditionalFormatting sqref="V13">
    <cfRule type="cellIs" dxfId="18" priority="5" operator="lessThan">
      <formula>1</formula>
    </cfRule>
    <cfRule type="cellIs" dxfId="17" priority="6" operator="greaterThan">
      <formula>1</formula>
    </cfRule>
  </conditionalFormatting>
  <conditionalFormatting sqref="V26:V29 V15:V24">
    <cfRule type="cellIs" dxfId="16" priority="7" operator="lessThan">
      <formula>1</formula>
    </cfRule>
    <cfRule type="cellIs" dxfId="15" priority="8" operator="greaterThan">
      <formula>1</formula>
    </cfRule>
  </conditionalFormatting>
  <hyperlinks>
    <hyperlink ref="A1" location="Tiitel!A1" display="Tiitel"/>
  </hyperlink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eht6">
    <tabColor theme="5" tint="-0.249977111117893"/>
  </sheetPr>
  <dimension ref="A1:AN108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7" sqref="L17"/>
    </sheetView>
  </sheetViews>
  <sheetFormatPr defaultColWidth="9.109375" defaultRowHeight="13.8" x14ac:dyDescent="0.3"/>
  <cols>
    <col min="1" max="1" width="2.6640625" style="3" customWidth="1"/>
    <col min="2" max="2" width="36.109375" style="3" customWidth="1"/>
    <col min="3" max="11" width="9.109375" style="3"/>
    <col min="12" max="12" width="17.44140625" style="3" customWidth="1"/>
    <col min="13" max="13" width="12.33203125" style="3" customWidth="1"/>
    <col min="14" max="16384" width="9.109375" style="3"/>
  </cols>
  <sheetData>
    <row r="1" spans="1:34" x14ac:dyDescent="0.3">
      <c r="A1" s="786" t="s">
        <v>338</v>
      </c>
    </row>
    <row r="2" spans="1:34" ht="15.6" x14ac:dyDescent="0.3">
      <c r="B2" s="860" t="s">
        <v>357</v>
      </c>
    </row>
    <row r="3" spans="1:34" x14ac:dyDescent="0.3">
      <c r="B3" s="42" t="s">
        <v>370</v>
      </c>
      <c r="C3" s="238"/>
    </row>
    <row r="4" spans="1:34" x14ac:dyDescent="0.3">
      <c r="B4" s="239"/>
      <c r="C4" s="714"/>
      <c r="D4" s="244"/>
      <c r="E4" s="244"/>
      <c r="F4" s="244"/>
      <c r="G4" s="244"/>
      <c r="M4" s="73" t="s">
        <v>510</v>
      </c>
    </row>
    <row r="5" spans="1:34" ht="57" customHeight="1" x14ac:dyDescent="0.3">
      <c r="B5" s="7" t="s">
        <v>369</v>
      </c>
      <c r="D5" s="238" t="s">
        <v>702</v>
      </c>
      <c r="E5" s="136"/>
      <c r="F5" s="136"/>
      <c r="G5" s="136"/>
      <c r="H5" s="136"/>
      <c r="I5" s="136"/>
      <c r="J5" s="136"/>
      <c r="K5" s="136"/>
      <c r="M5" s="1023" t="s">
        <v>133</v>
      </c>
      <c r="N5" s="1023" t="s">
        <v>285</v>
      </c>
      <c r="O5" s="1023" t="s">
        <v>315</v>
      </c>
      <c r="P5" s="1023" t="s">
        <v>38</v>
      </c>
      <c r="Q5" s="1023" t="s">
        <v>136</v>
      </c>
      <c r="R5" s="1023" t="s">
        <v>360</v>
      </c>
      <c r="S5" s="1023" t="s">
        <v>361</v>
      </c>
      <c r="T5" s="1023" t="s">
        <v>362</v>
      </c>
      <c r="U5" s="1023" t="s">
        <v>363</v>
      </c>
      <c r="V5" s="287" t="s">
        <v>25</v>
      </c>
      <c r="W5" s="246" t="s">
        <v>365</v>
      </c>
    </row>
    <row r="6" spans="1:34" x14ac:dyDescent="0.3">
      <c r="B6" s="170" t="s">
        <v>340</v>
      </c>
      <c r="C6" s="183" t="s">
        <v>293</v>
      </c>
      <c r="D6" s="183">
        <v>2015</v>
      </c>
      <c r="E6" s="183">
        <v>2020</v>
      </c>
      <c r="F6" s="183">
        <v>2025</v>
      </c>
      <c r="G6" s="183">
        <v>2030</v>
      </c>
      <c r="H6" s="183">
        <v>2035</v>
      </c>
      <c r="I6" s="183">
        <v>2040</v>
      </c>
      <c r="J6" s="183">
        <v>2045</v>
      </c>
      <c r="K6" s="183">
        <v>2050</v>
      </c>
      <c r="M6" s="249">
        <v>23</v>
      </c>
      <c r="N6" s="249">
        <v>24</v>
      </c>
      <c r="O6" s="249">
        <v>26</v>
      </c>
      <c r="P6" s="249">
        <v>29</v>
      </c>
      <c r="Q6" s="249">
        <v>30</v>
      </c>
      <c r="R6" s="249">
        <v>31</v>
      </c>
      <c r="S6" s="249">
        <v>32</v>
      </c>
      <c r="T6" s="249">
        <v>33</v>
      </c>
      <c r="U6" s="249">
        <v>55</v>
      </c>
      <c r="V6" s="250">
        <v>103</v>
      </c>
      <c r="W6" s="247"/>
    </row>
    <row r="7" spans="1:34" x14ac:dyDescent="0.3">
      <c r="B7" s="94" t="s">
        <v>341</v>
      </c>
      <c r="C7" s="99"/>
      <c r="D7" s="99"/>
      <c r="E7" s="99"/>
      <c r="F7" s="99"/>
      <c r="G7" s="99"/>
      <c r="H7" s="99"/>
      <c r="I7" s="99"/>
      <c r="J7" s="99"/>
      <c r="K7" s="99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248"/>
    </row>
    <row r="8" spans="1:34" x14ac:dyDescent="0.3">
      <c r="B8" s="240" t="s">
        <v>342</v>
      </c>
      <c r="C8" s="99" t="s">
        <v>343</v>
      </c>
      <c r="D8" s="715">
        <v>11.97</v>
      </c>
      <c r="E8" s="715">
        <v>11.92</v>
      </c>
      <c r="F8" s="715">
        <v>11.88</v>
      </c>
      <c r="G8" s="715">
        <v>11.74</v>
      </c>
      <c r="H8" s="715">
        <v>11.6</v>
      </c>
      <c r="I8" s="715">
        <v>11.47</v>
      </c>
      <c r="J8" s="715">
        <v>11.33</v>
      </c>
      <c r="K8" s="715">
        <v>11.2</v>
      </c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248"/>
    </row>
    <row r="9" spans="1:34" x14ac:dyDescent="0.3">
      <c r="B9" s="240" t="s">
        <v>344</v>
      </c>
      <c r="C9" s="99" t="s">
        <v>343</v>
      </c>
      <c r="D9" s="715">
        <v>4.6900000000000004</v>
      </c>
      <c r="E9" s="715">
        <v>4.83</v>
      </c>
      <c r="F9" s="715">
        <v>4.96</v>
      </c>
      <c r="G9" s="715">
        <v>5.01</v>
      </c>
      <c r="H9" s="715">
        <v>5.0599999999999996</v>
      </c>
      <c r="I9" s="715">
        <v>5.1100000000000003</v>
      </c>
      <c r="J9" s="715">
        <v>5.16</v>
      </c>
      <c r="K9" s="715">
        <v>5.21</v>
      </c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248"/>
    </row>
    <row r="10" spans="1:34" x14ac:dyDescent="0.3">
      <c r="B10" s="144" t="s">
        <v>345</v>
      </c>
      <c r="C10" s="99"/>
      <c r="D10" s="715"/>
      <c r="E10" s="715"/>
      <c r="F10" s="715"/>
      <c r="G10" s="715"/>
      <c r="H10" s="715"/>
      <c r="I10" s="715"/>
      <c r="J10" s="715"/>
      <c r="K10" s="715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248"/>
    </row>
    <row r="11" spans="1:34" x14ac:dyDescent="0.3">
      <c r="B11" s="240" t="s">
        <v>682</v>
      </c>
      <c r="C11" s="99" t="s">
        <v>347</v>
      </c>
      <c r="D11" s="925">
        <v>2.9666666666666668</v>
      </c>
      <c r="E11" s="925">
        <v>6.5</v>
      </c>
      <c r="F11" s="925">
        <v>10.691666666666666</v>
      </c>
      <c r="G11" s="925">
        <v>24.875000000000004</v>
      </c>
      <c r="H11" s="925">
        <v>41.683333333333337</v>
      </c>
      <c r="I11" s="925">
        <v>61.491666666666674</v>
      </c>
      <c r="J11" s="925">
        <v>84.716666666666669</v>
      </c>
      <c r="K11" s="925">
        <v>111.83333333333333</v>
      </c>
      <c r="L11" s="261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248"/>
      <c r="X11" s="713" t="s">
        <v>689</v>
      </c>
      <c r="Z11" s="715">
        <v>0</v>
      </c>
      <c r="AA11" s="715">
        <v>49.533333333333331</v>
      </c>
      <c r="AB11" s="715">
        <v>116.16666666666667</v>
      </c>
      <c r="AC11" s="715">
        <v>195.08333333333334</v>
      </c>
      <c r="AD11" s="715">
        <v>288.16666666666669</v>
      </c>
      <c r="AE11" s="715">
        <v>397.16666666666669</v>
      </c>
      <c r="AF11" s="715">
        <v>524.58333333333337</v>
      </c>
      <c r="AG11" s="715">
        <v>672.66666666666674</v>
      </c>
      <c r="AH11" s="715">
        <v>844.16666666666674</v>
      </c>
    </row>
    <row r="12" spans="1:34" x14ac:dyDescent="0.3">
      <c r="B12" s="240" t="s">
        <v>683</v>
      </c>
      <c r="C12" s="99" t="s">
        <v>347</v>
      </c>
      <c r="D12" s="925">
        <v>-17.683333333333334</v>
      </c>
      <c r="E12" s="925">
        <v>-40.69166666666667</v>
      </c>
      <c r="F12" s="925">
        <v>-70.233333333333334</v>
      </c>
      <c r="G12" s="925">
        <v>-91.966666666666669</v>
      </c>
      <c r="H12" s="925">
        <v>-118.65833333333333</v>
      </c>
      <c r="I12" s="925">
        <v>-151.31666666666669</v>
      </c>
      <c r="J12" s="925">
        <v>-191.125</v>
      </c>
      <c r="K12" s="925">
        <v>-239.5</v>
      </c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248"/>
      <c r="X12" s="3" t="s">
        <v>690</v>
      </c>
      <c r="Z12" s="715">
        <v>0</v>
      </c>
      <c r="AA12" s="715">
        <v>-18.100000000000001</v>
      </c>
      <c r="AB12" s="715">
        <v>-29.908333333333335</v>
      </c>
      <c r="AC12" s="715">
        <v>-44.858333333333334</v>
      </c>
      <c r="AD12" s="715">
        <v>-63.641666666666673</v>
      </c>
      <c r="AE12" s="715">
        <v>-87.083333333333343</v>
      </c>
      <c r="AF12" s="715">
        <v>-116.08333333333334</v>
      </c>
      <c r="AG12" s="715">
        <v>-151.91666666666669</v>
      </c>
      <c r="AH12" s="715">
        <v>-195.91666666666666</v>
      </c>
    </row>
    <row r="13" spans="1:34" x14ac:dyDescent="0.3">
      <c r="B13" s="240" t="s">
        <v>349</v>
      </c>
      <c r="C13" s="99" t="s">
        <v>347</v>
      </c>
      <c r="D13" s="925">
        <v>0.32083333333333336</v>
      </c>
      <c r="E13" s="925">
        <v>0.64166666666666672</v>
      </c>
      <c r="F13" s="925">
        <v>0.96250000000000002</v>
      </c>
      <c r="G13" s="925">
        <v>1.2833333333333334</v>
      </c>
      <c r="H13" s="925">
        <v>1.6041666666666667</v>
      </c>
      <c r="I13" s="925">
        <v>1.925</v>
      </c>
      <c r="J13" s="925">
        <v>2.2458333333333331</v>
      </c>
      <c r="K13" s="925">
        <v>2.5666666666666669</v>
      </c>
      <c r="M13" s="717"/>
      <c r="N13" s="717"/>
      <c r="O13" s="717"/>
      <c r="P13" s="717">
        <v>0.5</v>
      </c>
      <c r="Q13" s="717"/>
      <c r="R13" s="717"/>
      <c r="S13" s="717"/>
      <c r="T13" s="717"/>
      <c r="U13" s="717">
        <v>0.5</v>
      </c>
      <c r="V13" s="717"/>
      <c r="W13" s="248">
        <f>SUM(M13:V13)</f>
        <v>1</v>
      </c>
      <c r="Z13" s="715">
        <v>0</v>
      </c>
      <c r="AA13" s="715">
        <v>1.1500000000000001</v>
      </c>
      <c r="AB13" s="715">
        <v>2.3000000000000003</v>
      </c>
      <c r="AC13" s="715">
        <v>3.4500000000000006</v>
      </c>
      <c r="AD13" s="715">
        <v>4.6000000000000005</v>
      </c>
      <c r="AE13" s="715">
        <v>5.7500000000000009</v>
      </c>
      <c r="AF13" s="715">
        <v>6.9000000000000012</v>
      </c>
      <c r="AG13" s="715">
        <v>8.0500000000000007</v>
      </c>
      <c r="AH13" s="715">
        <v>9.2000000000000011</v>
      </c>
    </row>
    <row r="14" spans="1:34" x14ac:dyDescent="0.3">
      <c r="B14" s="1156" t="s">
        <v>926</v>
      </c>
      <c r="C14" s="1157" t="s">
        <v>347</v>
      </c>
      <c r="D14" s="1157">
        <f t="shared" ref="D14:K14" si="0">SUM(D11:D13)*0.2</f>
        <v>-2.8791666666666669</v>
      </c>
      <c r="E14" s="1157">
        <f t="shared" si="0"/>
        <v>-6.7100000000000009</v>
      </c>
      <c r="F14" s="1157">
        <f t="shared" si="0"/>
        <v>-11.715833333333336</v>
      </c>
      <c r="G14" s="1157">
        <f t="shared" si="0"/>
        <v>-13.161666666666669</v>
      </c>
      <c r="H14" s="1157">
        <f t="shared" si="0"/>
        <v>-15.074166666666665</v>
      </c>
      <c r="I14" s="1157">
        <f t="shared" si="0"/>
        <v>-17.580000000000005</v>
      </c>
      <c r="J14" s="1157">
        <f t="shared" si="0"/>
        <v>-20.8325</v>
      </c>
      <c r="K14" s="1157">
        <f t="shared" si="0"/>
        <v>-25.020000000000003</v>
      </c>
      <c r="M14" s="717"/>
      <c r="N14" s="717"/>
      <c r="O14" s="717"/>
      <c r="P14" s="717"/>
      <c r="Q14" s="717"/>
      <c r="R14" s="717"/>
      <c r="S14" s="717"/>
      <c r="T14" s="717"/>
      <c r="U14" s="717"/>
      <c r="V14" s="717"/>
      <c r="W14" s="248"/>
      <c r="Z14" s="715"/>
      <c r="AA14" s="715"/>
      <c r="AB14" s="715"/>
      <c r="AC14" s="715"/>
      <c r="AD14" s="715"/>
      <c r="AE14" s="715"/>
      <c r="AF14" s="715"/>
      <c r="AG14" s="715"/>
      <c r="AH14" s="715"/>
    </row>
    <row r="15" spans="1:34" x14ac:dyDescent="0.3">
      <c r="B15" s="144" t="s">
        <v>350</v>
      </c>
      <c r="C15" s="99"/>
      <c r="D15" s="925"/>
      <c r="E15" s="925"/>
      <c r="F15" s="925"/>
      <c r="G15" s="925"/>
      <c r="H15" s="925"/>
      <c r="I15" s="925"/>
      <c r="J15" s="925"/>
      <c r="K15" s="925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248"/>
      <c r="Z15" s="715">
        <v>0</v>
      </c>
      <c r="AA15" s="715">
        <v>0</v>
      </c>
      <c r="AB15" s="715">
        <v>0</v>
      </c>
      <c r="AC15" s="715">
        <v>0</v>
      </c>
      <c r="AD15" s="715">
        <v>0</v>
      </c>
      <c r="AE15" s="715">
        <v>0</v>
      </c>
      <c r="AF15" s="715">
        <v>0</v>
      </c>
      <c r="AG15" s="715">
        <v>0</v>
      </c>
      <c r="AH15" s="715">
        <v>0</v>
      </c>
    </row>
    <row r="16" spans="1:34" x14ac:dyDescent="0.3">
      <c r="B16" s="240" t="s">
        <v>582</v>
      </c>
      <c r="C16" s="99" t="s">
        <v>347</v>
      </c>
      <c r="D16" s="925">
        <v>40.416666666666671</v>
      </c>
      <c r="E16" s="925">
        <v>40.416666666666671</v>
      </c>
      <c r="F16" s="925">
        <v>40.416666666666671</v>
      </c>
      <c r="G16" s="925">
        <v>40.416666666666671</v>
      </c>
      <c r="H16" s="925">
        <v>40.416666666666671</v>
      </c>
      <c r="I16" s="925">
        <v>40.416666666666671</v>
      </c>
      <c r="J16" s="925">
        <v>40.416666666666671</v>
      </c>
      <c r="K16" s="925">
        <v>40.416666666666671</v>
      </c>
      <c r="M16" s="717"/>
      <c r="N16" s="717"/>
      <c r="O16" s="717"/>
      <c r="P16" s="717">
        <v>1</v>
      </c>
      <c r="Q16" s="717"/>
      <c r="R16" s="717"/>
      <c r="S16" s="717"/>
      <c r="T16" s="717"/>
      <c r="U16" s="717"/>
      <c r="V16" s="717"/>
      <c r="W16" s="248">
        <f>SUM(M16:V16)</f>
        <v>1</v>
      </c>
      <c r="Z16" s="715">
        <v>0</v>
      </c>
      <c r="AA16" s="715">
        <v>189.75</v>
      </c>
      <c r="AB16" s="715">
        <v>189.75</v>
      </c>
      <c r="AC16" s="715">
        <v>189.75</v>
      </c>
      <c r="AD16" s="715">
        <v>189.75</v>
      </c>
      <c r="AE16" s="715">
        <v>189.75</v>
      </c>
      <c r="AF16" s="715">
        <v>189.75</v>
      </c>
      <c r="AG16" s="715">
        <v>189.75</v>
      </c>
      <c r="AH16" s="715">
        <v>189.75</v>
      </c>
    </row>
    <row r="17" spans="2:34" x14ac:dyDescent="0.3">
      <c r="B17" s="240" t="s">
        <v>684</v>
      </c>
      <c r="C17" s="99" t="s">
        <v>347</v>
      </c>
      <c r="D17" s="925">
        <v>742.5</v>
      </c>
      <c r="E17" s="925">
        <v>742.5</v>
      </c>
      <c r="F17" s="925">
        <v>742.5</v>
      </c>
      <c r="G17" s="925">
        <v>794.16666666666674</v>
      </c>
      <c r="H17" s="925">
        <v>794.16666666666674</v>
      </c>
      <c r="I17" s="925">
        <v>794.16666666666674</v>
      </c>
      <c r="J17" s="925">
        <v>794.16666666666674</v>
      </c>
      <c r="K17" s="925">
        <v>794.16666666666674</v>
      </c>
      <c r="M17" s="717"/>
      <c r="N17" s="717"/>
      <c r="O17" s="717"/>
      <c r="P17" s="717">
        <v>1</v>
      </c>
      <c r="Q17" s="717"/>
      <c r="R17" s="717"/>
      <c r="S17" s="717"/>
      <c r="T17" s="717"/>
      <c r="U17" s="717"/>
      <c r="V17" s="717"/>
      <c r="W17" s="248">
        <f>SUM(M17:V17)</f>
        <v>1</v>
      </c>
      <c r="Z17" s="715">
        <v>0</v>
      </c>
      <c r="AA17" s="715">
        <v>742.5</v>
      </c>
      <c r="AB17" s="715">
        <v>794.16666666666674</v>
      </c>
      <c r="AC17" s="715">
        <v>794.16666666666674</v>
      </c>
      <c r="AD17" s="715">
        <v>794.16666666666674</v>
      </c>
      <c r="AE17" s="715">
        <v>794.16666666666674</v>
      </c>
      <c r="AF17" s="715">
        <v>794.16666666666674</v>
      </c>
      <c r="AG17" s="715">
        <v>794.16666666666674</v>
      </c>
      <c r="AH17" s="715">
        <v>794.16666666666674</v>
      </c>
    </row>
    <row r="18" spans="2:34" x14ac:dyDescent="0.3">
      <c r="B18" s="241" t="s">
        <v>680</v>
      </c>
      <c r="C18" s="99" t="s">
        <v>347</v>
      </c>
      <c r="D18" s="925">
        <v>2.9750000000000001</v>
      </c>
      <c r="E18" s="925">
        <v>2.9750000000000001</v>
      </c>
      <c r="F18" s="925">
        <v>2.9750000000000001</v>
      </c>
      <c r="G18" s="925">
        <v>2.9750000000000001</v>
      </c>
      <c r="H18" s="925">
        <v>2.9750000000000001</v>
      </c>
      <c r="I18" s="925">
        <v>2.9750000000000001</v>
      </c>
      <c r="J18" s="925">
        <v>2.9750000000000001</v>
      </c>
      <c r="K18" s="925">
        <v>2.9750000000000001</v>
      </c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248"/>
      <c r="Z18" s="715">
        <v>0</v>
      </c>
      <c r="AA18" s="715">
        <v>105.14166666666667</v>
      </c>
      <c r="AB18" s="715">
        <v>105.14166666666667</v>
      </c>
      <c r="AC18" s="715">
        <v>105.14166666666667</v>
      </c>
      <c r="AD18" s="715">
        <v>105.14166666666667</v>
      </c>
      <c r="AE18" s="715">
        <v>105.14166666666667</v>
      </c>
      <c r="AF18" s="715">
        <v>105.14166666666667</v>
      </c>
      <c r="AG18" s="715">
        <v>105.14166666666667</v>
      </c>
      <c r="AH18" s="715">
        <v>105.14166666666667</v>
      </c>
    </row>
    <row r="19" spans="2:34" x14ac:dyDescent="0.3">
      <c r="B19" s="241" t="s">
        <v>53</v>
      </c>
      <c r="C19" s="99" t="s">
        <v>347</v>
      </c>
      <c r="D19" s="715"/>
      <c r="E19" s="715"/>
      <c r="F19" s="715"/>
      <c r="G19" s="715"/>
      <c r="H19" s="715"/>
      <c r="I19" s="715"/>
      <c r="J19" s="715"/>
      <c r="K19" s="715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248"/>
    </row>
    <row r="20" spans="2:34" x14ac:dyDescent="0.3">
      <c r="B20" s="241" t="s">
        <v>354</v>
      </c>
      <c r="C20" s="99" t="s">
        <v>347</v>
      </c>
      <c r="D20" s="715">
        <v>14.3</v>
      </c>
      <c r="E20" s="715">
        <v>14.3</v>
      </c>
      <c r="F20" s="715">
        <v>14.3</v>
      </c>
      <c r="G20" s="715">
        <v>14.3</v>
      </c>
      <c r="H20" s="715">
        <v>14.3</v>
      </c>
      <c r="I20" s="715">
        <v>14.3</v>
      </c>
      <c r="J20" s="715">
        <v>14.3</v>
      </c>
      <c r="K20" s="715">
        <v>14.3</v>
      </c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248"/>
    </row>
    <row r="22" spans="2:34" ht="47.25" customHeight="1" x14ac:dyDescent="0.3">
      <c r="B22" s="7" t="s">
        <v>385</v>
      </c>
      <c r="M22" s="7" t="s">
        <v>369</v>
      </c>
    </row>
    <row r="23" spans="2:34" x14ac:dyDescent="0.3">
      <c r="B23" s="283" t="s">
        <v>358</v>
      </c>
      <c r="C23" s="285" t="s">
        <v>293</v>
      </c>
      <c r="D23" s="285">
        <v>2015</v>
      </c>
      <c r="E23" s="285">
        <v>2020</v>
      </c>
      <c r="F23" s="285">
        <v>2025</v>
      </c>
      <c r="G23" s="285">
        <v>2030</v>
      </c>
      <c r="H23" s="285">
        <v>2035</v>
      </c>
      <c r="I23" s="285">
        <v>2040</v>
      </c>
      <c r="J23" s="285">
        <v>2045</v>
      </c>
      <c r="K23" s="285">
        <v>2050</v>
      </c>
      <c r="M23" s="415" t="s">
        <v>355</v>
      </c>
      <c r="N23" s="416"/>
      <c r="O23" s="416"/>
      <c r="P23" s="422"/>
      <c r="Q23" s="421" t="s">
        <v>293</v>
      </c>
      <c r="R23" s="183">
        <v>2015</v>
      </c>
      <c r="S23" s="183">
        <v>2020</v>
      </c>
      <c r="T23" s="183">
        <v>2025</v>
      </c>
      <c r="U23" s="183">
        <v>2030</v>
      </c>
      <c r="V23" s="183">
        <v>2035</v>
      </c>
      <c r="W23" s="183">
        <v>2040</v>
      </c>
      <c r="X23" s="183">
        <v>2045</v>
      </c>
      <c r="Y23" s="183">
        <v>2050</v>
      </c>
    </row>
    <row r="24" spans="2:34" x14ac:dyDescent="0.3">
      <c r="B24" s="121" t="s">
        <v>341</v>
      </c>
      <c r="C24" s="99"/>
      <c r="D24" s="685"/>
      <c r="E24" s="685"/>
      <c r="F24" s="685"/>
      <c r="G24" s="685"/>
      <c r="H24" s="685"/>
      <c r="I24" s="685"/>
      <c r="J24" s="685"/>
      <c r="K24" s="685"/>
      <c r="M24" s="417" t="s">
        <v>341</v>
      </c>
      <c r="N24" s="416"/>
      <c r="O24" s="416"/>
      <c r="P24" s="422"/>
      <c r="Q24" s="99"/>
      <c r="R24" s="99"/>
      <c r="S24" s="99"/>
      <c r="T24" s="99"/>
      <c r="U24" s="99"/>
      <c r="V24" s="99"/>
      <c r="W24" s="99"/>
      <c r="X24" s="99"/>
      <c r="Y24" s="99"/>
    </row>
    <row r="25" spans="2:34" x14ac:dyDescent="0.3">
      <c r="B25" s="242" t="s">
        <v>342</v>
      </c>
      <c r="C25" s="99" t="s">
        <v>343</v>
      </c>
      <c r="D25" s="685">
        <f t="shared" ref="D25:K26" si="1">R25-D8</f>
        <v>-0.33999999999999986</v>
      </c>
      <c r="E25" s="685">
        <f t="shared" si="1"/>
        <v>-0.66999999999999993</v>
      </c>
      <c r="F25" s="685">
        <f t="shared" si="1"/>
        <v>-1.1000000000000014</v>
      </c>
      <c r="G25" s="685">
        <f t="shared" si="1"/>
        <v>-1.42</v>
      </c>
      <c r="H25" s="685">
        <f t="shared" si="1"/>
        <v>-1.7400000000000002</v>
      </c>
      <c r="I25" s="685">
        <f t="shared" si="1"/>
        <v>-2.0600000000000005</v>
      </c>
      <c r="J25" s="685">
        <f t="shared" si="1"/>
        <v>-2.3599999999999994</v>
      </c>
      <c r="K25" s="685">
        <f t="shared" si="1"/>
        <v>-2.66</v>
      </c>
      <c r="M25" s="418" t="s">
        <v>342</v>
      </c>
      <c r="N25" s="416"/>
      <c r="O25" s="416"/>
      <c r="P25" s="422"/>
      <c r="Q25" s="99" t="s">
        <v>343</v>
      </c>
      <c r="R25" s="718">
        <v>11.63</v>
      </c>
      <c r="S25" s="718">
        <v>11.25</v>
      </c>
      <c r="T25" s="718">
        <v>10.78</v>
      </c>
      <c r="U25" s="718">
        <v>10.32</v>
      </c>
      <c r="V25" s="718">
        <v>9.86</v>
      </c>
      <c r="W25" s="718">
        <v>9.41</v>
      </c>
      <c r="X25" s="718">
        <v>8.9700000000000006</v>
      </c>
      <c r="Y25" s="718">
        <v>8.5399999999999991</v>
      </c>
    </row>
    <row r="26" spans="2:34" x14ac:dyDescent="0.3">
      <c r="B26" s="242" t="s">
        <v>344</v>
      </c>
      <c r="C26" s="99" t="s">
        <v>343</v>
      </c>
      <c r="D26" s="685">
        <f t="shared" si="1"/>
        <v>9.9999999999997868E-3</v>
      </c>
      <c r="E26" s="685">
        <f t="shared" si="1"/>
        <v>9.9999999999997868E-3</v>
      </c>
      <c r="F26" s="685">
        <f t="shared" si="1"/>
        <v>-7.0000000000000284E-2</v>
      </c>
      <c r="G26" s="685">
        <f t="shared" si="1"/>
        <v>-5.9999999999999609E-2</v>
      </c>
      <c r="H26" s="685">
        <f t="shared" si="1"/>
        <v>-4.9999999999999822E-2</v>
      </c>
      <c r="I26" s="685">
        <f t="shared" si="1"/>
        <v>-5.0000000000000711E-2</v>
      </c>
      <c r="J26" s="685">
        <f t="shared" si="1"/>
        <v>-4.0000000000000036E-2</v>
      </c>
      <c r="K26" s="685">
        <f t="shared" si="1"/>
        <v>-4.0000000000000036E-2</v>
      </c>
      <c r="M26" s="418" t="s">
        <v>344</v>
      </c>
      <c r="N26" s="416"/>
      <c r="O26" s="416"/>
      <c r="P26" s="422"/>
      <c r="Q26" s="99" t="s">
        <v>343</v>
      </c>
      <c r="R26" s="718">
        <v>4.7</v>
      </c>
      <c r="S26" s="718">
        <v>4.84</v>
      </c>
      <c r="T26" s="718">
        <v>4.8899999999999997</v>
      </c>
      <c r="U26" s="718">
        <v>4.95</v>
      </c>
      <c r="V26" s="718">
        <v>5.01</v>
      </c>
      <c r="W26" s="718">
        <v>5.0599999999999996</v>
      </c>
      <c r="X26" s="718">
        <v>5.12</v>
      </c>
      <c r="Y26" s="718">
        <v>5.17</v>
      </c>
    </row>
    <row r="27" spans="2:34" x14ac:dyDescent="0.3">
      <c r="B27" s="265" t="s">
        <v>345</v>
      </c>
      <c r="C27" s="99"/>
      <c r="D27" s="685"/>
      <c r="E27" s="685"/>
      <c r="F27" s="685"/>
      <c r="G27" s="685"/>
      <c r="H27" s="685"/>
      <c r="I27" s="685"/>
      <c r="J27" s="685"/>
      <c r="K27" s="685"/>
      <c r="M27" s="420" t="s">
        <v>345</v>
      </c>
      <c r="N27" s="416"/>
      <c r="O27" s="416"/>
      <c r="P27" s="422"/>
      <c r="Q27" s="99"/>
      <c r="R27" s="718"/>
      <c r="S27" s="718"/>
      <c r="T27" s="718"/>
      <c r="U27" s="718"/>
      <c r="V27" s="718"/>
      <c r="W27" s="718"/>
      <c r="X27" s="718"/>
      <c r="Y27" s="718"/>
    </row>
    <row r="28" spans="2:34" x14ac:dyDescent="0.3">
      <c r="B28" s="240" t="s">
        <v>507</v>
      </c>
      <c r="C28" s="99" t="s">
        <v>347</v>
      </c>
      <c r="D28" s="685">
        <f t="shared" ref="D28:K30" si="2">-(R28-D11)</f>
        <v>-23.366666666666667</v>
      </c>
      <c r="E28" s="685">
        <f t="shared" si="2"/>
        <v>-51.216666666666676</v>
      </c>
      <c r="F28" s="685">
        <f t="shared" si="2"/>
        <v>-92.575000000000003</v>
      </c>
      <c r="G28" s="685">
        <f t="shared" si="2"/>
        <v>-132.125</v>
      </c>
      <c r="H28" s="685">
        <f t="shared" si="2"/>
        <v>-178.48333333333332</v>
      </c>
      <c r="I28" s="685">
        <f t="shared" si="2"/>
        <v>-232.42500000000001</v>
      </c>
      <c r="J28" s="685">
        <f t="shared" si="2"/>
        <v>-295.11666666666667</v>
      </c>
      <c r="K28" s="685">
        <f t="shared" si="2"/>
        <v>-367.75000000000006</v>
      </c>
      <c r="L28" s="261"/>
      <c r="M28" s="418" t="s">
        <v>346</v>
      </c>
      <c r="N28" s="416"/>
      <c r="O28" s="416"/>
      <c r="P28" s="422"/>
      <c r="Q28" s="99" t="s">
        <v>347</v>
      </c>
      <c r="R28" s="925">
        <v>26.333333333333336</v>
      </c>
      <c r="S28" s="925">
        <v>57.716666666666676</v>
      </c>
      <c r="T28" s="925">
        <v>103.26666666666667</v>
      </c>
      <c r="U28" s="925">
        <v>157</v>
      </c>
      <c r="V28" s="925">
        <v>220.16666666666666</v>
      </c>
      <c r="W28" s="925">
        <v>293.91666666666669</v>
      </c>
      <c r="X28" s="925">
        <v>379.83333333333337</v>
      </c>
      <c r="Y28" s="925">
        <v>479.58333333333337</v>
      </c>
    </row>
    <row r="29" spans="2:34" x14ac:dyDescent="0.3">
      <c r="B29" s="240" t="s">
        <v>508</v>
      </c>
      <c r="C29" s="99" t="s">
        <v>347</v>
      </c>
      <c r="D29" s="685">
        <f t="shared" si="2"/>
        <v>0.625</v>
      </c>
      <c r="E29" s="685">
        <f t="shared" si="2"/>
        <v>1.44166666666667</v>
      </c>
      <c r="F29" s="685">
        <f t="shared" si="2"/>
        <v>-11.124999999999993</v>
      </c>
      <c r="G29" s="685">
        <f t="shared" si="2"/>
        <v>-11.733333333333334</v>
      </c>
      <c r="H29" s="685">
        <f t="shared" si="2"/>
        <v>-12.24166666666666</v>
      </c>
      <c r="I29" s="685">
        <f t="shared" si="2"/>
        <v>-12.733333333333348</v>
      </c>
      <c r="J29" s="685">
        <f t="shared" si="2"/>
        <v>-12.958333333333314</v>
      </c>
      <c r="K29" s="685">
        <f t="shared" si="2"/>
        <v>-13.083333333333343</v>
      </c>
      <c r="L29" s="719" t="s">
        <v>691</v>
      </c>
      <c r="M29" s="418" t="s">
        <v>348</v>
      </c>
      <c r="N29" s="416"/>
      <c r="O29" s="416"/>
      <c r="P29" s="422"/>
      <c r="Q29" s="99" t="s">
        <v>347</v>
      </c>
      <c r="R29" s="925">
        <v>-18.308333333333334</v>
      </c>
      <c r="S29" s="925">
        <v>-42.13333333333334</v>
      </c>
      <c r="T29" s="925">
        <v>-59.108333333333341</v>
      </c>
      <c r="U29" s="925">
        <v>-80.233333333333334</v>
      </c>
      <c r="V29" s="925">
        <v>-106.41666666666667</v>
      </c>
      <c r="W29" s="925">
        <v>-138.58333333333334</v>
      </c>
      <c r="X29" s="925">
        <v>-178.16666666666669</v>
      </c>
      <c r="Y29" s="925">
        <v>-226.41666666666666</v>
      </c>
    </row>
    <row r="30" spans="2:34" x14ac:dyDescent="0.3">
      <c r="B30" s="240" t="s">
        <v>509</v>
      </c>
      <c r="C30" s="99" t="s">
        <v>347</v>
      </c>
      <c r="D30" s="685">
        <f t="shared" si="2"/>
        <v>-0.32500000000000001</v>
      </c>
      <c r="E30" s="685">
        <f t="shared" si="2"/>
        <v>-0.65</v>
      </c>
      <c r="F30" s="685">
        <f t="shared" si="2"/>
        <v>-0.9750000000000002</v>
      </c>
      <c r="G30" s="685">
        <f t="shared" si="2"/>
        <v>-1.3</v>
      </c>
      <c r="H30" s="685">
        <f t="shared" si="2"/>
        <v>-1.6250000000000002</v>
      </c>
      <c r="I30" s="685">
        <f t="shared" si="2"/>
        <v>-1.9500000000000004</v>
      </c>
      <c r="J30" s="685">
        <f t="shared" si="2"/>
        <v>-2.2749999999999999</v>
      </c>
      <c r="K30" s="685">
        <f t="shared" si="2"/>
        <v>-2.6</v>
      </c>
      <c r="M30" s="418" t="s">
        <v>349</v>
      </c>
      <c r="N30" s="416"/>
      <c r="O30" s="416"/>
      <c r="P30" s="422"/>
      <c r="Q30" s="99" t="s">
        <v>347</v>
      </c>
      <c r="R30" s="925">
        <v>0.64583333333333337</v>
      </c>
      <c r="S30" s="925">
        <v>1.2916666666666667</v>
      </c>
      <c r="T30" s="925">
        <v>1.9375000000000002</v>
      </c>
      <c r="U30" s="925">
        <v>2.5833333333333335</v>
      </c>
      <c r="V30" s="925">
        <v>3.229166666666667</v>
      </c>
      <c r="W30" s="925">
        <v>3.8750000000000004</v>
      </c>
      <c r="X30" s="925">
        <v>4.520833333333333</v>
      </c>
      <c r="Y30" s="925">
        <v>5.166666666666667</v>
      </c>
    </row>
    <row r="31" spans="2:34" x14ac:dyDescent="0.3">
      <c r="B31" s="1156" t="s">
        <v>926</v>
      </c>
      <c r="C31" s="1157" t="s">
        <v>347</v>
      </c>
      <c r="D31" s="1157">
        <f t="shared" ref="D31:K31" si="3">SUM(D28:D30)*0.2</f>
        <v>-4.6133333333333333</v>
      </c>
      <c r="E31" s="1157">
        <f t="shared" si="3"/>
        <v>-10.085000000000001</v>
      </c>
      <c r="F31" s="1157">
        <f t="shared" si="3"/>
        <v>-20.934999999999999</v>
      </c>
      <c r="G31" s="1157">
        <f t="shared" si="3"/>
        <v>-29.031666666666673</v>
      </c>
      <c r="H31" s="1157">
        <f t="shared" si="3"/>
        <v>-38.47</v>
      </c>
      <c r="I31" s="1157">
        <f t="shared" si="3"/>
        <v>-49.421666666666674</v>
      </c>
      <c r="J31" s="1157">
        <f t="shared" si="3"/>
        <v>-62.069999999999993</v>
      </c>
      <c r="K31" s="1157">
        <f t="shared" si="3"/>
        <v>-76.686666666666682</v>
      </c>
      <c r="M31" s="418"/>
      <c r="N31" s="416"/>
      <c r="O31" s="416"/>
      <c r="P31" s="422"/>
      <c r="Q31" s="99"/>
      <c r="R31" s="925"/>
      <c r="S31" s="925"/>
      <c r="T31" s="925"/>
      <c r="U31" s="925"/>
      <c r="V31" s="925"/>
      <c r="W31" s="925"/>
      <c r="X31" s="925"/>
      <c r="Y31" s="925"/>
    </row>
    <row r="32" spans="2:34" x14ac:dyDescent="0.3">
      <c r="B32" s="265" t="s">
        <v>350</v>
      </c>
      <c r="C32" s="99"/>
      <c r="D32" s="685"/>
      <c r="E32" s="685"/>
      <c r="F32" s="685"/>
      <c r="G32" s="685"/>
      <c r="H32" s="685"/>
      <c r="I32" s="685"/>
      <c r="J32" s="685"/>
      <c r="K32" s="685"/>
      <c r="M32" s="420" t="s">
        <v>350</v>
      </c>
      <c r="N32" s="416"/>
      <c r="O32" s="416"/>
      <c r="P32" s="422"/>
      <c r="Q32" s="99"/>
      <c r="R32" s="925"/>
      <c r="S32" s="925"/>
      <c r="T32" s="925"/>
      <c r="U32" s="925"/>
      <c r="V32" s="925"/>
      <c r="W32" s="925"/>
      <c r="X32" s="925"/>
      <c r="Y32" s="925"/>
    </row>
    <row r="33" spans="2:39" x14ac:dyDescent="0.3">
      <c r="B33" s="240" t="s">
        <v>582</v>
      </c>
      <c r="C33" s="99" t="s">
        <v>347</v>
      </c>
      <c r="D33" s="685">
        <f t="shared" ref="D33:K35" si="4">R33-D16</f>
        <v>68.333333333333329</v>
      </c>
      <c r="E33" s="685">
        <f t="shared" si="4"/>
        <v>68.333333333333329</v>
      </c>
      <c r="F33" s="685">
        <f t="shared" si="4"/>
        <v>68.333333333333329</v>
      </c>
      <c r="G33" s="685">
        <f t="shared" si="4"/>
        <v>68.333333333333329</v>
      </c>
      <c r="H33" s="685">
        <f t="shared" si="4"/>
        <v>68.333333333333329</v>
      </c>
      <c r="I33" s="685">
        <f t="shared" si="4"/>
        <v>68.333333333333329</v>
      </c>
      <c r="J33" s="685">
        <f t="shared" si="4"/>
        <v>68.333333333333329</v>
      </c>
      <c r="K33" s="685">
        <f t="shared" si="4"/>
        <v>68.333333333333329</v>
      </c>
      <c r="M33" s="418" t="s">
        <v>351</v>
      </c>
      <c r="N33" s="416"/>
      <c r="O33" s="416"/>
      <c r="P33" s="422"/>
      <c r="Q33" s="99" t="s">
        <v>347</v>
      </c>
      <c r="R33" s="925">
        <v>108.75</v>
      </c>
      <c r="S33" s="925">
        <v>108.75</v>
      </c>
      <c r="T33" s="925">
        <v>108.75</v>
      </c>
      <c r="U33" s="925">
        <v>108.75</v>
      </c>
      <c r="V33" s="925">
        <v>108.75</v>
      </c>
      <c r="W33" s="925">
        <v>108.75</v>
      </c>
      <c r="X33" s="925">
        <v>108.75</v>
      </c>
      <c r="Y33" s="925">
        <v>108.75</v>
      </c>
    </row>
    <row r="34" spans="2:39" x14ac:dyDescent="0.3">
      <c r="B34" s="240" t="s">
        <v>684</v>
      </c>
      <c r="C34" s="99" t="s">
        <v>347</v>
      </c>
      <c r="D34" s="685">
        <f t="shared" si="4"/>
        <v>0</v>
      </c>
      <c r="E34" s="685">
        <f t="shared" si="4"/>
        <v>0</v>
      </c>
      <c r="F34" s="685">
        <f t="shared" si="4"/>
        <v>51.666666666666742</v>
      </c>
      <c r="G34" s="685">
        <f t="shared" si="4"/>
        <v>0</v>
      </c>
      <c r="H34" s="685">
        <f t="shared" si="4"/>
        <v>0</v>
      </c>
      <c r="I34" s="685">
        <f t="shared" si="4"/>
        <v>0</v>
      </c>
      <c r="J34" s="685">
        <f t="shared" si="4"/>
        <v>0</v>
      </c>
      <c r="K34" s="685">
        <f t="shared" si="4"/>
        <v>0</v>
      </c>
      <c r="M34" s="418" t="s">
        <v>352</v>
      </c>
      <c r="N34" s="416"/>
      <c r="O34" s="416"/>
      <c r="P34" s="422"/>
      <c r="Q34" s="99" t="s">
        <v>347</v>
      </c>
      <c r="R34" s="925">
        <v>742.5</v>
      </c>
      <c r="S34" s="925">
        <v>742.5</v>
      </c>
      <c r="T34" s="925">
        <v>794.16666666666674</v>
      </c>
      <c r="U34" s="925">
        <v>794.16666666666674</v>
      </c>
      <c r="V34" s="925">
        <v>794.16666666666674</v>
      </c>
      <c r="W34" s="925">
        <v>794.16666666666674</v>
      </c>
      <c r="X34" s="925">
        <v>794.16666666666674</v>
      </c>
      <c r="Y34" s="925">
        <v>794.16666666666674</v>
      </c>
    </row>
    <row r="35" spans="2:39" x14ac:dyDescent="0.3">
      <c r="B35" s="240" t="s">
        <v>680</v>
      </c>
      <c r="C35" s="99" t="s">
        <v>347</v>
      </c>
      <c r="D35" s="685">
        <f t="shared" si="4"/>
        <v>30.783333333333331</v>
      </c>
      <c r="E35" s="685">
        <f t="shared" si="4"/>
        <v>30.783333333333331</v>
      </c>
      <c r="F35" s="685">
        <f t="shared" si="4"/>
        <v>30.783333333333331</v>
      </c>
      <c r="G35" s="685">
        <f t="shared" si="4"/>
        <v>30.783333333333331</v>
      </c>
      <c r="H35" s="685">
        <f t="shared" si="4"/>
        <v>30.783333333333331</v>
      </c>
      <c r="I35" s="685">
        <f t="shared" si="4"/>
        <v>30.783333333333331</v>
      </c>
      <c r="J35" s="685">
        <f t="shared" si="4"/>
        <v>30.783333333333331</v>
      </c>
      <c r="K35" s="685">
        <f t="shared" si="4"/>
        <v>30.783333333333331</v>
      </c>
      <c r="M35" s="418" t="s">
        <v>353</v>
      </c>
      <c r="N35" s="416"/>
      <c r="O35" s="416"/>
      <c r="P35" s="422"/>
      <c r="Q35" s="99" t="s">
        <v>347</v>
      </c>
      <c r="R35" s="925">
        <v>33.758333333333333</v>
      </c>
      <c r="S35" s="925">
        <v>33.758333333333333</v>
      </c>
      <c r="T35" s="925">
        <v>33.758333333333333</v>
      </c>
      <c r="U35" s="925">
        <v>33.758333333333333</v>
      </c>
      <c r="V35" s="925">
        <v>33.758333333333333</v>
      </c>
      <c r="W35" s="925">
        <v>33.758333333333333</v>
      </c>
      <c r="X35" s="925">
        <v>33.758333333333333</v>
      </c>
      <c r="Y35" s="925">
        <v>33.758333333333333</v>
      </c>
    </row>
    <row r="36" spans="2:39" x14ac:dyDescent="0.3">
      <c r="B36" s="241" t="s">
        <v>53</v>
      </c>
      <c r="C36" s="99" t="s">
        <v>347</v>
      </c>
      <c r="D36" s="685">
        <f t="shared" ref="D36:K36" si="5">-D28-D29-D30-D31+D41</f>
        <v>24.946666666666665</v>
      </c>
      <c r="E36" s="685">
        <f t="shared" si="5"/>
        <v>44.110000000000007</v>
      </c>
      <c r="F36" s="685">
        <f t="shared" si="5"/>
        <v>85.20999999999998</v>
      </c>
      <c r="G36" s="685">
        <f t="shared" si="5"/>
        <v>120.12333333333333</v>
      </c>
      <c r="H36" s="685">
        <f t="shared" si="5"/>
        <v>163.08666666666662</v>
      </c>
      <c r="I36" s="685">
        <f t="shared" si="5"/>
        <v>215.13</v>
      </c>
      <c r="J36" s="685">
        <f t="shared" si="5"/>
        <v>277.3533333333333</v>
      </c>
      <c r="K36" s="685">
        <f t="shared" si="5"/>
        <v>351.38666666666671</v>
      </c>
      <c r="L36" s="261"/>
      <c r="M36" s="419" t="s">
        <v>52</v>
      </c>
      <c r="N36" s="416"/>
      <c r="O36" s="416"/>
      <c r="P36" s="422"/>
      <c r="Q36" s="99" t="s">
        <v>347</v>
      </c>
      <c r="R36" s="718"/>
      <c r="S36" s="718"/>
      <c r="T36" s="718"/>
      <c r="U36" s="718"/>
      <c r="V36" s="718"/>
      <c r="W36" s="718"/>
      <c r="X36" s="718"/>
      <c r="Y36" s="718"/>
    </row>
    <row r="37" spans="2:39" x14ac:dyDescent="0.3">
      <c r="B37" s="243" t="s">
        <v>354</v>
      </c>
      <c r="C37" s="99" t="s">
        <v>347</v>
      </c>
      <c r="D37" s="685">
        <f t="shared" ref="D37:K37" si="6">R37-D20</f>
        <v>31.779999999999998</v>
      </c>
      <c r="E37" s="685">
        <f t="shared" si="6"/>
        <v>31.779999999999998</v>
      </c>
      <c r="F37" s="685">
        <f t="shared" si="6"/>
        <v>31.779999999999998</v>
      </c>
      <c r="G37" s="685">
        <f t="shared" si="6"/>
        <v>31.779999999999998</v>
      </c>
      <c r="H37" s="685">
        <f t="shared" si="6"/>
        <v>31.779999999999998</v>
      </c>
      <c r="I37" s="685">
        <f t="shared" si="6"/>
        <v>31.779999999999998</v>
      </c>
      <c r="J37" s="685">
        <f t="shared" si="6"/>
        <v>31.779999999999998</v>
      </c>
      <c r="K37" s="685">
        <f t="shared" si="6"/>
        <v>31.779999999999998</v>
      </c>
      <c r="M37" s="419" t="s">
        <v>354</v>
      </c>
      <c r="N37" s="416"/>
      <c r="O37" s="416"/>
      <c r="P37" s="422"/>
      <c r="Q37" s="99" t="s">
        <v>347</v>
      </c>
      <c r="R37" s="718">
        <v>46.08</v>
      </c>
      <c r="S37" s="718">
        <v>46.08</v>
      </c>
      <c r="T37" s="718">
        <v>46.08</v>
      </c>
      <c r="U37" s="718">
        <v>46.08</v>
      </c>
      <c r="V37" s="718">
        <v>46.08</v>
      </c>
      <c r="W37" s="718">
        <v>46.08</v>
      </c>
      <c r="X37" s="718">
        <v>46.08</v>
      </c>
      <c r="Y37" s="718">
        <v>46.08</v>
      </c>
    </row>
    <row r="38" spans="2:39" x14ac:dyDescent="0.3">
      <c r="B38" s="270" t="s">
        <v>376</v>
      </c>
      <c r="D38" s="1161"/>
      <c r="E38" s="1161"/>
      <c r="F38" s="1161"/>
      <c r="G38" s="1161"/>
      <c r="H38" s="1161"/>
      <c r="I38" s="1161"/>
      <c r="J38" s="1161"/>
      <c r="K38" s="1161"/>
      <c r="M38" s="244"/>
    </row>
    <row r="39" spans="2:39" x14ac:dyDescent="0.3">
      <c r="B39" s="1158" t="s">
        <v>927</v>
      </c>
      <c r="C39" s="1159" t="s">
        <v>566</v>
      </c>
      <c r="D39" s="1160">
        <f>(D33+D34)*0.2</f>
        <v>13.666666666666666</v>
      </c>
      <c r="E39" s="1160">
        <f t="shared" ref="E39:K39" si="7">(E33+E34)*0.2</f>
        <v>13.666666666666666</v>
      </c>
      <c r="F39" s="1160">
        <f t="shared" si="7"/>
        <v>24.000000000000014</v>
      </c>
      <c r="G39" s="1160">
        <f t="shared" si="7"/>
        <v>13.666666666666666</v>
      </c>
      <c r="H39" s="1160">
        <f t="shared" si="7"/>
        <v>13.666666666666666</v>
      </c>
      <c r="I39" s="1160">
        <f t="shared" si="7"/>
        <v>13.666666666666666</v>
      </c>
      <c r="J39" s="1160">
        <f t="shared" si="7"/>
        <v>13.666666666666666</v>
      </c>
      <c r="K39" s="1160">
        <f t="shared" si="7"/>
        <v>13.666666666666666</v>
      </c>
      <c r="M39" s="244"/>
    </row>
    <row r="40" spans="2:39" x14ac:dyDescent="0.3">
      <c r="B40" s="263" t="s">
        <v>500</v>
      </c>
      <c r="C40" s="264" t="s">
        <v>566</v>
      </c>
      <c r="D40" s="1162">
        <f>D33+D34+D39</f>
        <v>82</v>
      </c>
      <c r="E40" s="1162">
        <f>D40+5*(E33+E34+E39)</f>
        <v>492</v>
      </c>
      <c r="F40" s="1162">
        <f t="shared" ref="F40:K40" si="8">E40+5*(F33+F34+F39)</f>
        <v>1212.0000000000005</v>
      </c>
      <c r="G40" s="1162">
        <f t="shared" si="8"/>
        <v>1622.0000000000005</v>
      </c>
      <c r="H40" s="1162">
        <f t="shared" si="8"/>
        <v>2032.0000000000005</v>
      </c>
      <c r="I40" s="1162">
        <f t="shared" si="8"/>
        <v>2442.0000000000005</v>
      </c>
      <c r="J40" s="1162">
        <f t="shared" si="8"/>
        <v>2852.0000000000005</v>
      </c>
      <c r="K40" s="1162">
        <f t="shared" si="8"/>
        <v>3262.0000000000005</v>
      </c>
    </row>
    <row r="41" spans="2:39" x14ac:dyDescent="0.3">
      <c r="B41" s="263" t="s">
        <v>501</v>
      </c>
      <c r="C41" s="264" t="s">
        <v>347</v>
      </c>
      <c r="D41" s="1162">
        <f t="shared" ref="D41:K41" si="9">PMT($C$104,$C$105,D40)</f>
        <v>-2.7333333333333334</v>
      </c>
      <c r="E41" s="1162">
        <f t="shared" si="9"/>
        <v>-16.399999999999999</v>
      </c>
      <c r="F41" s="1162">
        <f t="shared" si="9"/>
        <v>-40.400000000000013</v>
      </c>
      <c r="G41" s="1162">
        <f t="shared" si="9"/>
        <v>-54.066666666666684</v>
      </c>
      <c r="H41" s="1162">
        <f t="shared" si="9"/>
        <v>-67.733333333333348</v>
      </c>
      <c r="I41" s="1162">
        <f t="shared" si="9"/>
        <v>-81.40000000000002</v>
      </c>
      <c r="J41" s="1162">
        <f t="shared" si="9"/>
        <v>-95.066666666666677</v>
      </c>
      <c r="K41" s="1162">
        <f t="shared" si="9"/>
        <v>-108.73333333333335</v>
      </c>
    </row>
    <row r="42" spans="2:39" x14ac:dyDescent="0.3">
      <c r="M42" s="24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8"/>
    </row>
    <row r="43" spans="2:39" x14ac:dyDescent="0.3">
      <c r="B43" s="283" t="s">
        <v>359</v>
      </c>
      <c r="C43" s="285" t="s">
        <v>293</v>
      </c>
      <c r="D43" s="285">
        <v>2015</v>
      </c>
      <c r="E43" s="285">
        <v>2020</v>
      </c>
      <c r="F43" s="285">
        <v>2025</v>
      </c>
      <c r="G43" s="285">
        <v>2030</v>
      </c>
      <c r="H43" s="285">
        <v>2035</v>
      </c>
      <c r="I43" s="285">
        <v>2040</v>
      </c>
      <c r="J43" s="285">
        <v>2045</v>
      </c>
      <c r="K43" s="285">
        <v>2050</v>
      </c>
      <c r="M43" s="415" t="s">
        <v>356</v>
      </c>
      <c r="N43" s="416"/>
      <c r="O43" s="416"/>
      <c r="P43" s="422"/>
      <c r="Q43" s="421" t="s">
        <v>293</v>
      </c>
      <c r="R43" s="183">
        <v>2015</v>
      </c>
      <c r="S43" s="183">
        <v>2020</v>
      </c>
      <c r="T43" s="183">
        <v>2025</v>
      </c>
      <c r="U43" s="183">
        <v>2030</v>
      </c>
      <c r="V43" s="183">
        <v>2035</v>
      </c>
      <c r="W43" s="183">
        <v>2040</v>
      </c>
      <c r="X43" s="183">
        <v>2045</v>
      </c>
      <c r="Y43" s="183">
        <v>2050</v>
      </c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</row>
    <row r="44" spans="2:39" x14ac:dyDescent="0.3">
      <c r="B44" s="121" t="s">
        <v>341</v>
      </c>
      <c r="C44" s="99"/>
      <c r="D44" s="685"/>
      <c r="E44" s="685"/>
      <c r="F44" s="685"/>
      <c r="G44" s="685"/>
      <c r="H44" s="685"/>
      <c r="I44" s="685"/>
      <c r="J44" s="685"/>
      <c r="K44" s="685"/>
      <c r="M44" s="417" t="s">
        <v>341</v>
      </c>
      <c r="N44" s="416"/>
      <c r="O44" s="416"/>
      <c r="P44" s="422"/>
      <c r="Q44" s="99"/>
      <c r="R44" s="99"/>
      <c r="S44" s="99"/>
      <c r="T44" s="99"/>
      <c r="U44" s="99"/>
      <c r="V44" s="99"/>
      <c r="W44" s="99"/>
      <c r="X44" s="99"/>
      <c r="Y44" s="99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7"/>
    </row>
    <row r="45" spans="2:39" x14ac:dyDescent="0.3">
      <c r="B45" s="242" t="s">
        <v>342</v>
      </c>
      <c r="C45" s="99" t="s">
        <v>343</v>
      </c>
      <c r="D45" s="685">
        <f t="shared" ref="D45:K46" si="10">R45-D8</f>
        <v>-0.68000000000000149</v>
      </c>
      <c r="E45" s="685">
        <f t="shared" si="10"/>
        <v>-1.4299999999999997</v>
      </c>
      <c r="F45" s="685">
        <f t="shared" si="10"/>
        <v>-2.1900000000000013</v>
      </c>
      <c r="G45" s="685">
        <f t="shared" si="10"/>
        <v>-2.83</v>
      </c>
      <c r="H45" s="685">
        <f t="shared" si="10"/>
        <v>-3.4599999999999991</v>
      </c>
      <c r="I45" s="685">
        <f t="shared" si="10"/>
        <v>-4.0900000000000007</v>
      </c>
      <c r="J45" s="685">
        <f t="shared" si="10"/>
        <v>-4.7</v>
      </c>
      <c r="K45" s="685">
        <f t="shared" si="10"/>
        <v>-5.31</v>
      </c>
      <c r="M45" s="418" t="s">
        <v>342</v>
      </c>
      <c r="N45" s="416"/>
      <c r="O45" s="416"/>
      <c r="P45" s="422"/>
      <c r="Q45" s="99" t="s">
        <v>343</v>
      </c>
      <c r="R45" s="718">
        <v>11.29</v>
      </c>
      <c r="S45" s="718">
        <v>10.49</v>
      </c>
      <c r="T45" s="718">
        <v>9.69</v>
      </c>
      <c r="U45" s="718">
        <v>8.91</v>
      </c>
      <c r="V45" s="718">
        <v>8.14</v>
      </c>
      <c r="W45" s="718">
        <v>7.38</v>
      </c>
      <c r="X45" s="718">
        <v>6.63</v>
      </c>
      <c r="Y45" s="718">
        <v>5.89</v>
      </c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7"/>
    </row>
    <row r="46" spans="2:39" x14ac:dyDescent="0.3">
      <c r="B46" s="242" t="s">
        <v>344</v>
      </c>
      <c r="C46" s="99" t="s">
        <v>343</v>
      </c>
      <c r="D46" s="685">
        <f t="shared" si="10"/>
        <v>9.9999999999997868E-3</v>
      </c>
      <c r="E46" s="685">
        <f t="shared" si="10"/>
        <v>-7.0000000000000284E-2</v>
      </c>
      <c r="F46" s="685">
        <f t="shared" si="10"/>
        <v>-0.15000000000000036</v>
      </c>
      <c r="G46" s="685">
        <f t="shared" si="10"/>
        <v>-0.13999999999999968</v>
      </c>
      <c r="H46" s="685">
        <f t="shared" si="10"/>
        <v>-0.12999999999999989</v>
      </c>
      <c r="I46" s="685">
        <f t="shared" si="10"/>
        <v>-0.12999999999999989</v>
      </c>
      <c r="J46" s="685">
        <f t="shared" si="10"/>
        <v>-0.12000000000000011</v>
      </c>
      <c r="K46" s="685">
        <f t="shared" si="10"/>
        <v>-0.12000000000000011</v>
      </c>
      <c r="M46" s="418" t="s">
        <v>344</v>
      </c>
      <c r="N46" s="416"/>
      <c r="O46" s="416"/>
      <c r="P46" s="422"/>
      <c r="Q46" s="99" t="s">
        <v>343</v>
      </c>
      <c r="R46" s="718">
        <v>4.7</v>
      </c>
      <c r="S46" s="718">
        <v>4.76</v>
      </c>
      <c r="T46" s="718">
        <v>4.8099999999999996</v>
      </c>
      <c r="U46" s="718">
        <v>4.87</v>
      </c>
      <c r="V46" s="718">
        <v>4.93</v>
      </c>
      <c r="W46" s="718">
        <v>4.9800000000000004</v>
      </c>
      <c r="X46" s="718">
        <v>5.04</v>
      </c>
      <c r="Y46" s="718">
        <v>5.09</v>
      </c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7"/>
    </row>
    <row r="47" spans="2:39" x14ac:dyDescent="0.3">
      <c r="B47" s="265" t="s">
        <v>345</v>
      </c>
      <c r="C47" s="99"/>
      <c r="D47" s="685"/>
      <c r="E47" s="685"/>
      <c r="F47" s="685"/>
      <c r="G47" s="685"/>
      <c r="H47" s="685"/>
      <c r="I47" s="685"/>
      <c r="J47" s="685"/>
      <c r="K47" s="685"/>
      <c r="M47" s="420" t="s">
        <v>345</v>
      </c>
      <c r="N47" s="416"/>
      <c r="O47" s="416"/>
      <c r="P47" s="422"/>
      <c r="Q47" s="99"/>
      <c r="R47" s="718"/>
      <c r="S47" s="718"/>
      <c r="T47" s="718"/>
      <c r="U47" s="718"/>
      <c r="V47" s="718"/>
      <c r="W47" s="718"/>
      <c r="X47" s="718"/>
      <c r="Y47" s="718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7"/>
    </row>
    <row r="48" spans="2:39" x14ac:dyDescent="0.3">
      <c r="B48" s="240" t="s">
        <v>507</v>
      </c>
      <c r="C48" s="99" t="s">
        <v>347</v>
      </c>
      <c r="D48" s="685">
        <f t="shared" ref="D48:K50" si="11">-(R48-D11)</f>
        <v>-46.566666666666663</v>
      </c>
      <c r="E48" s="685">
        <f t="shared" si="11"/>
        <v>-109.66666666666667</v>
      </c>
      <c r="F48" s="685">
        <f t="shared" si="11"/>
        <v>-184.39166666666668</v>
      </c>
      <c r="G48" s="685">
        <f t="shared" si="11"/>
        <v>-263.29166666666669</v>
      </c>
      <c r="H48" s="685">
        <f t="shared" si="11"/>
        <v>-355.48333333333335</v>
      </c>
      <c r="I48" s="685">
        <f t="shared" si="11"/>
        <v>-463.0916666666667</v>
      </c>
      <c r="J48" s="685">
        <f t="shared" si="11"/>
        <v>-587.95000000000005</v>
      </c>
      <c r="K48" s="685">
        <f t="shared" si="11"/>
        <v>-732.33333333333337</v>
      </c>
      <c r="L48" s="720" t="s">
        <v>703</v>
      </c>
      <c r="M48" s="418" t="s">
        <v>346</v>
      </c>
      <c r="N48" s="416"/>
      <c r="O48" s="416"/>
      <c r="P48" s="422"/>
      <c r="Q48" s="99" t="s">
        <v>347</v>
      </c>
      <c r="R48" s="925">
        <v>49.533333333333331</v>
      </c>
      <c r="S48" s="925">
        <v>116.16666666666667</v>
      </c>
      <c r="T48" s="925">
        <v>195.08333333333334</v>
      </c>
      <c r="U48" s="925">
        <v>288.16666666666669</v>
      </c>
      <c r="V48" s="925">
        <v>397.16666666666669</v>
      </c>
      <c r="W48" s="925">
        <v>524.58333333333337</v>
      </c>
      <c r="X48" s="925">
        <v>672.66666666666674</v>
      </c>
      <c r="Y48" s="925">
        <v>844.16666666666674</v>
      </c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7"/>
    </row>
    <row r="49" spans="2:40" x14ac:dyDescent="0.3">
      <c r="B49" s="240" t="s">
        <v>508</v>
      </c>
      <c r="C49" s="99" t="s">
        <v>347</v>
      </c>
      <c r="D49" s="685">
        <f t="shared" si="11"/>
        <v>0.41666666666666785</v>
      </c>
      <c r="E49" s="685">
        <f t="shared" si="11"/>
        <v>-10.783333333333335</v>
      </c>
      <c r="F49" s="685">
        <f t="shared" si="11"/>
        <v>-25.375</v>
      </c>
      <c r="G49" s="685">
        <f t="shared" si="11"/>
        <v>-28.324999999999996</v>
      </c>
      <c r="H49" s="685">
        <f t="shared" si="11"/>
        <v>-31.574999999999989</v>
      </c>
      <c r="I49" s="685">
        <f t="shared" si="11"/>
        <v>-35.233333333333348</v>
      </c>
      <c r="J49" s="685">
        <f t="shared" si="11"/>
        <v>-39.208333333333314</v>
      </c>
      <c r="K49" s="685">
        <f t="shared" si="11"/>
        <v>-43.583333333333343</v>
      </c>
      <c r="L49" s="720" t="s">
        <v>704</v>
      </c>
      <c r="M49" s="418" t="s">
        <v>348</v>
      </c>
      <c r="N49" s="416"/>
      <c r="O49" s="416"/>
      <c r="P49" s="422"/>
      <c r="Q49" s="99" t="s">
        <v>347</v>
      </c>
      <c r="R49" s="925">
        <v>-18.100000000000001</v>
      </c>
      <c r="S49" s="925">
        <v>-29.908333333333335</v>
      </c>
      <c r="T49" s="925">
        <v>-44.858333333333334</v>
      </c>
      <c r="U49" s="925">
        <v>-63.641666666666673</v>
      </c>
      <c r="V49" s="925">
        <v>-87.083333333333343</v>
      </c>
      <c r="W49" s="925">
        <v>-116.08333333333334</v>
      </c>
      <c r="X49" s="925">
        <v>-151.91666666666669</v>
      </c>
      <c r="Y49" s="925">
        <v>-195.91666666666666</v>
      </c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7"/>
    </row>
    <row r="50" spans="2:40" x14ac:dyDescent="0.3">
      <c r="B50" s="240" t="s">
        <v>509</v>
      </c>
      <c r="C50" s="99" t="s">
        <v>347</v>
      </c>
      <c r="D50" s="685">
        <f t="shared" si="11"/>
        <v>-0.82916666666666683</v>
      </c>
      <c r="E50" s="685">
        <f t="shared" si="11"/>
        <v>-1.6583333333333337</v>
      </c>
      <c r="F50" s="685">
        <f t="shared" si="11"/>
        <v>-2.4875000000000007</v>
      </c>
      <c r="G50" s="685">
        <f t="shared" si="11"/>
        <v>-3.3166666666666673</v>
      </c>
      <c r="H50" s="685">
        <f t="shared" si="11"/>
        <v>-4.1458333333333339</v>
      </c>
      <c r="I50" s="685">
        <f t="shared" si="11"/>
        <v>-4.9750000000000014</v>
      </c>
      <c r="J50" s="685">
        <f t="shared" si="11"/>
        <v>-5.8041666666666671</v>
      </c>
      <c r="K50" s="685">
        <f t="shared" si="11"/>
        <v>-6.6333333333333346</v>
      </c>
      <c r="M50" s="418" t="s">
        <v>349</v>
      </c>
      <c r="N50" s="416"/>
      <c r="O50" s="416"/>
      <c r="P50" s="422"/>
      <c r="Q50" s="99" t="s">
        <v>347</v>
      </c>
      <c r="R50" s="925">
        <v>1.1500000000000001</v>
      </c>
      <c r="S50" s="925">
        <v>2.3000000000000003</v>
      </c>
      <c r="T50" s="925">
        <v>3.4500000000000006</v>
      </c>
      <c r="U50" s="925">
        <v>4.6000000000000005</v>
      </c>
      <c r="V50" s="925">
        <v>5.7500000000000009</v>
      </c>
      <c r="W50" s="925">
        <v>6.9000000000000012</v>
      </c>
      <c r="X50" s="925">
        <v>8.0500000000000007</v>
      </c>
      <c r="Y50" s="925">
        <v>9.2000000000000011</v>
      </c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7"/>
    </row>
    <row r="51" spans="2:40" x14ac:dyDescent="0.3">
      <c r="B51" s="1156" t="s">
        <v>926</v>
      </c>
      <c r="C51" s="1157" t="s">
        <v>347</v>
      </c>
      <c r="D51" s="1157">
        <f t="shared" ref="D51:K51" si="12">SUM(D48:D50)*0.2</f>
        <v>-9.3958333333333321</v>
      </c>
      <c r="E51" s="1157">
        <f t="shared" si="12"/>
        <v>-24.421666666666667</v>
      </c>
      <c r="F51" s="1157">
        <f t="shared" si="12"/>
        <v>-42.450833333333343</v>
      </c>
      <c r="G51" s="1157">
        <f t="shared" si="12"/>
        <v>-58.986666666666672</v>
      </c>
      <c r="H51" s="1157">
        <f t="shared" si="12"/>
        <v>-78.240833333333342</v>
      </c>
      <c r="I51" s="1157">
        <f t="shared" si="12"/>
        <v>-100.66000000000003</v>
      </c>
      <c r="J51" s="1157">
        <f t="shared" si="12"/>
        <v>-126.5925</v>
      </c>
      <c r="K51" s="1157">
        <f t="shared" si="12"/>
        <v>-156.51000000000002</v>
      </c>
      <c r="M51" s="418"/>
      <c r="N51" s="416"/>
      <c r="O51" s="416"/>
      <c r="P51" s="422"/>
      <c r="Q51" s="99"/>
      <c r="R51" s="925"/>
      <c r="S51" s="925"/>
      <c r="T51" s="925"/>
      <c r="U51" s="925"/>
      <c r="V51" s="925"/>
      <c r="W51" s="925"/>
      <c r="X51" s="925"/>
      <c r="Y51" s="925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7"/>
    </row>
    <row r="52" spans="2:40" x14ac:dyDescent="0.3">
      <c r="B52" s="265" t="s">
        <v>350</v>
      </c>
      <c r="C52" s="99"/>
      <c r="D52" s="685"/>
      <c r="E52" s="685"/>
      <c r="F52" s="685"/>
      <c r="G52" s="685"/>
      <c r="H52" s="685"/>
      <c r="I52" s="685"/>
      <c r="J52" s="685"/>
      <c r="K52" s="685"/>
      <c r="M52" s="420" t="s">
        <v>350</v>
      </c>
      <c r="N52" s="416"/>
      <c r="O52" s="416"/>
      <c r="P52" s="422"/>
      <c r="Q52" s="99"/>
      <c r="R52" s="925"/>
      <c r="S52" s="925"/>
      <c r="T52" s="925"/>
      <c r="U52" s="925"/>
      <c r="V52" s="925"/>
      <c r="W52" s="925"/>
      <c r="X52" s="925"/>
      <c r="Y52" s="925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7"/>
    </row>
    <row r="53" spans="2:40" x14ac:dyDescent="0.3">
      <c r="B53" s="242" t="s">
        <v>582</v>
      </c>
      <c r="C53" s="99" t="s">
        <v>347</v>
      </c>
      <c r="D53" s="685">
        <f t="shared" ref="D53:K55" si="13">R53-D16</f>
        <v>149.33333333333331</v>
      </c>
      <c r="E53" s="685">
        <f t="shared" si="13"/>
        <v>149.33333333333331</v>
      </c>
      <c r="F53" s="685">
        <f t="shared" si="13"/>
        <v>149.33333333333331</v>
      </c>
      <c r="G53" s="685">
        <f t="shared" si="13"/>
        <v>149.33333333333331</v>
      </c>
      <c r="H53" s="685">
        <f t="shared" si="13"/>
        <v>149.33333333333331</v>
      </c>
      <c r="I53" s="685">
        <f t="shared" si="13"/>
        <v>149.33333333333331</v>
      </c>
      <c r="J53" s="685">
        <f t="shared" si="13"/>
        <v>149.33333333333331</v>
      </c>
      <c r="K53" s="685">
        <f t="shared" si="13"/>
        <v>149.33333333333331</v>
      </c>
      <c r="M53" s="418" t="s">
        <v>351</v>
      </c>
      <c r="N53" s="416"/>
      <c r="O53" s="416"/>
      <c r="P53" s="422"/>
      <c r="Q53" s="99" t="s">
        <v>347</v>
      </c>
      <c r="R53" s="925">
        <v>189.75</v>
      </c>
      <c r="S53" s="925">
        <v>189.75</v>
      </c>
      <c r="T53" s="925">
        <v>189.75</v>
      </c>
      <c r="U53" s="925">
        <v>189.75</v>
      </c>
      <c r="V53" s="925">
        <v>189.75</v>
      </c>
      <c r="W53" s="925">
        <v>189.75</v>
      </c>
      <c r="X53" s="925">
        <v>189.75</v>
      </c>
      <c r="Y53" s="925">
        <v>189.75</v>
      </c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7"/>
    </row>
    <row r="54" spans="2:40" x14ac:dyDescent="0.3">
      <c r="B54" s="242" t="s">
        <v>681</v>
      </c>
      <c r="C54" s="99" t="s">
        <v>347</v>
      </c>
      <c r="D54" s="685">
        <f t="shared" si="13"/>
        <v>0</v>
      </c>
      <c r="E54" s="685">
        <f t="shared" si="13"/>
        <v>51.666666666666742</v>
      </c>
      <c r="F54" s="685">
        <f t="shared" si="13"/>
        <v>51.666666666666742</v>
      </c>
      <c r="G54" s="685">
        <f t="shared" si="13"/>
        <v>0</v>
      </c>
      <c r="H54" s="685">
        <f t="shared" si="13"/>
        <v>0</v>
      </c>
      <c r="I54" s="685">
        <f t="shared" si="13"/>
        <v>0</v>
      </c>
      <c r="J54" s="685">
        <f t="shared" si="13"/>
        <v>0</v>
      </c>
      <c r="K54" s="685">
        <f t="shared" si="13"/>
        <v>0</v>
      </c>
      <c r="M54" s="418" t="s">
        <v>352</v>
      </c>
      <c r="N54" s="416"/>
      <c r="O54" s="416"/>
      <c r="P54" s="422"/>
      <c r="Q54" s="99" t="s">
        <v>347</v>
      </c>
      <c r="R54" s="925">
        <v>742.5</v>
      </c>
      <c r="S54" s="925">
        <v>794.16666666666674</v>
      </c>
      <c r="T54" s="925">
        <v>794.16666666666674</v>
      </c>
      <c r="U54" s="925">
        <v>794.16666666666674</v>
      </c>
      <c r="V54" s="925">
        <v>794.16666666666674</v>
      </c>
      <c r="W54" s="925">
        <v>794.16666666666674</v>
      </c>
      <c r="X54" s="925">
        <v>794.16666666666674</v>
      </c>
      <c r="Y54" s="925">
        <v>794.16666666666674</v>
      </c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7"/>
    </row>
    <row r="55" spans="2:40" x14ac:dyDescent="0.3">
      <c r="B55" s="242" t="s">
        <v>680</v>
      </c>
      <c r="C55" s="99" t="s">
        <v>347</v>
      </c>
      <c r="D55" s="685">
        <f t="shared" si="13"/>
        <v>102.16666666666667</v>
      </c>
      <c r="E55" s="685">
        <f t="shared" si="13"/>
        <v>102.16666666666667</v>
      </c>
      <c r="F55" s="685">
        <f t="shared" si="13"/>
        <v>102.16666666666667</v>
      </c>
      <c r="G55" s="685">
        <f t="shared" si="13"/>
        <v>102.16666666666667</v>
      </c>
      <c r="H55" s="685">
        <f t="shared" si="13"/>
        <v>102.16666666666667</v>
      </c>
      <c r="I55" s="685">
        <f t="shared" si="13"/>
        <v>102.16666666666667</v>
      </c>
      <c r="J55" s="685">
        <f t="shared" si="13"/>
        <v>102.16666666666667</v>
      </c>
      <c r="K55" s="685">
        <f t="shared" si="13"/>
        <v>102.16666666666667</v>
      </c>
      <c r="M55" s="418" t="s">
        <v>353</v>
      </c>
      <c r="N55" s="416"/>
      <c r="O55" s="416"/>
      <c r="P55" s="422"/>
      <c r="Q55" s="99" t="s">
        <v>347</v>
      </c>
      <c r="R55" s="925">
        <v>105.14166666666667</v>
      </c>
      <c r="S55" s="925">
        <v>105.14166666666667</v>
      </c>
      <c r="T55" s="925">
        <v>105.14166666666667</v>
      </c>
      <c r="U55" s="925">
        <v>105.14166666666667</v>
      </c>
      <c r="V55" s="925">
        <v>105.14166666666667</v>
      </c>
      <c r="W55" s="925">
        <v>105.14166666666667</v>
      </c>
      <c r="X55" s="925">
        <v>105.14166666666667</v>
      </c>
      <c r="Y55" s="925">
        <v>105.14166666666667</v>
      </c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7"/>
    </row>
    <row r="56" spans="2:40" x14ac:dyDescent="0.3">
      <c r="B56" s="243" t="s">
        <v>53</v>
      </c>
      <c r="C56" s="99" t="s">
        <v>347</v>
      </c>
      <c r="D56" s="685">
        <f t="shared" ref="D56:K56" si="14">-D48-D49-D50-D51+D61</f>
        <v>50.401666666666657</v>
      </c>
      <c r="E56" s="685">
        <f t="shared" si="14"/>
        <v>100.35666666666665</v>
      </c>
      <c r="F56" s="685">
        <f t="shared" si="14"/>
        <v>168.33166666666668</v>
      </c>
      <c r="G56" s="685">
        <f t="shared" si="14"/>
        <v>237.68</v>
      </c>
      <c r="H56" s="685">
        <f t="shared" si="14"/>
        <v>323.33833333333331</v>
      </c>
      <c r="I56" s="685">
        <f t="shared" si="14"/>
        <v>427.98666666666668</v>
      </c>
      <c r="J56" s="685">
        <f t="shared" si="14"/>
        <v>553.71499999999992</v>
      </c>
      <c r="K56" s="685">
        <f t="shared" si="14"/>
        <v>703.35333333333335</v>
      </c>
      <c r="M56" s="419" t="s">
        <v>52</v>
      </c>
      <c r="N56" s="416"/>
      <c r="O56" s="416"/>
      <c r="P56" s="422"/>
      <c r="Q56" s="99" t="s">
        <v>347</v>
      </c>
      <c r="R56" s="718"/>
      <c r="S56" s="718"/>
      <c r="T56" s="718"/>
      <c r="U56" s="718"/>
      <c r="V56" s="718"/>
      <c r="W56" s="718"/>
      <c r="X56" s="718"/>
      <c r="Y56" s="718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7"/>
    </row>
    <row r="57" spans="2:40" x14ac:dyDescent="0.3">
      <c r="B57" s="243" t="s">
        <v>354</v>
      </c>
      <c r="C57" s="99" t="s">
        <v>347</v>
      </c>
      <c r="D57" s="685">
        <f t="shared" ref="D57:K57" si="15">R57-D20</f>
        <v>76.63000000000001</v>
      </c>
      <c r="E57" s="685">
        <f t="shared" si="15"/>
        <v>76.63000000000001</v>
      </c>
      <c r="F57" s="685">
        <f t="shared" si="15"/>
        <v>76.63000000000001</v>
      </c>
      <c r="G57" s="685">
        <f t="shared" si="15"/>
        <v>76.63000000000001</v>
      </c>
      <c r="H57" s="685">
        <f t="shared" si="15"/>
        <v>76.63000000000001</v>
      </c>
      <c r="I57" s="685">
        <f t="shared" si="15"/>
        <v>76.63000000000001</v>
      </c>
      <c r="J57" s="685">
        <f t="shared" si="15"/>
        <v>76.63000000000001</v>
      </c>
      <c r="K57" s="685">
        <f t="shared" si="15"/>
        <v>76.63000000000001</v>
      </c>
      <c r="M57" s="419" t="s">
        <v>354</v>
      </c>
      <c r="N57" s="416"/>
      <c r="O57" s="416"/>
      <c r="P57" s="422"/>
      <c r="Q57" s="99" t="s">
        <v>347</v>
      </c>
      <c r="R57" s="718">
        <v>90.93</v>
      </c>
      <c r="S57" s="718">
        <v>90.93</v>
      </c>
      <c r="T57" s="718">
        <v>90.93</v>
      </c>
      <c r="U57" s="718">
        <v>90.93</v>
      </c>
      <c r="V57" s="718">
        <v>90.93</v>
      </c>
      <c r="W57" s="718">
        <v>90.93</v>
      </c>
      <c r="X57" s="718">
        <v>90.93</v>
      </c>
      <c r="Y57" s="718">
        <v>90.93</v>
      </c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7"/>
    </row>
    <row r="58" spans="2:40" x14ac:dyDescent="0.3">
      <c r="B58" s="270" t="s">
        <v>376</v>
      </c>
      <c r="C58" s="219"/>
      <c r="D58" s="1163"/>
      <c r="E58" s="1163"/>
      <c r="F58" s="1163"/>
      <c r="G58" s="1163"/>
      <c r="H58" s="1163"/>
      <c r="I58" s="1163"/>
      <c r="J58" s="1163"/>
      <c r="K58" s="1163"/>
      <c r="M58" s="266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7"/>
    </row>
    <row r="59" spans="2:40" x14ac:dyDescent="0.3">
      <c r="B59" s="1158" t="s">
        <v>927</v>
      </c>
      <c r="C59" s="1159" t="s">
        <v>566</v>
      </c>
      <c r="D59" s="1160">
        <f>(D53+D54)*0.2</f>
        <v>29.866666666666664</v>
      </c>
      <c r="E59" s="1160">
        <f t="shared" ref="E59:K59" si="16">(E53+E54)*0.2</f>
        <v>40.200000000000017</v>
      </c>
      <c r="F59" s="1160">
        <f t="shared" si="16"/>
        <v>40.200000000000017</v>
      </c>
      <c r="G59" s="1160">
        <f t="shared" si="16"/>
        <v>29.866666666666664</v>
      </c>
      <c r="H59" s="1160">
        <f t="shared" si="16"/>
        <v>29.866666666666664</v>
      </c>
      <c r="I59" s="1160">
        <f t="shared" si="16"/>
        <v>29.866666666666664</v>
      </c>
      <c r="J59" s="1160">
        <f t="shared" si="16"/>
        <v>29.866666666666664</v>
      </c>
      <c r="K59" s="1160">
        <f t="shared" si="16"/>
        <v>29.866666666666664</v>
      </c>
      <c r="M59" s="266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7"/>
    </row>
    <row r="60" spans="2:40" x14ac:dyDescent="0.3">
      <c r="B60" s="263" t="s">
        <v>374</v>
      </c>
      <c r="C60" s="264" t="s">
        <v>566</v>
      </c>
      <c r="D60" s="1162">
        <f>D53+D54+D59</f>
        <v>179.2</v>
      </c>
      <c r="E60" s="1162">
        <f>D60+5*(E53+E54+E59)</f>
        <v>1385.2000000000005</v>
      </c>
      <c r="F60" s="1162">
        <f t="shared" ref="F60:K60" si="17">E60+5*(F53+F54+F59)</f>
        <v>2591.2000000000007</v>
      </c>
      <c r="G60" s="1162">
        <f t="shared" si="17"/>
        <v>3487.2000000000007</v>
      </c>
      <c r="H60" s="1162">
        <f t="shared" si="17"/>
        <v>4383.2000000000007</v>
      </c>
      <c r="I60" s="1162">
        <f t="shared" si="17"/>
        <v>5279.2000000000007</v>
      </c>
      <c r="J60" s="1162">
        <f t="shared" si="17"/>
        <v>6175.2000000000007</v>
      </c>
      <c r="K60" s="1162">
        <f t="shared" si="17"/>
        <v>7071.2000000000007</v>
      </c>
    </row>
    <row r="61" spans="2:40" x14ac:dyDescent="0.3">
      <c r="B61" s="263" t="s">
        <v>373</v>
      </c>
      <c r="C61" s="264" t="s">
        <v>347</v>
      </c>
      <c r="D61" s="1162">
        <f t="shared" ref="D61:K61" si="18">PMT($C$104,$C$105,D60)</f>
        <v>-5.9733333333333327</v>
      </c>
      <c r="E61" s="1162">
        <f t="shared" si="18"/>
        <v>-46.173333333333353</v>
      </c>
      <c r="F61" s="1162">
        <f t="shared" si="18"/>
        <v>-86.373333333333363</v>
      </c>
      <c r="G61" s="1162">
        <f t="shared" si="18"/>
        <v>-116.24000000000002</v>
      </c>
      <c r="H61" s="1162">
        <f t="shared" si="18"/>
        <v>-146.10666666666668</v>
      </c>
      <c r="I61" s="1162">
        <f t="shared" si="18"/>
        <v>-175.97333333333336</v>
      </c>
      <c r="J61" s="1162">
        <f t="shared" si="18"/>
        <v>-205.84000000000003</v>
      </c>
      <c r="K61" s="1162">
        <f t="shared" si="18"/>
        <v>-235.70666666666668</v>
      </c>
    </row>
    <row r="62" spans="2:40" x14ac:dyDescent="0.3">
      <c r="C62" s="181"/>
      <c r="D62" s="181"/>
      <c r="E62" s="181"/>
      <c r="F62" s="181"/>
      <c r="G62" s="181"/>
      <c r="H62" s="181"/>
      <c r="I62" s="181"/>
      <c r="J62" s="181"/>
    </row>
    <row r="63" spans="2:40" ht="14.4" x14ac:dyDescent="0.3">
      <c r="B63" s="262" t="s">
        <v>366</v>
      </c>
      <c r="C63" s="181"/>
      <c r="D63" s="181"/>
      <c r="E63" s="181"/>
      <c r="F63" s="181"/>
      <c r="G63" s="181"/>
      <c r="H63" s="181"/>
      <c r="I63" s="181"/>
      <c r="J63" s="181"/>
    </row>
    <row r="64" spans="2:40" x14ac:dyDescent="0.3">
      <c r="B64" s="179" t="s">
        <v>367</v>
      </c>
      <c r="C64" s="180"/>
      <c r="D64" s="180"/>
      <c r="E64" s="180"/>
      <c r="F64" s="180"/>
      <c r="G64" s="180"/>
      <c r="H64" s="180"/>
      <c r="I64" s="180"/>
      <c r="J64" s="180"/>
      <c r="K64" s="180"/>
    </row>
    <row r="65" spans="2:13" x14ac:dyDescent="0.3">
      <c r="B65" s="183"/>
      <c r="C65" s="253" t="s">
        <v>318</v>
      </c>
      <c r="D65" s="183">
        <v>2015</v>
      </c>
      <c r="E65" s="183">
        <v>2020</v>
      </c>
      <c r="F65" s="183">
        <v>2025</v>
      </c>
      <c r="G65" s="183">
        <v>2030</v>
      </c>
      <c r="H65" s="183">
        <v>2035</v>
      </c>
      <c r="I65" s="183">
        <v>2040</v>
      </c>
      <c r="J65" s="183">
        <v>2045</v>
      </c>
      <c r="K65" s="183">
        <v>2050</v>
      </c>
      <c r="L65" s="350"/>
      <c r="M65" s="136"/>
    </row>
    <row r="66" spans="2:13" x14ac:dyDescent="0.3">
      <c r="B66" s="183"/>
      <c r="C66" s="296">
        <v>1</v>
      </c>
      <c r="D66" s="297">
        <v>2</v>
      </c>
      <c r="E66" s="296">
        <v>3</v>
      </c>
      <c r="F66" s="297">
        <v>4</v>
      </c>
      <c r="G66" s="296">
        <v>5</v>
      </c>
      <c r="H66" s="297">
        <v>6</v>
      </c>
      <c r="I66" s="296">
        <v>7</v>
      </c>
      <c r="J66" s="297">
        <v>8</v>
      </c>
      <c r="K66" s="296">
        <v>9</v>
      </c>
      <c r="L66" s="351"/>
      <c r="M66" s="345"/>
    </row>
    <row r="67" spans="2:13" x14ac:dyDescent="0.3">
      <c r="B67" s="191" t="s">
        <v>231</v>
      </c>
      <c r="C67" s="183">
        <v>1</v>
      </c>
      <c r="D67" s="99"/>
      <c r="E67" s="99"/>
      <c r="F67" s="99"/>
      <c r="G67" s="99"/>
      <c r="H67" s="99"/>
      <c r="I67" s="99"/>
      <c r="J67" s="99"/>
      <c r="K67" s="99"/>
      <c r="L67" s="351"/>
      <c r="M67" s="345"/>
    </row>
    <row r="68" spans="2:13" x14ac:dyDescent="0.3">
      <c r="B68" s="191" t="s">
        <v>209</v>
      </c>
      <c r="C68" s="183">
        <v>2</v>
      </c>
      <c r="D68" s="99"/>
      <c r="E68" s="99"/>
      <c r="F68" s="99"/>
      <c r="G68" s="99"/>
      <c r="H68" s="99"/>
      <c r="I68" s="99"/>
      <c r="J68" s="99"/>
      <c r="K68" s="99"/>
      <c r="L68" s="351"/>
      <c r="M68" s="345"/>
    </row>
    <row r="69" spans="2:13" x14ac:dyDescent="0.3">
      <c r="B69" s="191" t="s">
        <v>133</v>
      </c>
      <c r="C69" s="183">
        <v>23</v>
      </c>
      <c r="D69" s="99">
        <f t="shared" ref="D69:K69" si="19">SUMPRODUCT(D$25:D$37,$M$8:$M$20)</f>
        <v>0</v>
      </c>
      <c r="E69" s="99">
        <f t="shared" si="19"/>
        <v>0</v>
      </c>
      <c r="F69" s="99">
        <f t="shared" si="19"/>
        <v>0</v>
      </c>
      <c r="G69" s="99">
        <f t="shared" si="19"/>
        <v>0</v>
      </c>
      <c r="H69" s="99">
        <f t="shared" si="19"/>
        <v>0</v>
      </c>
      <c r="I69" s="99">
        <f t="shared" si="19"/>
        <v>0</v>
      </c>
      <c r="J69" s="99">
        <f t="shared" si="19"/>
        <v>0</v>
      </c>
      <c r="K69" s="99">
        <f t="shared" si="19"/>
        <v>0</v>
      </c>
      <c r="L69" s="351"/>
      <c r="M69" s="345"/>
    </row>
    <row r="70" spans="2:13" x14ac:dyDescent="0.3">
      <c r="B70" s="191" t="s">
        <v>285</v>
      </c>
      <c r="C70" s="183">
        <v>24</v>
      </c>
      <c r="D70" s="99">
        <f t="shared" ref="D70:K70" si="20">SUMPRODUCT(D$25:D$37,$N$8:$N$20)</f>
        <v>0</v>
      </c>
      <c r="E70" s="99">
        <f t="shared" si="20"/>
        <v>0</v>
      </c>
      <c r="F70" s="99">
        <f t="shared" si="20"/>
        <v>0</v>
      </c>
      <c r="G70" s="99">
        <f t="shared" si="20"/>
        <v>0</v>
      </c>
      <c r="H70" s="99">
        <f t="shared" si="20"/>
        <v>0</v>
      </c>
      <c r="I70" s="99">
        <f t="shared" si="20"/>
        <v>0</v>
      </c>
      <c r="J70" s="99">
        <f t="shared" si="20"/>
        <v>0</v>
      </c>
      <c r="K70" s="99">
        <f t="shared" si="20"/>
        <v>0</v>
      </c>
      <c r="L70" s="413"/>
      <c r="M70" s="345"/>
    </row>
    <row r="71" spans="2:13" x14ac:dyDescent="0.3">
      <c r="B71" s="191" t="s">
        <v>315</v>
      </c>
      <c r="C71" s="183">
        <v>26</v>
      </c>
      <c r="D71" s="99">
        <f t="shared" ref="D71:K71" si="21">SUMPRODUCT(D$25:D$37,$O$8:$O$20)</f>
        <v>0</v>
      </c>
      <c r="E71" s="99">
        <f t="shared" si="21"/>
        <v>0</v>
      </c>
      <c r="F71" s="99">
        <f t="shared" si="21"/>
        <v>0</v>
      </c>
      <c r="G71" s="99">
        <f t="shared" si="21"/>
        <v>0</v>
      </c>
      <c r="H71" s="99">
        <f t="shared" si="21"/>
        <v>0</v>
      </c>
      <c r="I71" s="99">
        <f t="shared" si="21"/>
        <v>0</v>
      </c>
      <c r="J71" s="99">
        <f t="shared" si="21"/>
        <v>0</v>
      </c>
      <c r="K71" s="99">
        <f t="shared" si="21"/>
        <v>0</v>
      </c>
      <c r="L71" s="413"/>
      <c r="M71" s="345"/>
    </row>
    <row r="72" spans="2:13" x14ac:dyDescent="0.3">
      <c r="B72" s="191" t="s">
        <v>38</v>
      </c>
      <c r="C72" s="183">
        <v>29</v>
      </c>
      <c r="D72" s="99">
        <f t="shared" ref="D72:K72" si="22">SUMPRODUCT(D$25:D$37,$P$8:$P$20)</f>
        <v>68.170833333333334</v>
      </c>
      <c r="E72" s="99">
        <f t="shared" si="22"/>
        <v>68.008333333333326</v>
      </c>
      <c r="F72" s="99">
        <f t="shared" si="22"/>
        <v>119.51250000000007</v>
      </c>
      <c r="G72" s="99">
        <f t="shared" si="22"/>
        <v>67.683333333333323</v>
      </c>
      <c r="H72" s="99">
        <f t="shared" si="22"/>
        <v>67.520833333333329</v>
      </c>
      <c r="I72" s="99">
        <f t="shared" si="22"/>
        <v>67.358333333333334</v>
      </c>
      <c r="J72" s="99">
        <f t="shared" si="22"/>
        <v>67.195833333333326</v>
      </c>
      <c r="K72" s="99">
        <f t="shared" si="22"/>
        <v>67.033333333333331</v>
      </c>
      <c r="L72" s="351"/>
      <c r="M72" s="345"/>
    </row>
    <row r="73" spans="2:13" x14ac:dyDescent="0.3">
      <c r="B73" s="191" t="s">
        <v>136</v>
      </c>
      <c r="C73" s="183">
        <v>30</v>
      </c>
      <c r="D73" s="99">
        <f t="shared" ref="D73:K73" si="23">SUMPRODUCT(D$25:D$37,$Q$8:$Q$20)</f>
        <v>0</v>
      </c>
      <c r="E73" s="99">
        <f t="shared" si="23"/>
        <v>0</v>
      </c>
      <c r="F73" s="99">
        <f t="shared" si="23"/>
        <v>0</v>
      </c>
      <c r="G73" s="99">
        <f t="shared" si="23"/>
        <v>0</v>
      </c>
      <c r="H73" s="99">
        <f t="shared" si="23"/>
        <v>0</v>
      </c>
      <c r="I73" s="99">
        <f t="shared" si="23"/>
        <v>0</v>
      </c>
      <c r="J73" s="99">
        <f t="shared" si="23"/>
        <v>0</v>
      </c>
      <c r="K73" s="99">
        <f t="shared" si="23"/>
        <v>0</v>
      </c>
      <c r="L73" s="351"/>
      <c r="M73" s="345"/>
    </row>
    <row r="74" spans="2:13" x14ac:dyDescent="0.3">
      <c r="B74" s="191" t="s">
        <v>360</v>
      </c>
      <c r="C74" s="183">
        <v>31</v>
      </c>
      <c r="D74" s="99">
        <f t="shared" ref="D74:K74" si="24">SUMPRODUCT(D$25:D$37,$R$8:$R$20)</f>
        <v>0</v>
      </c>
      <c r="E74" s="99">
        <f t="shared" si="24"/>
        <v>0</v>
      </c>
      <c r="F74" s="99">
        <f t="shared" si="24"/>
        <v>0</v>
      </c>
      <c r="G74" s="99">
        <f t="shared" si="24"/>
        <v>0</v>
      </c>
      <c r="H74" s="99">
        <f t="shared" si="24"/>
        <v>0</v>
      </c>
      <c r="I74" s="99">
        <f t="shared" si="24"/>
        <v>0</v>
      </c>
      <c r="J74" s="99">
        <f t="shared" si="24"/>
        <v>0</v>
      </c>
      <c r="K74" s="99">
        <f t="shared" si="24"/>
        <v>0</v>
      </c>
      <c r="L74" s="351"/>
      <c r="M74" s="345"/>
    </row>
    <row r="75" spans="2:13" x14ac:dyDescent="0.3">
      <c r="B75" s="191" t="s">
        <v>361</v>
      </c>
      <c r="C75" s="183">
        <v>32</v>
      </c>
      <c r="D75" s="99">
        <f t="shared" ref="D75:K75" si="25">SUMPRODUCT(D$25:D$37,$S$8:$S$20)</f>
        <v>0</v>
      </c>
      <c r="E75" s="99">
        <f t="shared" si="25"/>
        <v>0</v>
      </c>
      <c r="F75" s="99">
        <f t="shared" si="25"/>
        <v>0</v>
      </c>
      <c r="G75" s="99">
        <f t="shared" si="25"/>
        <v>0</v>
      </c>
      <c r="H75" s="99">
        <f t="shared" si="25"/>
        <v>0</v>
      </c>
      <c r="I75" s="99">
        <f t="shared" si="25"/>
        <v>0</v>
      </c>
      <c r="J75" s="99">
        <f t="shared" si="25"/>
        <v>0</v>
      </c>
      <c r="K75" s="99">
        <f t="shared" si="25"/>
        <v>0</v>
      </c>
      <c r="L75" s="351"/>
      <c r="M75" s="345"/>
    </row>
    <row r="76" spans="2:13" x14ac:dyDescent="0.3">
      <c r="B76" s="191" t="s">
        <v>362</v>
      </c>
      <c r="C76" s="183">
        <v>33</v>
      </c>
      <c r="D76" s="99">
        <f t="shared" ref="D76:K76" si="26">SUMPRODUCT(D$25:D$37,$T$8:$T$20)</f>
        <v>0</v>
      </c>
      <c r="E76" s="99">
        <f t="shared" si="26"/>
        <v>0</v>
      </c>
      <c r="F76" s="99">
        <f t="shared" si="26"/>
        <v>0</v>
      </c>
      <c r="G76" s="99">
        <f t="shared" si="26"/>
        <v>0</v>
      </c>
      <c r="H76" s="99">
        <f t="shared" si="26"/>
        <v>0</v>
      </c>
      <c r="I76" s="99">
        <f t="shared" si="26"/>
        <v>0</v>
      </c>
      <c r="J76" s="99">
        <f t="shared" si="26"/>
        <v>0</v>
      </c>
      <c r="K76" s="99">
        <f t="shared" si="26"/>
        <v>0</v>
      </c>
      <c r="L76" s="351"/>
      <c r="M76" s="345"/>
    </row>
    <row r="77" spans="2:13" x14ac:dyDescent="0.3">
      <c r="B77" s="191" t="s">
        <v>363</v>
      </c>
      <c r="C77" s="183">
        <v>55</v>
      </c>
      <c r="D77" s="99">
        <f t="shared" ref="D77:K77" si="27">SUMPRODUCT(D$25:D$37,$U$8:$U$20)</f>
        <v>-0.16250000000000001</v>
      </c>
      <c r="E77" s="99">
        <f t="shared" si="27"/>
        <v>-0.32500000000000001</v>
      </c>
      <c r="F77" s="99">
        <f t="shared" si="27"/>
        <v>-0.4875000000000001</v>
      </c>
      <c r="G77" s="99">
        <f t="shared" si="27"/>
        <v>-0.65</v>
      </c>
      <c r="H77" s="99">
        <f t="shared" si="27"/>
        <v>-0.81250000000000011</v>
      </c>
      <c r="I77" s="99">
        <f t="shared" si="27"/>
        <v>-0.9750000000000002</v>
      </c>
      <c r="J77" s="99">
        <f t="shared" si="27"/>
        <v>-1.1375</v>
      </c>
      <c r="K77" s="99">
        <f t="shared" si="27"/>
        <v>-1.3</v>
      </c>
      <c r="L77" s="351"/>
      <c r="M77" s="345"/>
    </row>
    <row r="78" spans="2:13" x14ac:dyDescent="0.3">
      <c r="B78" s="259" t="s">
        <v>204</v>
      </c>
      <c r="C78" s="251">
        <v>101</v>
      </c>
      <c r="D78" s="99"/>
      <c r="E78" s="99"/>
      <c r="F78" s="99"/>
      <c r="G78" s="99"/>
      <c r="H78" s="99"/>
      <c r="I78" s="99"/>
      <c r="J78" s="99"/>
      <c r="K78" s="99"/>
      <c r="L78" s="350"/>
      <c r="M78" s="136"/>
    </row>
    <row r="79" spans="2:13" x14ac:dyDescent="0.3">
      <c r="B79" s="259" t="s">
        <v>364</v>
      </c>
      <c r="C79" s="251">
        <v>102</v>
      </c>
      <c r="D79" s="99">
        <f>D35</f>
        <v>30.783333333333331</v>
      </c>
      <c r="E79" s="99">
        <f t="shared" ref="E79:K79" si="28">E35</f>
        <v>30.783333333333331</v>
      </c>
      <c r="F79" s="99">
        <f t="shared" si="28"/>
        <v>30.783333333333331</v>
      </c>
      <c r="G79" s="99">
        <f t="shared" si="28"/>
        <v>30.783333333333331</v>
      </c>
      <c r="H79" s="99">
        <f t="shared" si="28"/>
        <v>30.783333333333331</v>
      </c>
      <c r="I79" s="99">
        <f t="shared" si="28"/>
        <v>30.783333333333331</v>
      </c>
      <c r="J79" s="99">
        <f t="shared" si="28"/>
        <v>30.783333333333331</v>
      </c>
      <c r="K79" s="99">
        <f t="shared" si="28"/>
        <v>30.783333333333331</v>
      </c>
    </row>
    <row r="80" spans="2:13" x14ac:dyDescent="0.3">
      <c r="B80" s="259" t="s">
        <v>496</v>
      </c>
      <c r="C80" s="251">
        <v>103</v>
      </c>
      <c r="D80" s="99">
        <f>-D29</f>
        <v>-0.625</v>
      </c>
      <c r="E80" s="99">
        <f t="shared" ref="E80:K80" si="29">-E29</f>
        <v>-1.44166666666667</v>
      </c>
      <c r="F80" s="99">
        <f t="shared" si="29"/>
        <v>11.124999999999993</v>
      </c>
      <c r="G80" s="99">
        <f t="shared" si="29"/>
        <v>11.733333333333334</v>
      </c>
      <c r="H80" s="99">
        <f t="shared" si="29"/>
        <v>12.24166666666666</v>
      </c>
      <c r="I80" s="99">
        <f t="shared" si="29"/>
        <v>12.733333333333348</v>
      </c>
      <c r="J80" s="99">
        <f t="shared" si="29"/>
        <v>12.958333333333314</v>
      </c>
      <c r="K80" s="99">
        <f t="shared" si="29"/>
        <v>13.083333333333343</v>
      </c>
      <c r="L80" s="261" t="s">
        <v>692</v>
      </c>
    </row>
    <row r="81" spans="2:11" x14ac:dyDescent="0.3">
      <c r="B81" s="260" t="s">
        <v>110</v>
      </c>
      <c r="C81" s="252">
        <v>104</v>
      </c>
      <c r="D81" s="99"/>
      <c r="E81" s="99"/>
      <c r="F81" s="99"/>
      <c r="G81" s="99"/>
      <c r="H81" s="99"/>
      <c r="I81" s="99"/>
      <c r="J81" s="99"/>
      <c r="K81" s="99"/>
    </row>
    <row r="82" spans="2:11" x14ac:dyDescent="0.3">
      <c r="B82" s="260" t="s">
        <v>53</v>
      </c>
      <c r="C82" s="252">
        <v>105</v>
      </c>
      <c r="D82" s="99">
        <f>D36</f>
        <v>24.946666666666665</v>
      </c>
      <c r="E82" s="99">
        <f t="shared" ref="E82:K82" si="30">E36</f>
        <v>44.110000000000007</v>
      </c>
      <c r="F82" s="99">
        <f t="shared" si="30"/>
        <v>85.20999999999998</v>
      </c>
      <c r="G82" s="99">
        <f t="shared" si="30"/>
        <v>120.12333333333333</v>
      </c>
      <c r="H82" s="99">
        <f t="shared" si="30"/>
        <v>163.08666666666662</v>
      </c>
      <c r="I82" s="99">
        <f t="shared" si="30"/>
        <v>215.13</v>
      </c>
      <c r="J82" s="99">
        <f t="shared" si="30"/>
        <v>277.3533333333333</v>
      </c>
      <c r="K82" s="99">
        <f t="shared" si="30"/>
        <v>351.38666666666671</v>
      </c>
    </row>
    <row r="84" spans="2:11" x14ac:dyDescent="0.3">
      <c r="B84" s="179" t="s">
        <v>368</v>
      </c>
      <c r="C84" s="180"/>
      <c r="D84" s="180"/>
      <c r="E84" s="180"/>
      <c r="F84" s="180"/>
      <c r="G84" s="180"/>
      <c r="H84" s="180"/>
      <c r="I84" s="180"/>
      <c r="J84" s="180"/>
      <c r="K84" s="180"/>
    </row>
    <row r="85" spans="2:11" x14ac:dyDescent="0.3">
      <c r="B85" s="183"/>
      <c r="C85" s="253" t="s">
        <v>318</v>
      </c>
      <c r="D85" s="183">
        <v>2015</v>
      </c>
      <c r="E85" s="183">
        <v>2020</v>
      </c>
      <c r="F85" s="183">
        <v>2025</v>
      </c>
      <c r="G85" s="183">
        <v>2030</v>
      </c>
      <c r="H85" s="183">
        <v>2035</v>
      </c>
      <c r="I85" s="183">
        <v>2040</v>
      </c>
      <c r="J85" s="183">
        <v>2045</v>
      </c>
      <c r="K85" s="183">
        <v>2050</v>
      </c>
    </row>
    <row r="86" spans="2:11" x14ac:dyDescent="0.3">
      <c r="B86" s="183"/>
      <c r="C86" s="296">
        <v>1</v>
      </c>
      <c r="D86" s="297">
        <v>2</v>
      </c>
      <c r="E86" s="296">
        <v>3</v>
      </c>
      <c r="F86" s="297">
        <v>4</v>
      </c>
      <c r="G86" s="296">
        <v>5</v>
      </c>
      <c r="H86" s="297">
        <v>6</v>
      </c>
      <c r="I86" s="296">
        <v>7</v>
      </c>
      <c r="J86" s="297">
        <v>8</v>
      </c>
      <c r="K86" s="296">
        <v>9</v>
      </c>
    </row>
    <row r="87" spans="2:11" x14ac:dyDescent="0.3">
      <c r="B87" s="191" t="s">
        <v>231</v>
      </c>
      <c r="C87" s="183">
        <v>1</v>
      </c>
      <c r="D87" s="99"/>
      <c r="E87" s="99"/>
      <c r="F87" s="99"/>
      <c r="G87" s="99"/>
      <c r="H87" s="99"/>
      <c r="I87" s="99"/>
      <c r="J87" s="99"/>
      <c r="K87" s="99"/>
    </row>
    <row r="88" spans="2:11" x14ac:dyDescent="0.3">
      <c r="B88" s="191" t="s">
        <v>133</v>
      </c>
      <c r="C88" s="183">
        <v>23</v>
      </c>
      <c r="D88" s="99">
        <f t="shared" ref="D88:K88" si="31">SUMPRODUCT(D$45:D$57,$M$8:$M$20)</f>
        <v>0</v>
      </c>
      <c r="E88" s="99">
        <f t="shared" si="31"/>
        <v>0</v>
      </c>
      <c r="F88" s="99">
        <f t="shared" si="31"/>
        <v>0</v>
      </c>
      <c r="G88" s="99">
        <f t="shared" si="31"/>
        <v>0</v>
      </c>
      <c r="H88" s="99">
        <f t="shared" si="31"/>
        <v>0</v>
      </c>
      <c r="I88" s="99">
        <f t="shared" si="31"/>
        <v>0</v>
      </c>
      <c r="J88" s="99">
        <f t="shared" si="31"/>
        <v>0</v>
      </c>
      <c r="K88" s="99">
        <f t="shared" si="31"/>
        <v>0</v>
      </c>
    </row>
    <row r="89" spans="2:11" x14ac:dyDescent="0.3">
      <c r="B89" s="191" t="s">
        <v>285</v>
      </c>
      <c r="C89" s="183">
        <v>24</v>
      </c>
      <c r="D89" s="99">
        <f t="shared" ref="D89:K89" si="32">SUMPRODUCT(D$45:D$57,$N$8:$N$20)</f>
        <v>0</v>
      </c>
      <c r="E89" s="99">
        <f t="shared" si="32"/>
        <v>0</v>
      </c>
      <c r="F89" s="99">
        <f t="shared" si="32"/>
        <v>0</v>
      </c>
      <c r="G89" s="99">
        <f t="shared" si="32"/>
        <v>0</v>
      </c>
      <c r="H89" s="99">
        <f t="shared" si="32"/>
        <v>0</v>
      </c>
      <c r="I89" s="99">
        <f t="shared" si="32"/>
        <v>0</v>
      </c>
      <c r="J89" s="99">
        <f t="shared" si="32"/>
        <v>0</v>
      </c>
      <c r="K89" s="99">
        <f t="shared" si="32"/>
        <v>0</v>
      </c>
    </row>
    <row r="90" spans="2:11" x14ac:dyDescent="0.3">
      <c r="B90" s="191" t="s">
        <v>315</v>
      </c>
      <c r="C90" s="183">
        <v>26</v>
      </c>
      <c r="D90" s="99">
        <f t="shared" ref="D90:K90" si="33">SUMPRODUCT(D$45:D$57,$O$8:$O$20)</f>
        <v>0</v>
      </c>
      <c r="E90" s="99">
        <f t="shared" si="33"/>
        <v>0</v>
      </c>
      <c r="F90" s="99">
        <f t="shared" si="33"/>
        <v>0</v>
      </c>
      <c r="G90" s="99">
        <f t="shared" si="33"/>
        <v>0</v>
      </c>
      <c r="H90" s="99">
        <f t="shared" si="33"/>
        <v>0</v>
      </c>
      <c r="I90" s="99">
        <f t="shared" si="33"/>
        <v>0</v>
      </c>
      <c r="J90" s="99">
        <f t="shared" si="33"/>
        <v>0</v>
      </c>
      <c r="K90" s="99">
        <f t="shared" si="33"/>
        <v>0</v>
      </c>
    </row>
    <row r="91" spans="2:11" x14ac:dyDescent="0.3">
      <c r="B91" s="191" t="s">
        <v>38</v>
      </c>
      <c r="C91" s="183">
        <v>29</v>
      </c>
      <c r="D91" s="99">
        <f t="shared" ref="D91:K91" si="34">SUMPRODUCT(D$45:D$57,$P$8:$P$20)</f>
        <v>148.91874999999999</v>
      </c>
      <c r="E91" s="99">
        <f t="shared" si="34"/>
        <v>200.17083333333338</v>
      </c>
      <c r="F91" s="99">
        <f t="shared" si="34"/>
        <v>199.75625000000005</v>
      </c>
      <c r="G91" s="99">
        <f t="shared" si="34"/>
        <v>147.67499999999998</v>
      </c>
      <c r="H91" s="99">
        <f t="shared" si="34"/>
        <v>147.26041666666666</v>
      </c>
      <c r="I91" s="99">
        <f t="shared" si="34"/>
        <v>146.8458333333333</v>
      </c>
      <c r="J91" s="99">
        <f t="shared" si="34"/>
        <v>146.43124999999998</v>
      </c>
      <c r="K91" s="99">
        <f t="shared" si="34"/>
        <v>146.01666666666665</v>
      </c>
    </row>
    <row r="92" spans="2:11" x14ac:dyDescent="0.3">
      <c r="B92" s="191" t="s">
        <v>136</v>
      </c>
      <c r="C92" s="183">
        <v>30</v>
      </c>
      <c r="D92" s="99">
        <f t="shared" ref="D92:K92" si="35">SUMPRODUCT(D$45:D$57,$Q$8:$Q$20)</f>
        <v>0</v>
      </c>
      <c r="E92" s="99">
        <f t="shared" si="35"/>
        <v>0</v>
      </c>
      <c r="F92" s="99">
        <f t="shared" si="35"/>
        <v>0</v>
      </c>
      <c r="G92" s="99">
        <f t="shared" si="35"/>
        <v>0</v>
      </c>
      <c r="H92" s="99">
        <f t="shared" si="35"/>
        <v>0</v>
      </c>
      <c r="I92" s="99">
        <f t="shared" si="35"/>
        <v>0</v>
      </c>
      <c r="J92" s="99">
        <f t="shared" si="35"/>
        <v>0</v>
      </c>
      <c r="K92" s="99">
        <f t="shared" si="35"/>
        <v>0</v>
      </c>
    </row>
    <row r="93" spans="2:11" x14ac:dyDescent="0.3">
      <c r="B93" s="191" t="s">
        <v>360</v>
      </c>
      <c r="C93" s="183">
        <v>31</v>
      </c>
      <c r="D93" s="99">
        <f t="shared" ref="D93:K93" si="36">SUMPRODUCT(D$45:D$57,$R$8:$R$20)</f>
        <v>0</v>
      </c>
      <c r="E93" s="99">
        <f t="shared" si="36"/>
        <v>0</v>
      </c>
      <c r="F93" s="99">
        <f t="shared" si="36"/>
        <v>0</v>
      </c>
      <c r="G93" s="99">
        <f t="shared" si="36"/>
        <v>0</v>
      </c>
      <c r="H93" s="99">
        <f t="shared" si="36"/>
        <v>0</v>
      </c>
      <c r="I93" s="99">
        <f t="shared" si="36"/>
        <v>0</v>
      </c>
      <c r="J93" s="99">
        <f t="shared" si="36"/>
        <v>0</v>
      </c>
      <c r="K93" s="99">
        <f t="shared" si="36"/>
        <v>0</v>
      </c>
    </row>
    <row r="94" spans="2:11" x14ac:dyDescent="0.3">
      <c r="B94" s="191" t="s">
        <v>361</v>
      </c>
      <c r="C94" s="183">
        <v>32</v>
      </c>
      <c r="D94" s="99">
        <f t="shared" ref="D94:K94" si="37">SUMPRODUCT(D$45:D$57,$S$8:$S$20)</f>
        <v>0</v>
      </c>
      <c r="E94" s="99">
        <f t="shared" si="37"/>
        <v>0</v>
      </c>
      <c r="F94" s="99">
        <f t="shared" si="37"/>
        <v>0</v>
      </c>
      <c r="G94" s="99">
        <f t="shared" si="37"/>
        <v>0</v>
      </c>
      <c r="H94" s="99">
        <f t="shared" si="37"/>
        <v>0</v>
      </c>
      <c r="I94" s="99">
        <f t="shared" si="37"/>
        <v>0</v>
      </c>
      <c r="J94" s="99">
        <f t="shared" si="37"/>
        <v>0</v>
      </c>
      <c r="K94" s="99">
        <f t="shared" si="37"/>
        <v>0</v>
      </c>
    </row>
    <row r="95" spans="2:11" x14ac:dyDescent="0.3">
      <c r="B95" s="191" t="s">
        <v>362</v>
      </c>
      <c r="C95" s="183">
        <v>33</v>
      </c>
      <c r="D95" s="99">
        <f t="shared" ref="D95:K95" si="38">SUMPRODUCT(D$45:D$57,$T$8:$T$20)</f>
        <v>0</v>
      </c>
      <c r="E95" s="99">
        <f t="shared" si="38"/>
        <v>0</v>
      </c>
      <c r="F95" s="99">
        <f t="shared" si="38"/>
        <v>0</v>
      </c>
      <c r="G95" s="99">
        <f t="shared" si="38"/>
        <v>0</v>
      </c>
      <c r="H95" s="99">
        <f t="shared" si="38"/>
        <v>0</v>
      </c>
      <c r="I95" s="99">
        <f t="shared" si="38"/>
        <v>0</v>
      </c>
      <c r="J95" s="99">
        <f t="shared" si="38"/>
        <v>0</v>
      </c>
      <c r="K95" s="99">
        <f t="shared" si="38"/>
        <v>0</v>
      </c>
    </row>
    <row r="96" spans="2:11" x14ac:dyDescent="0.3">
      <c r="B96" s="191" t="s">
        <v>363</v>
      </c>
      <c r="C96" s="183">
        <v>55</v>
      </c>
      <c r="D96" s="99">
        <f t="shared" ref="D96:K96" si="39">SUMPRODUCT(D$45:D$57,$U$8:$U$20)</f>
        <v>-0.41458333333333341</v>
      </c>
      <c r="E96" s="99">
        <f t="shared" si="39"/>
        <v>-0.82916666666666683</v>
      </c>
      <c r="F96" s="99">
        <f t="shared" si="39"/>
        <v>-1.2437500000000004</v>
      </c>
      <c r="G96" s="99">
        <f t="shared" si="39"/>
        <v>-1.6583333333333337</v>
      </c>
      <c r="H96" s="99">
        <f t="shared" si="39"/>
        <v>-2.072916666666667</v>
      </c>
      <c r="I96" s="99">
        <f t="shared" si="39"/>
        <v>-2.4875000000000007</v>
      </c>
      <c r="J96" s="99">
        <f t="shared" si="39"/>
        <v>-2.9020833333333336</v>
      </c>
      <c r="K96" s="99">
        <f t="shared" si="39"/>
        <v>-3.3166666666666673</v>
      </c>
    </row>
    <row r="97" spans="2:12" x14ac:dyDescent="0.3">
      <c r="B97" s="259" t="s">
        <v>204</v>
      </c>
      <c r="C97" s="251">
        <v>101</v>
      </c>
      <c r="D97" s="99"/>
      <c r="E97" s="99"/>
      <c r="F97" s="99"/>
      <c r="G97" s="99"/>
      <c r="H97" s="99"/>
      <c r="I97" s="99"/>
      <c r="J97" s="99"/>
      <c r="K97" s="99"/>
    </row>
    <row r="98" spans="2:12" x14ac:dyDescent="0.3">
      <c r="B98" s="259" t="s">
        <v>364</v>
      </c>
      <c r="C98" s="251">
        <v>102</v>
      </c>
      <c r="D98" s="99">
        <f>D55</f>
        <v>102.16666666666667</v>
      </c>
      <c r="E98" s="99">
        <f t="shared" ref="E98:K98" si="40">E55</f>
        <v>102.16666666666667</v>
      </c>
      <c r="F98" s="99">
        <f t="shared" si="40"/>
        <v>102.16666666666667</v>
      </c>
      <c r="G98" s="99">
        <f t="shared" si="40"/>
        <v>102.16666666666667</v>
      </c>
      <c r="H98" s="99">
        <f t="shared" si="40"/>
        <v>102.16666666666667</v>
      </c>
      <c r="I98" s="99">
        <f t="shared" si="40"/>
        <v>102.16666666666667</v>
      </c>
      <c r="J98" s="99">
        <f t="shared" si="40"/>
        <v>102.16666666666667</v>
      </c>
      <c r="K98" s="99">
        <f t="shared" si="40"/>
        <v>102.16666666666667</v>
      </c>
    </row>
    <row r="99" spans="2:12" x14ac:dyDescent="0.3">
      <c r="B99" s="259" t="s">
        <v>496</v>
      </c>
      <c r="C99" s="251">
        <v>103</v>
      </c>
      <c r="D99" s="99">
        <f>-D49</f>
        <v>-0.41666666666666785</v>
      </c>
      <c r="E99" s="99">
        <f t="shared" ref="E99:K99" si="41">-E49</f>
        <v>10.783333333333335</v>
      </c>
      <c r="F99" s="99">
        <f t="shared" si="41"/>
        <v>25.375</v>
      </c>
      <c r="G99" s="99">
        <f t="shared" si="41"/>
        <v>28.324999999999996</v>
      </c>
      <c r="H99" s="99">
        <f t="shared" si="41"/>
        <v>31.574999999999989</v>
      </c>
      <c r="I99" s="99">
        <f t="shared" si="41"/>
        <v>35.233333333333348</v>
      </c>
      <c r="J99" s="99">
        <f t="shared" si="41"/>
        <v>39.208333333333314</v>
      </c>
      <c r="K99" s="99">
        <f t="shared" si="41"/>
        <v>43.583333333333343</v>
      </c>
      <c r="L99" s="261" t="s">
        <v>692</v>
      </c>
    </row>
    <row r="100" spans="2:12" x14ac:dyDescent="0.3">
      <c r="B100" s="260" t="s">
        <v>110</v>
      </c>
      <c r="C100" s="252">
        <v>104</v>
      </c>
      <c r="D100" s="99"/>
      <c r="E100" s="99"/>
      <c r="F100" s="99"/>
      <c r="G100" s="99"/>
      <c r="H100" s="99"/>
      <c r="I100" s="99"/>
      <c r="J100" s="99"/>
      <c r="K100" s="99"/>
    </row>
    <row r="101" spans="2:12" x14ac:dyDescent="0.3">
      <c r="B101" s="260" t="s">
        <v>53</v>
      </c>
      <c r="C101" s="252">
        <v>105</v>
      </c>
      <c r="D101" s="99">
        <f>D56</f>
        <v>50.401666666666657</v>
      </c>
      <c r="E101" s="99">
        <f t="shared" ref="E101:K101" si="42">E56</f>
        <v>100.35666666666665</v>
      </c>
      <c r="F101" s="99">
        <f t="shared" si="42"/>
        <v>168.33166666666668</v>
      </c>
      <c r="G101" s="99">
        <f t="shared" si="42"/>
        <v>237.68</v>
      </c>
      <c r="H101" s="99">
        <f t="shared" si="42"/>
        <v>323.33833333333331</v>
      </c>
      <c r="I101" s="99">
        <f t="shared" si="42"/>
        <v>427.98666666666668</v>
      </c>
      <c r="J101" s="99">
        <f t="shared" si="42"/>
        <v>553.71499999999992</v>
      </c>
      <c r="K101" s="99">
        <f t="shared" si="42"/>
        <v>703.35333333333335</v>
      </c>
    </row>
    <row r="103" spans="2:12" x14ac:dyDescent="0.3">
      <c r="B103" s="7" t="s">
        <v>371</v>
      </c>
    </row>
    <row r="104" spans="2:12" x14ac:dyDescent="0.3">
      <c r="B104" s="271" t="s">
        <v>375</v>
      </c>
      <c r="C104" s="268">
        <v>0</v>
      </c>
      <c r="D104" s="261" t="s">
        <v>685</v>
      </c>
    </row>
    <row r="105" spans="2:12" x14ac:dyDescent="0.3">
      <c r="B105" s="271" t="s">
        <v>372</v>
      </c>
      <c r="C105" s="269">
        <v>30</v>
      </c>
    </row>
    <row r="106" spans="2:12" x14ac:dyDescent="0.3">
      <c r="B106" s="7" t="s">
        <v>377</v>
      </c>
    </row>
    <row r="107" spans="2:12" x14ac:dyDescent="0.3">
      <c r="B107" s="271" t="s">
        <v>378</v>
      </c>
      <c r="C107" s="268">
        <v>0.5</v>
      </c>
      <c r="D107" s="268"/>
    </row>
    <row r="108" spans="2:12" x14ac:dyDescent="0.3">
      <c r="B108" s="271" t="s">
        <v>379</v>
      </c>
      <c r="C108" s="272">
        <f>1-C107</f>
        <v>0.5</v>
      </c>
      <c r="D108" s="268"/>
    </row>
  </sheetData>
  <conditionalFormatting sqref="W13:W14 W16:W17">
    <cfRule type="cellIs" dxfId="14" priority="4" operator="equal">
      <formula>1</formula>
    </cfRule>
    <cfRule type="cellIs" dxfId="13" priority="5" operator="lessThan">
      <formula>1</formula>
    </cfRule>
    <cfRule type="cellIs" dxfId="12" priority="6" operator="greaterThan">
      <formula>1</formula>
    </cfRule>
  </conditionalFormatting>
  <hyperlinks>
    <hyperlink ref="A1" location="Tiitel!A1" display="Tiitel"/>
  </hyperlink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 tint="-0.249977111117893"/>
  </sheetPr>
  <dimension ref="A1:AM243"/>
  <sheetViews>
    <sheetView zoomScale="85" zoomScaleNormal="85" workbookViewId="0">
      <pane xSplit="2" ySplit="4" topLeftCell="C206" activePane="bottomRight" state="frozen"/>
      <selection pane="topRight" activeCell="C1" sqref="C1"/>
      <selection pane="bottomLeft" activeCell="A6" sqref="A6"/>
      <selection pane="bottomRight" activeCell="D236" sqref="D236"/>
    </sheetView>
  </sheetViews>
  <sheetFormatPr defaultColWidth="9.109375" defaultRowHeight="14.4" outlineLevelRow="1" x14ac:dyDescent="0.3"/>
  <cols>
    <col min="1" max="1" width="2.33203125" style="1" customWidth="1"/>
    <col min="2" max="2" width="43.109375" style="1" customWidth="1"/>
    <col min="3" max="3" width="6.33203125" style="1" customWidth="1"/>
    <col min="4" max="12" width="9.109375" style="1"/>
    <col min="13" max="13" width="37.5546875" style="1" customWidth="1"/>
    <col min="14" max="27" width="9.109375" style="1"/>
    <col min="28" max="28" width="9.109375" style="12"/>
    <col min="29" max="29" width="9.109375" style="1"/>
    <col min="30" max="30" width="9.109375" style="12"/>
    <col min="31" max="16384" width="9.109375" style="1"/>
  </cols>
  <sheetData>
    <row r="1" spans="1:30" ht="11.25" customHeight="1" x14ac:dyDescent="0.3">
      <c r="A1" s="784" t="s">
        <v>338</v>
      </c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499"/>
      <c r="Z1" s="499"/>
      <c r="AA1" s="499"/>
      <c r="AB1" s="499"/>
      <c r="AC1" s="500"/>
    </row>
    <row r="2" spans="1:30" x14ac:dyDescent="0.3">
      <c r="B2" s="481" t="s">
        <v>554</v>
      </c>
      <c r="C2" s="483"/>
      <c r="D2" s="484"/>
      <c r="E2" s="708"/>
      <c r="F2" s="484"/>
      <c r="G2" s="484"/>
      <c r="H2" s="485"/>
      <c r="I2" s="484"/>
      <c r="J2" s="486"/>
      <c r="K2" s="487"/>
      <c r="M2" s="567" t="s">
        <v>608</v>
      </c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26"/>
      <c r="Z2" s="326"/>
      <c r="AA2" s="326"/>
      <c r="AB2" s="326"/>
      <c r="AC2" s="345"/>
    </row>
    <row r="3" spans="1:30" ht="10.5" customHeight="1" x14ac:dyDescent="0.3">
      <c r="B3" s="484"/>
      <c r="C3" s="483"/>
      <c r="D3" s="488"/>
      <c r="E3" s="488"/>
      <c r="F3" s="488"/>
      <c r="G3" s="488"/>
      <c r="H3" s="488"/>
      <c r="I3" s="488"/>
      <c r="J3" s="488"/>
      <c r="K3" s="488"/>
    </row>
    <row r="4" spans="1:30" ht="50.25" customHeight="1" x14ac:dyDescent="0.3">
      <c r="B4" s="542"/>
      <c r="C4" s="541" t="s">
        <v>293</v>
      </c>
      <c r="D4" s="540">
        <v>2015</v>
      </c>
      <c r="E4" s="540">
        <v>2020</v>
      </c>
      <c r="F4" s="540">
        <v>2025</v>
      </c>
      <c r="G4" s="540">
        <v>2030</v>
      </c>
      <c r="H4" s="540">
        <v>2035</v>
      </c>
      <c r="I4" s="540">
        <v>2040</v>
      </c>
      <c r="J4" s="540">
        <v>2045</v>
      </c>
      <c r="K4" s="540">
        <v>2050</v>
      </c>
      <c r="M4" s="286" t="s">
        <v>210</v>
      </c>
      <c r="N4" s="503" t="s">
        <v>231</v>
      </c>
      <c r="O4" s="503" t="s">
        <v>209</v>
      </c>
      <c r="P4" s="503" t="s">
        <v>133</v>
      </c>
      <c r="Q4" s="503" t="s">
        <v>285</v>
      </c>
      <c r="R4" s="503" t="s">
        <v>315</v>
      </c>
      <c r="S4" s="503" t="s">
        <v>38</v>
      </c>
      <c r="T4" s="503" t="s">
        <v>136</v>
      </c>
      <c r="U4" s="503" t="s">
        <v>360</v>
      </c>
      <c r="V4" s="503" t="s">
        <v>361</v>
      </c>
      <c r="W4" s="503" t="s">
        <v>362</v>
      </c>
      <c r="X4" s="503" t="s">
        <v>363</v>
      </c>
      <c r="Y4" s="502" t="s">
        <v>204</v>
      </c>
      <c r="Z4" s="502" t="s">
        <v>364</v>
      </c>
      <c r="AA4" s="502" t="s">
        <v>25</v>
      </c>
      <c r="AB4" s="501" t="s">
        <v>110</v>
      </c>
      <c r="AC4" s="503" t="s">
        <v>53</v>
      </c>
      <c r="AD4" s="246" t="s">
        <v>365</v>
      </c>
    </row>
    <row r="5" spans="1:30" x14ac:dyDescent="0.3">
      <c r="B5" s="566" t="s">
        <v>537</v>
      </c>
      <c r="C5" s="565" t="s">
        <v>75</v>
      </c>
      <c r="D5" s="564"/>
      <c r="E5" s="566"/>
      <c r="F5" s="564"/>
      <c r="G5" s="566"/>
      <c r="H5" s="564"/>
      <c r="I5" s="564"/>
      <c r="J5" s="564"/>
      <c r="K5" s="564"/>
      <c r="M5" s="288" t="s">
        <v>318</v>
      </c>
      <c r="N5" s="183">
        <v>1</v>
      </c>
      <c r="O5" s="183">
        <v>2</v>
      </c>
      <c r="P5" s="183">
        <v>23</v>
      </c>
      <c r="Q5" s="183">
        <v>24</v>
      </c>
      <c r="R5" s="183">
        <v>26</v>
      </c>
      <c r="S5" s="183">
        <v>29</v>
      </c>
      <c r="T5" s="183">
        <v>30</v>
      </c>
      <c r="U5" s="183">
        <v>31</v>
      </c>
      <c r="V5" s="183">
        <v>32</v>
      </c>
      <c r="W5" s="183">
        <v>33</v>
      </c>
      <c r="X5" s="183">
        <v>55</v>
      </c>
      <c r="Y5" s="251">
        <v>101</v>
      </c>
      <c r="Z5" s="251">
        <v>102</v>
      </c>
      <c r="AA5" s="251">
        <v>103</v>
      </c>
      <c r="AB5" s="252">
        <v>104</v>
      </c>
      <c r="AC5" s="183">
        <v>105</v>
      </c>
      <c r="AD5" s="504"/>
    </row>
    <row r="6" spans="1:30" x14ac:dyDescent="0.3">
      <c r="B6" s="563" t="s">
        <v>248</v>
      </c>
      <c r="C6" s="565" t="s">
        <v>75</v>
      </c>
      <c r="D6" s="760">
        <v>209.4813399775885</v>
      </c>
      <c r="E6" s="760">
        <v>207.80731195651595</v>
      </c>
      <c r="F6" s="760">
        <v>298.08571481625756</v>
      </c>
      <c r="G6" s="760">
        <v>388.36411767599918</v>
      </c>
      <c r="H6" s="760">
        <v>525.4373583636326</v>
      </c>
      <c r="I6" s="760">
        <v>662.51059905126601</v>
      </c>
      <c r="J6" s="760">
        <v>731.04721939508272</v>
      </c>
      <c r="K6" s="760">
        <v>936.65708042653284</v>
      </c>
      <c r="L6" s="1109">
        <f t="shared" ref="L6:L7" si="0">G6/D6-1</f>
        <v>0.85393179992809176</v>
      </c>
      <c r="M6" s="516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504"/>
    </row>
    <row r="7" spans="1:30" x14ac:dyDescent="0.3">
      <c r="B7" s="563" t="s">
        <v>555</v>
      </c>
      <c r="C7" s="565" t="s">
        <v>75</v>
      </c>
      <c r="D7" s="760">
        <v>12866.21833970031</v>
      </c>
      <c r="E7" s="760">
        <v>15231.284089399347</v>
      </c>
      <c r="F7" s="760">
        <v>14902.035797401917</v>
      </c>
      <c r="G7" s="760">
        <v>14572.787505404489</v>
      </c>
      <c r="H7" s="760">
        <v>13331.782626746219</v>
      </c>
      <c r="I7" s="760">
        <v>12090.777748087947</v>
      </c>
      <c r="J7" s="760">
        <v>11470.275308758812</v>
      </c>
      <c r="K7" s="760">
        <v>9608.7679907714046</v>
      </c>
      <c r="L7" s="1109">
        <f t="shared" si="0"/>
        <v>0.13263953095202408</v>
      </c>
      <c r="M7" s="516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711"/>
      <c r="AD7" s="504"/>
    </row>
    <row r="8" spans="1:30" x14ac:dyDescent="0.3">
      <c r="B8" s="563" t="s">
        <v>556</v>
      </c>
      <c r="C8" s="565" t="s">
        <v>75</v>
      </c>
      <c r="D8" s="760">
        <v>20237.515077525866</v>
      </c>
      <c r="E8" s="760">
        <v>21318.042453557213</v>
      </c>
      <c r="F8" s="760">
        <v>24217.613071957807</v>
      </c>
      <c r="G8" s="760">
        <v>27117.183690358401</v>
      </c>
      <c r="H8" s="760">
        <v>26222.051947456348</v>
      </c>
      <c r="I8" s="760">
        <v>25326.920204554299</v>
      </c>
      <c r="J8" s="760">
        <v>24879.354333103271</v>
      </c>
      <c r="K8" s="760">
        <v>23536.656718750193</v>
      </c>
      <c r="L8" s="1109">
        <f>G8/D8-1</f>
        <v>0.33994631191022728</v>
      </c>
      <c r="M8" s="516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504"/>
    </row>
    <row r="9" spans="1:30" x14ac:dyDescent="0.3">
      <c r="B9" s="563" t="s">
        <v>408</v>
      </c>
      <c r="C9" s="565" t="s">
        <v>75</v>
      </c>
      <c r="D9" s="760">
        <v>199.60485519164462</v>
      </c>
      <c r="E9" s="760">
        <v>399.20971038328923</v>
      </c>
      <c r="F9" s="760">
        <v>963.49185785711961</v>
      </c>
      <c r="G9" s="760">
        <v>1527.7740053309501</v>
      </c>
      <c r="H9" s="760">
        <v>1610.8583722906606</v>
      </c>
      <c r="I9" s="760">
        <v>1693.9427392503712</v>
      </c>
      <c r="J9" s="760">
        <v>1735.4849227302266</v>
      </c>
      <c r="K9" s="760">
        <v>1860.1114731697926</v>
      </c>
      <c r="L9" s="1109">
        <f t="shared" ref="L9:L14" si="1">G9/D9-1</f>
        <v>6.6539922030659211</v>
      </c>
      <c r="M9" s="516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504"/>
    </row>
    <row r="10" spans="1:30" x14ac:dyDescent="0.3">
      <c r="B10" s="563" t="s">
        <v>557</v>
      </c>
      <c r="C10" s="565" t="s">
        <v>75</v>
      </c>
      <c r="D10" s="760">
        <v>576.9425791439146</v>
      </c>
      <c r="E10" s="760">
        <v>1153.8851582878292</v>
      </c>
      <c r="F10" s="760">
        <v>1184.1420585357682</v>
      </c>
      <c r="G10" s="760">
        <v>1214.3989587837075</v>
      </c>
      <c r="H10" s="760">
        <v>1155.9208515054186</v>
      </c>
      <c r="I10" s="760">
        <v>1097.4427442271297</v>
      </c>
      <c r="J10" s="760">
        <v>1068.2036905879852</v>
      </c>
      <c r="K10" s="760">
        <v>980.48652967055182</v>
      </c>
      <c r="L10" s="1109">
        <f t="shared" si="1"/>
        <v>1.104887041940414</v>
      </c>
      <c r="M10" s="516"/>
      <c r="N10" s="711"/>
      <c r="O10" s="711"/>
      <c r="P10" s="711"/>
      <c r="Q10" s="711"/>
      <c r="R10" s="711"/>
      <c r="S10" s="711"/>
      <c r="T10" s="711"/>
      <c r="U10" s="711"/>
      <c r="V10" s="711"/>
      <c r="W10" s="711"/>
      <c r="X10" s="711"/>
      <c r="Y10" s="711"/>
      <c r="Z10" s="711"/>
      <c r="AA10" s="711"/>
      <c r="AB10" s="711"/>
      <c r="AC10" s="711"/>
      <c r="AD10" s="504"/>
    </row>
    <row r="11" spans="1:30" x14ac:dyDescent="0.3">
      <c r="B11" s="563" t="s">
        <v>558</v>
      </c>
      <c r="C11" s="565" t="s">
        <v>75</v>
      </c>
      <c r="D11" s="760">
        <v>1165.9714951902856</v>
      </c>
      <c r="E11" s="760">
        <v>2331.9429903805712</v>
      </c>
      <c r="F11" s="760">
        <v>2688.3924883259488</v>
      </c>
      <c r="G11" s="760">
        <v>3044.8419862713258</v>
      </c>
      <c r="H11" s="760">
        <v>2824.7180965111138</v>
      </c>
      <c r="I11" s="760">
        <v>2604.5942067509013</v>
      </c>
      <c r="J11" s="760">
        <v>2494.5322618707955</v>
      </c>
      <c r="K11" s="760">
        <v>2164.3464272304773</v>
      </c>
      <c r="L11" s="1109">
        <f t="shared" si="1"/>
        <v>1.6114206040469368</v>
      </c>
      <c r="M11" s="516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711"/>
      <c r="AD11" s="504"/>
    </row>
    <row r="12" spans="1:30" x14ac:dyDescent="0.3">
      <c r="B12" s="563" t="s">
        <v>559</v>
      </c>
      <c r="C12" s="565" t="s">
        <v>75</v>
      </c>
      <c r="D12" s="760">
        <v>0</v>
      </c>
      <c r="E12" s="760">
        <v>0</v>
      </c>
      <c r="F12" s="760">
        <v>0</v>
      </c>
      <c r="G12" s="760">
        <v>0</v>
      </c>
      <c r="H12" s="760">
        <v>0</v>
      </c>
      <c r="I12" s="760">
        <v>0</v>
      </c>
      <c r="J12" s="760">
        <v>0</v>
      </c>
      <c r="K12" s="760">
        <v>0</v>
      </c>
      <c r="L12" s="1109"/>
      <c r="M12" s="516"/>
      <c r="N12" s="711"/>
      <c r="O12" s="711"/>
      <c r="P12" s="711"/>
      <c r="Q12" s="711"/>
      <c r="R12" s="711"/>
      <c r="S12" s="711"/>
      <c r="T12" s="711"/>
      <c r="U12" s="711"/>
      <c r="V12" s="711"/>
      <c r="W12" s="711"/>
      <c r="X12" s="711"/>
      <c r="Y12" s="711"/>
      <c r="Z12" s="711"/>
      <c r="AA12" s="711"/>
      <c r="AB12" s="711"/>
      <c r="AC12" s="711"/>
      <c r="AD12" s="504"/>
    </row>
    <row r="13" spans="1:30" x14ac:dyDescent="0.3">
      <c r="B13" s="560" t="s">
        <v>13</v>
      </c>
      <c r="C13" s="565" t="s">
        <v>75</v>
      </c>
      <c r="D13" s="753">
        <v>35255.733686729611</v>
      </c>
      <c r="E13" s="753">
        <v>40642.171713964759</v>
      </c>
      <c r="F13" s="753">
        <v>44253.760988894821</v>
      </c>
      <c r="G13" s="753">
        <v>47865.350263824876</v>
      </c>
      <c r="H13" s="753">
        <v>45670.769252873397</v>
      </c>
      <c r="I13" s="753">
        <v>43476.188241921911</v>
      </c>
      <c r="J13" s="753">
        <v>42378.897736446168</v>
      </c>
      <c r="K13" s="753">
        <v>39087.026220018954</v>
      </c>
      <c r="L13" s="1109">
        <f t="shared" si="1"/>
        <v>0.3576614427922562</v>
      </c>
      <c r="M13" s="516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711"/>
      <c r="AD13" s="504"/>
    </row>
    <row r="14" spans="1:30" x14ac:dyDescent="0.3">
      <c r="B14" s="566" t="s">
        <v>387</v>
      </c>
      <c r="C14" s="559" t="s">
        <v>560</v>
      </c>
      <c r="D14" s="753">
        <v>2394646.6779310168</v>
      </c>
      <c r="E14" s="753">
        <v>2653907.2548743365</v>
      </c>
      <c r="F14" s="753">
        <v>2816614.7185939001</v>
      </c>
      <c r="G14" s="753">
        <v>3087233.270393461</v>
      </c>
      <c r="H14" s="753">
        <v>2938084.1581908613</v>
      </c>
      <c r="I14" s="753">
        <v>2788935.0459882622</v>
      </c>
      <c r="J14" s="753">
        <v>2714360.4898869623</v>
      </c>
      <c r="K14" s="753">
        <v>2490636.8215830633</v>
      </c>
      <c r="L14" s="1109">
        <f t="shared" si="1"/>
        <v>0.28922287318847451</v>
      </c>
      <c r="M14" s="516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504"/>
    </row>
    <row r="15" spans="1:30" x14ac:dyDescent="0.3">
      <c r="B15" s="542" t="s">
        <v>911</v>
      </c>
      <c r="C15" s="541"/>
      <c r="D15" s="540">
        <v>2015</v>
      </c>
      <c r="E15" s="540">
        <v>2020</v>
      </c>
      <c r="F15" s="540">
        <v>2025</v>
      </c>
      <c r="G15" s="540">
        <v>2030</v>
      </c>
      <c r="H15" s="540">
        <v>2035</v>
      </c>
      <c r="I15" s="540">
        <v>2040</v>
      </c>
      <c r="J15" s="540">
        <v>2045</v>
      </c>
      <c r="K15" s="540">
        <v>2050</v>
      </c>
      <c r="L15" s="509"/>
      <c r="M15" s="516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711"/>
      <c r="AD15" s="504"/>
    </row>
    <row r="16" spans="1:30" x14ac:dyDescent="0.3">
      <c r="B16" s="557" t="s">
        <v>591</v>
      </c>
      <c r="C16" s="565"/>
      <c r="D16" s="564"/>
      <c r="E16" s="564"/>
      <c r="F16" s="564"/>
      <c r="G16" s="564"/>
      <c r="H16" s="564"/>
      <c r="I16" s="564"/>
      <c r="J16" s="564"/>
      <c r="K16" s="564"/>
      <c r="L16" s="509"/>
      <c r="M16" s="557" t="s">
        <v>591</v>
      </c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504"/>
    </row>
    <row r="17" spans="2:39" x14ac:dyDescent="0.3">
      <c r="B17" s="563" t="s">
        <v>248</v>
      </c>
      <c r="C17" s="553" t="s">
        <v>566</v>
      </c>
      <c r="D17" s="875">
        <v>6.0944376962663815</v>
      </c>
      <c r="E17" s="875">
        <v>7.434867895883654</v>
      </c>
      <c r="F17" s="875">
        <v>10.496541269697918</v>
      </c>
      <c r="G17" s="875">
        <v>13.558214643512184</v>
      </c>
      <c r="H17" s="875">
        <v>17.844457532493006</v>
      </c>
      <c r="I17" s="875">
        <v>22.130700421473829</v>
      </c>
      <c r="J17" s="875">
        <v>24.273821865964241</v>
      </c>
      <c r="K17" s="875">
        <v>30.703186199435478</v>
      </c>
      <c r="L17" s="509"/>
      <c r="M17" s="563" t="s">
        <v>248</v>
      </c>
      <c r="N17" s="712"/>
      <c r="O17" s="712"/>
      <c r="P17" s="712"/>
      <c r="Q17" s="712">
        <v>1</v>
      </c>
      <c r="R17" s="712"/>
      <c r="S17" s="712"/>
      <c r="T17" s="712"/>
      <c r="U17" s="712"/>
      <c r="V17" s="712"/>
      <c r="W17" s="712"/>
      <c r="X17" s="712"/>
      <c r="Y17" s="712"/>
      <c r="Z17" s="712"/>
      <c r="AA17" s="712"/>
      <c r="AB17" s="712"/>
      <c r="AC17" s="712"/>
      <c r="AD17" s="505">
        <f>SUM(N17:AB17)</f>
        <v>1</v>
      </c>
      <c r="AF17" s="764"/>
      <c r="AG17" s="764"/>
      <c r="AH17" s="764"/>
      <c r="AI17" s="764"/>
      <c r="AJ17" s="764"/>
      <c r="AK17" s="764"/>
      <c r="AL17" s="764"/>
      <c r="AM17" s="764"/>
    </row>
    <row r="18" spans="2:39" x14ac:dyDescent="0.3">
      <c r="B18" s="563" t="s">
        <v>555</v>
      </c>
      <c r="C18" s="553" t="s">
        <v>566</v>
      </c>
      <c r="D18" s="875">
        <v>217.10765827144212</v>
      </c>
      <c r="E18" s="875">
        <v>294.10458180134469</v>
      </c>
      <c r="F18" s="875">
        <v>297.70773681435605</v>
      </c>
      <c r="G18" s="875">
        <v>301.31089182736736</v>
      </c>
      <c r="H18" s="875">
        <v>288.20768340170815</v>
      </c>
      <c r="I18" s="875">
        <v>275.10447497604895</v>
      </c>
      <c r="J18" s="875">
        <v>268.55287076321929</v>
      </c>
      <c r="K18" s="875">
        <v>248.89805812473054</v>
      </c>
      <c r="L18" s="509"/>
      <c r="M18" s="563" t="s">
        <v>555</v>
      </c>
      <c r="N18" s="712"/>
      <c r="O18" s="712"/>
      <c r="P18" s="712"/>
      <c r="Q18" s="712"/>
      <c r="R18" s="712"/>
      <c r="S18" s="712"/>
      <c r="T18" s="712"/>
      <c r="U18" s="712"/>
      <c r="V18" s="712"/>
      <c r="W18" s="712"/>
      <c r="X18" s="712"/>
      <c r="Y18" s="712"/>
      <c r="Z18" s="712"/>
      <c r="AA18" s="712">
        <v>1</v>
      </c>
      <c r="AB18" s="712"/>
      <c r="AC18" s="712"/>
      <c r="AD18" s="505">
        <f>SUM(N18:AB18)</f>
        <v>1</v>
      </c>
      <c r="AF18" s="764"/>
      <c r="AG18" s="764"/>
      <c r="AH18" s="764"/>
      <c r="AI18" s="764"/>
      <c r="AJ18" s="764"/>
      <c r="AK18" s="764"/>
      <c r="AL18" s="764"/>
      <c r="AM18" s="764"/>
    </row>
    <row r="19" spans="2:39" x14ac:dyDescent="0.3">
      <c r="B19" s="563" t="s">
        <v>556</v>
      </c>
      <c r="C19" s="553" t="s">
        <v>566</v>
      </c>
      <c r="D19" s="875">
        <v>343.69559407712347</v>
      </c>
      <c r="E19" s="875">
        <v>391.05035498476548</v>
      </c>
      <c r="F19" s="875">
        <v>461.847074663086</v>
      </c>
      <c r="G19" s="875">
        <v>532.64379434140653</v>
      </c>
      <c r="H19" s="875">
        <v>544.27954866309631</v>
      </c>
      <c r="I19" s="875">
        <v>555.91530298478597</v>
      </c>
      <c r="J19" s="875">
        <v>561.73318014563085</v>
      </c>
      <c r="K19" s="875">
        <v>579.18681162816529</v>
      </c>
      <c r="L19" s="509"/>
      <c r="M19" s="563" t="s">
        <v>556</v>
      </c>
      <c r="N19" s="712"/>
      <c r="O19" s="712"/>
      <c r="P19" s="712"/>
      <c r="Q19" s="712"/>
      <c r="R19" s="712"/>
      <c r="S19" s="712"/>
      <c r="T19" s="712"/>
      <c r="U19" s="712"/>
      <c r="V19" s="712"/>
      <c r="W19" s="712"/>
      <c r="X19" s="712"/>
      <c r="Y19" s="712"/>
      <c r="Z19" s="712"/>
      <c r="AA19" s="712">
        <v>1</v>
      </c>
      <c r="AB19" s="712"/>
      <c r="AC19" s="712"/>
      <c r="AD19" s="505">
        <f>SUM(N19:AB19)</f>
        <v>1</v>
      </c>
      <c r="AF19" s="764"/>
      <c r="AG19" s="764"/>
      <c r="AH19" s="764"/>
      <c r="AI19" s="764"/>
      <c r="AJ19" s="764"/>
      <c r="AK19" s="764"/>
      <c r="AL19" s="764"/>
      <c r="AM19" s="764"/>
    </row>
    <row r="20" spans="2:39" x14ac:dyDescent="0.3">
      <c r="B20" s="563" t="s">
        <v>561</v>
      </c>
      <c r="C20" s="553" t="s">
        <v>566</v>
      </c>
      <c r="D20" s="875">
        <v>5.9721236893675345</v>
      </c>
      <c r="E20" s="875">
        <v>7.0284452164225106</v>
      </c>
      <c r="F20" s="875">
        <v>17.415203240562903</v>
      </c>
      <c r="G20" s="875">
        <v>27.801961264703298</v>
      </c>
      <c r="H20" s="875">
        <v>30.455047424243244</v>
      </c>
      <c r="I20" s="875">
        <v>33.108133583783186</v>
      </c>
      <c r="J20" s="875">
        <v>34.434676663553162</v>
      </c>
      <c r="K20" s="875">
        <v>38.414305902863084</v>
      </c>
      <c r="L20" s="508"/>
      <c r="M20" s="563" t="s">
        <v>561</v>
      </c>
      <c r="N20" s="712"/>
      <c r="O20" s="712"/>
      <c r="P20" s="712"/>
      <c r="Q20" s="712"/>
      <c r="R20" s="712"/>
      <c r="S20" s="712"/>
      <c r="T20" s="712"/>
      <c r="U20" s="712"/>
      <c r="V20" s="712"/>
      <c r="W20" s="712"/>
      <c r="X20" s="712"/>
      <c r="Y20" s="712"/>
      <c r="Z20" s="712"/>
      <c r="AA20" s="712">
        <v>1</v>
      </c>
      <c r="AB20" s="712"/>
      <c r="AC20" s="712"/>
      <c r="AD20" s="505">
        <f>SUM(N20:AB20)</f>
        <v>1</v>
      </c>
      <c r="AF20" s="764"/>
      <c r="AG20" s="764"/>
      <c r="AH20" s="764"/>
      <c r="AI20" s="764"/>
      <c r="AJ20" s="764"/>
      <c r="AK20" s="764"/>
      <c r="AL20" s="764"/>
      <c r="AM20" s="764"/>
    </row>
    <row r="21" spans="2:39" x14ac:dyDescent="0.3">
      <c r="B21" s="563" t="s">
        <v>557</v>
      </c>
      <c r="C21" s="553" t="s">
        <v>566</v>
      </c>
      <c r="D21" s="875">
        <v>12.889595659473171</v>
      </c>
      <c r="E21" s="875">
        <v>25.273938307765999</v>
      </c>
      <c r="F21" s="875">
        <v>26.878236884814388</v>
      </c>
      <c r="G21" s="875">
        <v>28.482535461862774</v>
      </c>
      <c r="H21" s="875">
        <v>28.564355761505713</v>
      </c>
      <c r="I21" s="875">
        <v>28.646176061148658</v>
      </c>
      <c r="J21" s="875">
        <v>28.687086210970126</v>
      </c>
      <c r="K21" s="875">
        <v>28.809816660434539</v>
      </c>
      <c r="L21" s="507"/>
      <c r="M21" s="563" t="s">
        <v>557</v>
      </c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  <c r="AD21" s="504"/>
      <c r="AE21" s="3" t="s">
        <v>615</v>
      </c>
      <c r="AF21" s="764"/>
      <c r="AG21" s="764"/>
      <c r="AH21" s="764"/>
      <c r="AI21" s="764"/>
      <c r="AJ21" s="764"/>
      <c r="AK21" s="764"/>
      <c r="AL21" s="764"/>
      <c r="AM21" s="764"/>
    </row>
    <row r="22" spans="2:39" x14ac:dyDescent="0.3">
      <c r="B22" s="563" t="s">
        <v>558</v>
      </c>
      <c r="C22" s="553" t="s">
        <v>566</v>
      </c>
      <c r="D22" s="875">
        <v>9.2053503361088449</v>
      </c>
      <c r="E22" s="875">
        <v>52.556432570356968</v>
      </c>
      <c r="F22" s="875">
        <v>64.05381094604742</v>
      </c>
      <c r="G22" s="875">
        <v>75.55118932173788</v>
      </c>
      <c r="H22" s="875">
        <v>73.839234341694677</v>
      </c>
      <c r="I22" s="875">
        <v>72.127279361651489</v>
      </c>
      <c r="J22" s="875">
        <v>71.271301871629902</v>
      </c>
      <c r="K22" s="875">
        <v>68.703369401565098</v>
      </c>
      <c r="L22" s="507"/>
      <c r="M22" s="563" t="s">
        <v>558</v>
      </c>
      <c r="N22" s="712"/>
      <c r="O22" s="712"/>
      <c r="P22" s="712"/>
      <c r="Q22" s="712"/>
      <c r="R22" s="712"/>
      <c r="S22" s="712"/>
      <c r="T22" s="712"/>
      <c r="U22" s="712"/>
      <c r="V22" s="712"/>
      <c r="W22" s="712"/>
      <c r="X22" s="712"/>
      <c r="Y22" s="712"/>
      <c r="Z22" s="712"/>
      <c r="AA22" s="712">
        <v>1</v>
      </c>
      <c r="AB22" s="712"/>
      <c r="AC22" s="712"/>
      <c r="AD22" s="505">
        <f>SUM(N22:AB22)</f>
        <v>1</v>
      </c>
      <c r="AF22" s="764"/>
      <c r="AG22" s="764"/>
      <c r="AH22" s="764"/>
      <c r="AI22" s="764"/>
      <c r="AJ22" s="764"/>
      <c r="AK22" s="764"/>
      <c r="AL22" s="764"/>
      <c r="AM22" s="764"/>
    </row>
    <row r="23" spans="2:39" x14ac:dyDescent="0.3">
      <c r="B23" s="563" t="s">
        <v>559</v>
      </c>
      <c r="C23" s="553" t="s">
        <v>566</v>
      </c>
      <c r="D23" s="875">
        <v>0</v>
      </c>
      <c r="E23" s="875">
        <v>0</v>
      </c>
      <c r="F23" s="875">
        <v>0</v>
      </c>
      <c r="G23" s="875">
        <v>0</v>
      </c>
      <c r="H23" s="875">
        <v>0</v>
      </c>
      <c r="I23" s="875">
        <v>0</v>
      </c>
      <c r="J23" s="875">
        <v>0</v>
      </c>
      <c r="K23" s="875">
        <v>0</v>
      </c>
      <c r="L23" s="507"/>
      <c r="M23" s="563" t="s">
        <v>559</v>
      </c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711"/>
      <c r="AD23" s="504"/>
      <c r="AE23" s="3" t="s">
        <v>615</v>
      </c>
      <c r="AF23" s="764"/>
      <c r="AG23" s="764"/>
      <c r="AH23" s="764"/>
      <c r="AI23" s="764"/>
      <c r="AJ23" s="764"/>
      <c r="AK23" s="764"/>
      <c r="AL23" s="764"/>
      <c r="AM23" s="764"/>
    </row>
    <row r="24" spans="2:39" x14ac:dyDescent="0.3">
      <c r="B24" s="560" t="s">
        <v>13</v>
      </c>
      <c r="C24" s="553" t="s">
        <v>566</v>
      </c>
      <c r="D24" s="876">
        <v>594.96475972978158</v>
      </c>
      <c r="E24" s="876">
        <v>777.44862077653931</v>
      </c>
      <c r="F24" s="876">
        <v>878.39860381856465</v>
      </c>
      <c r="G24" s="876">
        <v>979.34858686058999</v>
      </c>
      <c r="H24" s="876">
        <v>983.1903271247412</v>
      </c>
      <c r="I24" s="876">
        <v>987.03206738889207</v>
      </c>
      <c r="J24" s="876">
        <v>988.95293752096757</v>
      </c>
      <c r="K24" s="876">
        <v>994.71554791719393</v>
      </c>
      <c r="L24" s="507"/>
      <c r="M24" s="560" t="s">
        <v>614</v>
      </c>
      <c r="N24" s="711"/>
      <c r="O24" s="711"/>
      <c r="P24" s="711"/>
      <c r="Q24" s="711"/>
      <c r="R24" s="711"/>
      <c r="S24" s="711"/>
      <c r="T24" s="711"/>
      <c r="U24" s="711"/>
      <c r="V24" s="711"/>
      <c r="W24" s="711"/>
      <c r="X24" s="711"/>
      <c r="Y24" s="711"/>
      <c r="Z24" s="711"/>
      <c r="AA24" s="711"/>
      <c r="AB24" s="711"/>
      <c r="AC24" s="711"/>
      <c r="AD24" s="504"/>
      <c r="AF24" s="764"/>
      <c r="AG24" s="764"/>
      <c r="AH24" s="764"/>
      <c r="AI24" s="764"/>
      <c r="AJ24" s="764"/>
      <c r="AK24" s="764"/>
      <c r="AL24" s="764"/>
      <c r="AM24" s="764"/>
    </row>
    <row r="25" spans="2:39" x14ac:dyDescent="0.3">
      <c r="B25" s="539" t="s">
        <v>590</v>
      </c>
      <c r="C25" s="553" t="s">
        <v>566</v>
      </c>
      <c r="D25" s="875">
        <v>357.86818092902763</v>
      </c>
      <c r="E25" s="875">
        <v>460.18937197453135</v>
      </c>
      <c r="F25" s="875">
        <v>501.25158440945086</v>
      </c>
      <c r="G25" s="875">
        <v>542.31379684437047</v>
      </c>
      <c r="H25" s="875">
        <v>515.65008790064235</v>
      </c>
      <c r="I25" s="875">
        <v>488.98637895691428</v>
      </c>
      <c r="J25" s="875">
        <v>475.65452448505022</v>
      </c>
      <c r="K25" s="875">
        <v>435.65896106945814</v>
      </c>
      <c r="L25" s="507"/>
      <c r="M25" s="515" t="s">
        <v>590</v>
      </c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711"/>
      <c r="AD25" s="504"/>
      <c r="AE25" s="3" t="s">
        <v>725</v>
      </c>
      <c r="AF25" s="764"/>
      <c r="AG25" s="764"/>
      <c r="AH25" s="764"/>
      <c r="AI25" s="764"/>
      <c r="AJ25" s="764"/>
      <c r="AK25" s="764"/>
      <c r="AL25" s="764"/>
      <c r="AM25" s="764"/>
    </row>
    <row r="26" spans="2:39" x14ac:dyDescent="0.3">
      <c r="B26" s="539" t="s">
        <v>562</v>
      </c>
      <c r="C26" s="553" t="s">
        <v>566</v>
      </c>
      <c r="D26" s="875">
        <v>97.21862290027066</v>
      </c>
      <c r="E26" s="875">
        <v>120.30860143773052</v>
      </c>
      <c r="F26" s="875">
        <v>125.65157037639588</v>
      </c>
      <c r="G26" s="875">
        <v>130.99453931506127</v>
      </c>
      <c r="H26" s="875">
        <v>128.39844073569884</v>
      </c>
      <c r="I26" s="875">
        <v>125.80234215633641</v>
      </c>
      <c r="J26" s="875">
        <v>124.50429286665519</v>
      </c>
      <c r="K26" s="875">
        <v>120.61014499761153</v>
      </c>
      <c r="L26" s="507"/>
      <c r="M26" s="514" t="s">
        <v>562</v>
      </c>
      <c r="N26" s="711"/>
      <c r="O26" s="711"/>
      <c r="P26" s="711"/>
      <c r="Q26" s="711"/>
      <c r="R26" s="711"/>
      <c r="S26" s="711"/>
      <c r="T26" s="711"/>
      <c r="U26" s="711"/>
      <c r="V26" s="711"/>
      <c r="W26" s="711"/>
      <c r="X26" s="711"/>
      <c r="Y26" s="711"/>
      <c r="Z26" s="711"/>
      <c r="AA26" s="711"/>
      <c r="AB26" s="711"/>
      <c r="AC26" s="711"/>
      <c r="AD26" s="504"/>
      <c r="AE26" s="3" t="s">
        <v>726</v>
      </c>
      <c r="AF26" s="764"/>
      <c r="AG26" s="764"/>
      <c r="AH26" s="764"/>
      <c r="AI26" s="764"/>
      <c r="AJ26" s="764"/>
      <c r="AK26" s="764"/>
      <c r="AL26" s="764"/>
      <c r="AM26" s="764"/>
    </row>
    <row r="27" spans="2:39" x14ac:dyDescent="0.3">
      <c r="B27" s="539" t="s">
        <v>563</v>
      </c>
      <c r="C27" s="553" t="s">
        <v>566</v>
      </c>
      <c r="D27" s="875">
        <v>60.751233144044271</v>
      </c>
      <c r="E27" s="875">
        <v>77.001375288065574</v>
      </c>
      <c r="F27" s="875">
        <v>86.790206254886684</v>
      </c>
      <c r="G27" s="875">
        <v>96.579037221707779</v>
      </c>
      <c r="H27" s="875">
        <v>96.534586959224811</v>
      </c>
      <c r="I27" s="875">
        <v>96.490136696741828</v>
      </c>
      <c r="J27" s="875">
        <v>96.467911565500344</v>
      </c>
      <c r="K27" s="875">
        <v>96.401236171775878</v>
      </c>
      <c r="L27" s="507"/>
      <c r="M27" s="515" t="s">
        <v>563</v>
      </c>
      <c r="N27" s="712"/>
      <c r="O27" s="712"/>
      <c r="P27" s="712"/>
      <c r="Q27" s="712"/>
      <c r="R27" s="712"/>
      <c r="S27" s="712"/>
      <c r="T27" s="712"/>
      <c r="U27" s="712">
        <v>0.25</v>
      </c>
      <c r="V27" s="712">
        <v>0.65</v>
      </c>
      <c r="W27" s="712">
        <v>0.1</v>
      </c>
      <c r="X27" s="712"/>
      <c r="Y27" s="712"/>
      <c r="Z27" s="712"/>
      <c r="AA27" s="712"/>
      <c r="AB27" s="712"/>
      <c r="AC27" s="712"/>
      <c r="AD27" s="505">
        <f>SUM(N27:AB27)</f>
        <v>1</v>
      </c>
      <c r="AF27" s="764"/>
      <c r="AG27" s="764"/>
      <c r="AH27" s="764"/>
      <c r="AI27" s="764"/>
      <c r="AJ27" s="764"/>
      <c r="AK27" s="764"/>
      <c r="AL27" s="764"/>
      <c r="AM27" s="764"/>
    </row>
    <row r="28" spans="2:39" x14ac:dyDescent="0.3">
      <c r="B28" s="539" t="s">
        <v>564</v>
      </c>
      <c r="C28" s="553" t="s">
        <v>566</v>
      </c>
      <c r="D28" s="875">
        <v>102.3</v>
      </c>
      <c r="E28" s="875">
        <v>4.3049999999999997</v>
      </c>
      <c r="F28" s="875">
        <v>4.7074999999999996</v>
      </c>
      <c r="G28" s="875">
        <v>5.1100000000000003</v>
      </c>
      <c r="H28" s="875">
        <v>5.1974999999999998</v>
      </c>
      <c r="I28" s="875">
        <v>5.2850000000000001</v>
      </c>
      <c r="J28" s="875">
        <v>5.3287500000000003</v>
      </c>
      <c r="K28" s="875">
        <v>5.46</v>
      </c>
      <c r="L28" s="507"/>
      <c r="M28" s="515" t="s">
        <v>564</v>
      </c>
      <c r="N28" s="712"/>
      <c r="O28" s="712"/>
      <c r="P28" s="712"/>
      <c r="Q28" s="712"/>
      <c r="R28" s="712"/>
      <c r="S28" s="712"/>
      <c r="T28" s="712"/>
      <c r="U28" s="712"/>
      <c r="V28" s="712"/>
      <c r="W28" s="712"/>
      <c r="X28" s="712"/>
      <c r="Y28" s="712"/>
      <c r="Z28" s="712"/>
      <c r="AA28" s="712"/>
      <c r="AB28" s="712">
        <v>1</v>
      </c>
      <c r="AC28" s="712"/>
      <c r="AD28" s="505">
        <f>SUM(N28:AB28)</f>
        <v>1</v>
      </c>
      <c r="AF28" s="764"/>
      <c r="AG28" s="764"/>
      <c r="AH28" s="764"/>
      <c r="AI28" s="764"/>
      <c r="AJ28" s="764"/>
      <c r="AK28" s="764"/>
      <c r="AL28" s="764"/>
      <c r="AM28" s="764"/>
    </row>
    <row r="29" spans="2:39" x14ac:dyDescent="0.3">
      <c r="B29" s="539" t="s">
        <v>565</v>
      </c>
      <c r="C29" s="553" t="s">
        <v>566</v>
      </c>
      <c r="D29" s="875">
        <v>409.01818092902761</v>
      </c>
      <c r="E29" s="875">
        <v>464.4943719745313</v>
      </c>
      <c r="F29" s="875">
        <v>505.9590844094509</v>
      </c>
      <c r="G29" s="875">
        <v>547.42379684437049</v>
      </c>
      <c r="H29" s="875">
        <v>520.84758790064234</v>
      </c>
      <c r="I29" s="875">
        <v>494.2713789569143</v>
      </c>
      <c r="J29" s="875">
        <v>480.98327448505023</v>
      </c>
      <c r="K29" s="875">
        <v>441.11896106945818</v>
      </c>
      <c r="L29" s="507"/>
      <c r="M29" s="539" t="s">
        <v>565</v>
      </c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711"/>
      <c r="AD29" s="504"/>
      <c r="AF29" s="764"/>
      <c r="AG29" s="764"/>
      <c r="AH29" s="764"/>
      <c r="AI29" s="764"/>
      <c r="AJ29" s="764"/>
      <c r="AK29" s="764"/>
      <c r="AL29" s="764"/>
      <c r="AM29" s="764"/>
    </row>
    <row r="30" spans="2:39" x14ac:dyDescent="0.3">
      <c r="B30" s="542"/>
      <c r="C30" s="541" t="s">
        <v>293</v>
      </c>
      <c r="D30" s="540">
        <v>2015</v>
      </c>
      <c r="E30" s="540">
        <v>2020</v>
      </c>
      <c r="F30" s="540">
        <v>2025</v>
      </c>
      <c r="G30" s="540">
        <v>2030</v>
      </c>
      <c r="H30" s="540">
        <v>2035</v>
      </c>
      <c r="I30" s="540">
        <v>2040</v>
      </c>
      <c r="J30" s="540">
        <v>2045</v>
      </c>
      <c r="K30" s="540">
        <v>2050</v>
      </c>
      <c r="L30" s="507"/>
      <c r="M30" s="513"/>
      <c r="N30" s="711"/>
      <c r="O30" s="711"/>
      <c r="P30" s="711"/>
      <c r="Q30" s="711"/>
      <c r="R30" s="711"/>
      <c r="S30" s="711"/>
      <c r="T30" s="711"/>
      <c r="U30" s="711"/>
      <c r="V30" s="711"/>
      <c r="W30" s="711"/>
      <c r="X30" s="711"/>
      <c r="Y30" s="711"/>
      <c r="Z30" s="711"/>
      <c r="AA30" s="711"/>
      <c r="AB30" s="711"/>
      <c r="AC30" s="711"/>
      <c r="AD30" s="504"/>
    </row>
    <row r="31" spans="2:39" x14ac:dyDescent="0.3">
      <c r="B31" s="556" t="s">
        <v>45</v>
      </c>
      <c r="C31" s="556" t="s">
        <v>566</v>
      </c>
      <c r="D31" s="877">
        <v>755.511772170462</v>
      </c>
      <c r="E31" s="877">
        <v>739.17321924320606</v>
      </c>
      <c r="F31" s="877">
        <v>803.66257412477137</v>
      </c>
      <c r="G31" s="877">
        <v>818.64239823710568</v>
      </c>
      <c r="H31" s="877">
        <v>843.59591597592839</v>
      </c>
      <c r="I31" s="877">
        <v>841.76191320193038</v>
      </c>
      <c r="J31" s="877">
        <v>835.31935273562476</v>
      </c>
      <c r="K31" s="877">
        <v>838.57229226931929</v>
      </c>
      <c r="L31" s="507"/>
      <c r="M31" s="511" t="s">
        <v>45</v>
      </c>
      <c r="N31" s="711"/>
      <c r="O31" s="711"/>
      <c r="P31" s="711"/>
      <c r="Q31" s="711"/>
      <c r="R31" s="711"/>
      <c r="S31" s="711"/>
      <c r="T31" s="711"/>
      <c r="U31" s="711"/>
      <c r="V31" s="711"/>
      <c r="W31" s="711"/>
      <c r="X31" s="711"/>
      <c r="Y31" s="711"/>
      <c r="Z31" s="711"/>
      <c r="AA31" s="711"/>
      <c r="AB31" s="711"/>
      <c r="AC31" s="711"/>
      <c r="AD31" s="504"/>
    </row>
    <row r="32" spans="2:39" x14ac:dyDescent="0.3">
      <c r="B32" s="554" t="s">
        <v>567</v>
      </c>
      <c r="C32" s="553" t="s">
        <v>566</v>
      </c>
      <c r="D32" s="877">
        <v>99.736849093538822</v>
      </c>
      <c r="E32" s="877">
        <v>100.05695001243683</v>
      </c>
      <c r="F32" s="877">
        <v>107.46717797092518</v>
      </c>
      <c r="G32" s="877">
        <v>114.87740592941347</v>
      </c>
      <c r="H32" s="877">
        <v>117.84534546310783</v>
      </c>
      <c r="I32" s="877">
        <v>120.8132849968022</v>
      </c>
      <c r="J32" s="877">
        <v>123.78122453049656</v>
      </c>
      <c r="K32" s="877">
        <v>126.74916406419092</v>
      </c>
      <c r="L32" s="507"/>
      <c r="M32" s="511" t="s">
        <v>567</v>
      </c>
      <c r="N32" s="712"/>
      <c r="O32" s="712"/>
      <c r="P32" s="712"/>
      <c r="Q32" s="712"/>
      <c r="R32" s="712"/>
      <c r="S32" s="712">
        <v>1</v>
      </c>
      <c r="T32" s="712"/>
      <c r="U32" s="712"/>
      <c r="V32" s="712"/>
      <c r="W32" s="712"/>
      <c r="X32" s="712"/>
      <c r="Y32" s="712"/>
      <c r="Z32" s="712"/>
      <c r="AA32" s="712"/>
      <c r="AB32" s="712"/>
      <c r="AC32" s="712"/>
      <c r="AD32" s="505">
        <f>SUM(N32:AB32)</f>
        <v>1</v>
      </c>
    </row>
    <row r="33" spans="2:30" x14ac:dyDescent="0.3">
      <c r="B33" s="552" t="s">
        <v>568</v>
      </c>
      <c r="C33" s="553" t="s">
        <v>566</v>
      </c>
      <c r="D33" s="878">
        <v>12.8</v>
      </c>
      <c r="E33" s="878">
        <v>14.601778667555065</v>
      </c>
      <c r="F33" s="879">
        <v>15.683187890128066</v>
      </c>
      <c r="G33" s="879">
        <v>16.764597112701065</v>
      </c>
      <c r="H33" s="879">
        <v>17.197722409487593</v>
      </c>
      <c r="I33" s="879">
        <v>17.630847706274125</v>
      </c>
      <c r="J33" s="879">
        <v>18.063973003060656</v>
      </c>
      <c r="K33" s="879">
        <v>18.497098299847185</v>
      </c>
      <c r="L33" s="507"/>
      <c r="M33" s="510" t="s">
        <v>568</v>
      </c>
      <c r="N33" s="711"/>
      <c r="O33" s="711"/>
      <c r="P33" s="711"/>
      <c r="Q33" s="711"/>
      <c r="R33" s="711"/>
      <c r="S33" s="711"/>
      <c r="T33" s="711"/>
      <c r="U33" s="711"/>
      <c r="V33" s="711"/>
      <c r="W33" s="711"/>
      <c r="X33" s="711"/>
      <c r="Y33" s="711"/>
      <c r="Z33" s="711"/>
      <c r="AA33" s="711"/>
      <c r="AB33" s="711"/>
      <c r="AC33" s="711"/>
      <c r="AD33" s="504"/>
    </row>
    <row r="34" spans="2:30" x14ac:dyDescent="0.3">
      <c r="B34" s="551" t="s">
        <v>569</v>
      </c>
      <c r="C34" s="553" t="s">
        <v>566</v>
      </c>
      <c r="D34" s="878">
        <v>70</v>
      </c>
      <c r="E34" s="878">
        <v>66.055665400844333</v>
      </c>
      <c r="F34" s="879">
        <v>70.947754741055533</v>
      </c>
      <c r="G34" s="879">
        <v>75.839844081266705</v>
      </c>
      <c r="H34" s="879">
        <v>77.799220423872427</v>
      </c>
      <c r="I34" s="879">
        <v>79.758596766478163</v>
      </c>
      <c r="J34" s="879">
        <v>81.7179731090839</v>
      </c>
      <c r="K34" s="879">
        <v>83.677349451689622</v>
      </c>
      <c r="L34" s="507"/>
      <c r="M34" s="510" t="s">
        <v>569</v>
      </c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1"/>
      <c r="AC34" s="711"/>
      <c r="AD34" s="504"/>
    </row>
    <row r="35" spans="2:30" x14ac:dyDescent="0.3">
      <c r="B35" s="551" t="s">
        <v>570</v>
      </c>
      <c r="C35" s="553" t="s">
        <v>566</v>
      </c>
      <c r="D35" s="878">
        <v>16.936849093538822</v>
      </c>
      <c r="E35" s="878">
        <v>19.399505944037443</v>
      </c>
      <c r="F35" s="879">
        <v>20.836235339741574</v>
      </c>
      <c r="G35" s="879">
        <v>22.272964735445701</v>
      </c>
      <c r="H35" s="879">
        <v>22.848402629747802</v>
      </c>
      <c r="I35" s="879">
        <v>23.423840524049908</v>
      </c>
      <c r="J35" s="879">
        <v>23.999278418352013</v>
      </c>
      <c r="K35" s="879">
        <v>24.574716312654115</v>
      </c>
      <c r="L35" s="507"/>
      <c r="M35" s="510" t="s">
        <v>570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1"/>
      <c r="AC35" s="711"/>
      <c r="AD35" s="504"/>
    </row>
    <row r="36" spans="2:30" x14ac:dyDescent="0.3">
      <c r="B36" s="554" t="s">
        <v>571</v>
      </c>
      <c r="C36" s="553" t="s">
        <v>566</v>
      </c>
      <c r="D36" s="877">
        <v>0</v>
      </c>
      <c r="E36" s="877">
        <v>0</v>
      </c>
      <c r="F36" s="877">
        <v>26</v>
      </c>
      <c r="G36" s="877">
        <v>26</v>
      </c>
      <c r="H36" s="877">
        <v>26</v>
      </c>
      <c r="I36" s="877">
        <v>26</v>
      </c>
      <c r="J36" s="877">
        <v>26</v>
      </c>
      <c r="K36" s="877">
        <v>26</v>
      </c>
      <c r="L36" s="507"/>
      <c r="M36" s="511" t="s">
        <v>571</v>
      </c>
      <c r="N36" s="712"/>
      <c r="O36" s="712"/>
      <c r="P36" s="712"/>
      <c r="Q36" s="712"/>
      <c r="R36" s="712"/>
      <c r="S36" s="712">
        <v>0.65</v>
      </c>
      <c r="T36" s="712"/>
      <c r="U36" s="712"/>
      <c r="V36" s="712"/>
      <c r="W36" s="712"/>
      <c r="X36" s="712"/>
      <c r="Y36" s="712"/>
      <c r="Z36" s="712"/>
      <c r="AA36" s="712">
        <v>0.35</v>
      </c>
      <c r="AB36" s="712"/>
      <c r="AC36" s="712"/>
      <c r="AD36" s="505">
        <f>SUM(N36:AB36)</f>
        <v>1</v>
      </c>
    </row>
    <row r="37" spans="2:30" x14ac:dyDescent="0.3">
      <c r="B37" s="550" t="s">
        <v>572</v>
      </c>
      <c r="C37" s="549" t="s">
        <v>566</v>
      </c>
      <c r="D37" s="880">
        <v>0</v>
      </c>
      <c r="E37" s="880">
        <v>0</v>
      </c>
      <c r="F37" s="880">
        <v>26</v>
      </c>
      <c r="G37" s="880">
        <v>26</v>
      </c>
      <c r="H37" s="880">
        <v>26</v>
      </c>
      <c r="I37" s="880">
        <v>26</v>
      </c>
      <c r="J37" s="880">
        <v>26</v>
      </c>
      <c r="K37" s="880">
        <v>26</v>
      </c>
      <c r="L37" s="507"/>
      <c r="M37" s="510" t="s">
        <v>572</v>
      </c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711"/>
      <c r="Z37" s="711"/>
      <c r="AA37" s="711"/>
      <c r="AB37" s="711"/>
      <c r="AC37" s="711"/>
      <c r="AD37" s="504"/>
    </row>
    <row r="38" spans="2:30" x14ac:dyDescent="0.3">
      <c r="B38" s="550" t="s">
        <v>573</v>
      </c>
      <c r="C38" s="549" t="s">
        <v>566</v>
      </c>
      <c r="D38" s="880">
        <v>0</v>
      </c>
      <c r="E38" s="880">
        <v>0</v>
      </c>
      <c r="F38" s="880">
        <v>0</v>
      </c>
      <c r="G38" s="880">
        <v>0</v>
      </c>
      <c r="H38" s="880">
        <v>0</v>
      </c>
      <c r="I38" s="880">
        <v>0</v>
      </c>
      <c r="J38" s="880">
        <v>0</v>
      </c>
      <c r="K38" s="880">
        <v>0</v>
      </c>
      <c r="L38" s="507"/>
      <c r="M38" s="550" t="s">
        <v>573</v>
      </c>
      <c r="N38" s="711"/>
      <c r="O38" s="711"/>
      <c r="P38" s="711"/>
      <c r="Q38" s="711"/>
      <c r="R38" s="711"/>
      <c r="S38" s="711"/>
      <c r="T38" s="711"/>
      <c r="U38" s="711"/>
      <c r="V38" s="711"/>
      <c r="W38" s="711"/>
      <c r="X38" s="711"/>
      <c r="Y38" s="711"/>
      <c r="Z38" s="711"/>
      <c r="AA38" s="711"/>
      <c r="AB38" s="711"/>
      <c r="AC38" s="711"/>
      <c r="AD38" s="504"/>
    </row>
    <row r="39" spans="2:30" x14ac:dyDescent="0.3">
      <c r="B39" s="554" t="s">
        <v>574</v>
      </c>
      <c r="C39" s="553"/>
      <c r="D39" s="877">
        <v>655.77492307692307</v>
      </c>
      <c r="E39" s="877">
        <v>639.11626923076926</v>
      </c>
      <c r="F39" s="877">
        <v>670.19539615384622</v>
      </c>
      <c r="G39" s="877">
        <v>677.7649923076923</v>
      </c>
      <c r="H39" s="877">
        <v>699.75057051282045</v>
      </c>
      <c r="I39" s="877">
        <v>694.94862820512822</v>
      </c>
      <c r="J39" s="877">
        <v>685.53812820512826</v>
      </c>
      <c r="K39" s="877">
        <v>685.82312820512834</v>
      </c>
      <c r="L39" s="507"/>
      <c r="M39" s="554" t="s">
        <v>574</v>
      </c>
      <c r="N39" s="711"/>
      <c r="O39" s="711"/>
      <c r="P39" s="711"/>
      <c r="Q39" s="711"/>
      <c r="R39" s="711"/>
      <c r="S39" s="711"/>
      <c r="T39" s="711"/>
      <c r="U39" s="711"/>
      <c r="V39" s="711"/>
      <c r="W39" s="711"/>
      <c r="X39" s="711"/>
      <c r="Y39" s="711"/>
      <c r="Z39" s="711"/>
      <c r="AA39" s="711"/>
      <c r="AB39" s="711"/>
      <c r="AC39" s="711"/>
      <c r="AD39" s="504"/>
    </row>
    <row r="40" spans="2:30" x14ac:dyDescent="0.3">
      <c r="B40" s="551" t="s">
        <v>575</v>
      </c>
      <c r="C40" s="553" t="s">
        <v>566</v>
      </c>
      <c r="D40" s="881">
        <v>135.76530769230772</v>
      </c>
      <c r="E40" s="881">
        <v>146.1499230769231</v>
      </c>
      <c r="F40" s="881">
        <v>166.51991538461539</v>
      </c>
      <c r="G40" s="881">
        <v>177.22653076923078</v>
      </c>
      <c r="H40" s="881">
        <v>195.4260512820513</v>
      </c>
      <c r="I40" s="881">
        <v>202.06882051282051</v>
      </c>
      <c r="J40" s="881">
        <v>202.22082051282052</v>
      </c>
      <c r="K40" s="881">
        <v>202.50582051282055</v>
      </c>
      <c r="L40" s="507"/>
      <c r="M40" s="551" t="s">
        <v>575</v>
      </c>
      <c r="N40" s="712"/>
      <c r="O40" s="712"/>
      <c r="P40" s="712"/>
      <c r="Q40" s="712"/>
      <c r="R40" s="712"/>
      <c r="S40" s="712"/>
      <c r="T40" s="712">
        <v>0.15</v>
      </c>
      <c r="U40" s="712"/>
      <c r="V40" s="712"/>
      <c r="W40" s="712"/>
      <c r="X40" s="712"/>
      <c r="Y40" s="712"/>
      <c r="Z40" s="712"/>
      <c r="AA40" s="712">
        <f>1-T40</f>
        <v>0.85</v>
      </c>
      <c r="AB40" s="712"/>
      <c r="AC40" s="712"/>
      <c r="AD40" s="505">
        <f>SUM(N40:AB40)</f>
        <v>1</v>
      </c>
    </row>
    <row r="41" spans="2:30" x14ac:dyDescent="0.3">
      <c r="B41" s="551" t="s">
        <v>576</v>
      </c>
      <c r="C41" s="553" t="s">
        <v>566</v>
      </c>
      <c r="D41" s="881">
        <v>271.38461538461542</v>
      </c>
      <c r="E41" s="881">
        <v>292.15384615384613</v>
      </c>
      <c r="F41" s="881">
        <v>326.76923076923077</v>
      </c>
      <c r="G41" s="881">
        <v>347.53846153846155</v>
      </c>
      <c r="H41" s="881">
        <v>375.23076923076928</v>
      </c>
      <c r="I41" s="881">
        <v>387.69230769230774</v>
      </c>
      <c r="J41" s="881">
        <v>387.69230769230774</v>
      </c>
      <c r="K41" s="881">
        <v>387.69230769230774</v>
      </c>
      <c r="L41" s="507"/>
      <c r="M41" s="551" t="s">
        <v>576</v>
      </c>
      <c r="N41" s="712"/>
      <c r="O41" s="712"/>
      <c r="P41" s="712"/>
      <c r="Q41" s="712"/>
      <c r="R41" s="712"/>
      <c r="S41" s="712"/>
      <c r="T41" s="712">
        <v>0.15</v>
      </c>
      <c r="U41" s="712"/>
      <c r="V41" s="712"/>
      <c r="W41" s="712"/>
      <c r="X41" s="712"/>
      <c r="Y41" s="712"/>
      <c r="Z41" s="712"/>
      <c r="AA41" s="712">
        <f>1-T41</f>
        <v>0.85</v>
      </c>
      <c r="AB41" s="712"/>
      <c r="AC41" s="712"/>
      <c r="AD41" s="505">
        <f>SUM(N41:AB41)</f>
        <v>1</v>
      </c>
    </row>
    <row r="42" spans="2:30" x14ac:dyDescent="0.3">
      <c r="B42" s="551" t="s">
        <v>577</v>
      </c>
      <c r="C42" s="553" t="s">
        <v>566</v>
      </c>
      <c r="D42" s="881">
        <v>175.5</v>
      </c>
      <c r="E42" s="881">
        <v>141.75</v>
      </c>
      <c r="F42" s="881">
        <v>124.875</v>
      </c>
      <c r="G42" s="881">
        <v>108</v>
      </c>
      <c r="H42" s="881">
        <v>91.125</v>
      </c>
      <c r="I42" s="881">
        <v>74.25</v>
      </c>
      <c r="J42" s="881">
        <v>67.5</v>
      </c>
      <c r="K42" s="881">
        <v>67.5</v>
      </c>
      <c r="L42" s="507"/>
      <c r="M42" s="551" t="s">
        <v>577</v>
      </c>
      <c r="N42" s="712"/>
      <c r="O42" s="712"/>
      <c r="P42" s="712"/>
      <c r="Q42" s="712"/>
      <c r="R42" s="712"/>
      <c r="S42" s="712"/>
      <c r="T42" s="712">
        <v>0.15</v>
      </c>
      <c r="U42" s="712"/>
      <c r="V42" s="712"/>
      <c r="W42" s="712"/>
      <c r="X42" s="712"/>
      <c r="Y42" s="712"/>
      <c r="Z42" s="712"/>
      <c r="AA42" s="712">
        <f>1-T42</f>
        <v>0.85</v>
      </c>
      <c r="AB42" s="712"/>
      <c r="AC42" s="712"/>
      <c r="AD42" s="505">
        <f>SUM(N42:AB42)</f>
        <v>1</v>
      </c>
    </row>
    <row r="43" spans="2:30" x14ac:dyDescent="0.3">
      <c r="B43" s="551" t="s">
        <v>578</v>
      </c>
      <c r="C43" s="553" t="s">
        <v>566</v>
      </c>
      <c r="D43" s="881">
        <v>73.125</v>
      </c>
      <c r="E43" s="881">
        <v>59.0625</v>
      </c>
      <c r="F43" s="881">
        <v>52.03125</v>
      </c>
      <c r="G43" s="881">
        <v>45</v>
      </c>
      <c r="H43" s="881">
        <v>37.96875</v>
      </c>
      <c r="I43" s="881">
        <v>30.9375</v>
      </c>
      <c r="J43" s="881">
        <v>28.125</v>
      </c>
      <c r="K43" s="881">
        <v>28.125</v>
      </c>
      <c r="L43" s="507"/>
      <c r="M43" s="551" t="s">
        <v>578</v>
      </c>
      <c r="N43" s="712"/>
      <c r="O43" s="712"/>
      <c r="P43" s="712"/>
      <c r="Q43" s="712"/>
      <c r="R43" s="712"/>
      <c r="S43" s="712"/>
      <c r="T43" s="712">
        <v>0.15</v>
      </c>
      <c r="U43" s="712"/>
      <c r="V43" s="712"/>
      <c r="W43" s="712"/>
      <c r="X43" s="712"/>
      <c r="Y43" s="712"/>
      <c r="Z43" s="712"/>
      <c r="AA43" s="712">
        <f>1-T43</f>
        <v>0.85</v>
      </c>
      <c r="AB43" s="712"/>
      <c r="AC43" s="712"/>
      <c r="AD43" s="505">
        <f>SUM(N43:AB43)</f>
        <v>1</v>
      </c>
    </row>
    <row r="44" spans="2:30" x14ac:dyDescent="0.3">
      <c r="B44" s="556" t="s">
        <v>579</v>
      </c>
      <c r="C44" s="556" t="s">
        <v>566</v>
      </c>
      <c r="D44" s="877">
        <v>495.58050797364155</v>
      </c>
      <c r="E44" s="877">
        <v>552.24536713194004</v>
      </c>
      <c r="F44" s="877">
        <v>601.71662744519654</v>
      </c>
      <c r="G44" s="877">
        <v>642.95995764968711</v>
      </c>
      <c r="H44" s="877">
        <v>663.23486768314353</v>
      </c>
      <c r="I44" s="877">
        <v>681.26509871660016</v>
      </c>
      <c r="J44" s="877">
        <v>695.80456235005681</v>
      </c>
      <c r="K44" s="877">
        <v>710.11384478351351</v>
      </c>
      <c r="L44" s="507"/>
      <c r="M44" s="556" t="s">
        <v>579</v>
      </c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  <c r="AA44" s="711"/>
      <c r="AB44" s="711"/>
      <c r="AC44" s="711"/>
      <c r="AD44" s="504"/>
    </row>
    <row r="45" spans="2:30" x14ac:dyDescent="0.3">
      <c r="B45" s="554" t="s">
        <v>567</v>
      </c>
      <c r="C45" s="553" t="s">
        <v>566</v>
      </c>
      <c r="D45" s="877">
        <v>205.60527364030824</v>
      </c>
      <c r="E45" s="877">
        <v>206.68470042527343</v>
      </c>
      <c r="F45" s="877">
        <v>229.23359072390687</v>
      </c>
      <c r="G45" s="877">
        <v>251.78248102254025</v>
      </c>
      <c r="H45" s="877">
        <v>256.36589837583659</v>
      </c>
      <c r="I45" s="877">
        <v>260.94931572913299</v>
      </c>
      <c r="J45" s="877">
        <v>265.53273308242939</v>
      </c>
      <c r="K45" s="877">
        <v>270.11615043572579</v>
      </c>
      <c r="L45" s="507"/>
      <c r="M45" s="554" t="s">
        <v>567</v>
      </c>
      <c r="N45" s="712"/>
      <c r="O45" s="712"/>
      <c r="P45" s="712"/>
      <c r="Q45" s="712"/>
      <c r="R45" s="712"/>
      <c r="S45" s="712">
        <v>1</v>
      </c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505">
        <f>SUM(N45:AB45)</f>
        <v>1</v>
      </c>
    </row>
    <row r="46" spans="2:30" x14ac:dyDescent="0.3">
      <c r="B46" s="551" t="s">
        <v>569</v>
      </c>
      <c r="C46" s="553" t="s">
        <v>566</v>
      </c>
      <c r="D46" s="877">
        <v>161</v>
      </c>
      <c r="E46" s="877">
        <v>155.57847508883074</v>
      </c>
      <c r="F46" s="881">
        <v>174.34243310845864</v>
      </c>
      <c r="G46" s="881">
        <v>193.1063911280865</v>
      </c>
      <c r="H46" s="881">
        <v>196.17386994263003</v>
      </c>
      <c r="I46" s="881">
        <v>199.2413487571736</v>
      </c>
      <c r="J46" s="881">
        <v>202.3088275717171</v>
      </c>
      <c r="K46" s="881">
        <v>205.37630638626067</v>
      </c>
      <c r="L46" s="507"/>
      <c r="M46" s="551" t="s">
        <v>569</v>
      </c>
      <c r="N46" s="711"/>
      <c r="O46" s="711"/>
      <c r="P46" s="711"/>
      <c r="Q46" s="711"/>
      <c r="R46" s="711"/>
      <c r="S46" s="711"/>
      <c r="T46" s="711"/>
      <c r="U46" s="711"/>
      <c r="V46" s="711"/>
      <c r="W46" s="711"/>
      <c r="X46" s="711"/>
      <c r="Y46" s="711"/>
      <c r="Z46" s="711"/>
      <c r="AA46" s="711"/>
      <c r="AB46" s="711"/>
      <c r="AC46" s="711"/>
      <c r="AD46" s="504"/>
    </row>
    <row r="47" spans="2:30" x14ac:dyDescent="0.3">
      <c r="B47" s="551" t="s">
        <v>580</v>
      </c>
      <c r="C47" s="553" t="s">
        <v>566</v>
      </c>
      <c r="D47" s="877">
        <v>44.605273640308226</v>
      </c>
      <c r="E47" s="877">
        <v>51.106225336442719</v>
      </c>
      <c r="F47" s="881">
        <v>54.891157615448222</v>
      </c>
      <c r="G47" s="881">
        <v>58.676089894453717</v>
      </c>
      <c r="H47" s="881">
        <v>60.192028433206566</v>
      </c>
      <c r="I47" s="881">
        <v>61.707966971959422</v>
      </c>
      <c r="J47" s="881">
        <v>63.223905510712285</v>
      </c>
      <c r="K47" s="881">
        <v>64.739844049465134</v>
      </c>
      <c r="L47" s="506"/>
      <c r="M47" s="551" t="s">
        <v>580</v>
      </c>
      <c r="N47" s="711"/>
      <c r="O47" s="711"/>
      <c r="P47" s="711"/>
      <c r="Q47" s="711"/>
      <c r="R47" s="711"/>
      <c r="S47" s="711"/>
      <c r="T47" s="711"/>
      <c r="U47" s="711"/>
      <c r="V47" s="711"/>
      <c r="W47" s="711"/>
      <c r="X47" s="711"/>
      <c r="Y47" s="711"/>
      <c r="Z47" s="711"/>
      <c r="AA47" s="711"/>
      <c r="AB47" s="711"/>
      <c r="AC47" s="711"/>
      <c r="AD47" s="504"/>
    </row>
    <row r="48" spans="2:30" x14ac:dyDescent="0.3">
      <c r="B48" s="554" t="s">
        <v>571</v>
      </c>
      <c r="C48" s="553" t="s">
        <v>566</v>
      </c>
      <c r="D48" s="877">
        <v>17.567250000000001</v>
      </c>
      <c r="E48" s="877">
        <v>37.567250000000001</v>
      </c>
      <c r="F48" s="877">
        <v>40.975137934622964</v>
      </c>
      <c r="G48" s="877">
        <v>41.13049656048004</v>
      </c>
      <c r="H48" s="877">
        <v>41.425372173973585</v>
      </c>
      <c r="I48" s="877">
        <v>41.720247787467144</v>
      </c>
      <c r="J48" s="877">
        <v>42.01512340096069</v>
      </c>
      <c r="K48" s="877">
        <v>42.309999014454249</v>
      </c>
      <c r="M48" s="554" t="s">
        <v>571</v>
      </c>
      <c r="N48" s="712"/>
      <c r="O48" s="712"/>
      <c r="P48" s="712"/>
      <c r="Q48" s="712"/>
      <c r="R48" s="712"/>
      <c r="S48" s="712">
        <v>1</v>
      </c>
      <c r="T48" s="712"/>
      <c r="U48" s="712"/>
      <c r="V48" s="712"/>
      <c r="W48" s="712"/>
      <c r="X48" s="712"/>
      <c r="Y48" s="712"/>
      <c r="Z48" s="712"/>
      <c r="AA48" s="712"/>
      <c r="AB48" s="712"/>
      <c r="AC48" s="712"/>
      <c r="AD48" s="505">
        <f>SUM(N48:AB48)</f>
        <v>1</v>
      </c>
    </row>
    <row r="49" spans="2:30" x14ac:dyDescent="0.3">
      <c r="B49" s="551" t="s">
        <v>572</v>
      </c>
      <c r="C49" s="553" t="s">
        <v>566</v>
      </c>
      <c r="D49" s="877">
        <v>0</v>
      </c>
      <c r="E49" s="877">
        <v>0</v>
      </c>
      <c r="F49" s="879">
        <v>3.3</v>
      </c>
      <c r="G49" s="879">
        <v>3.3474706912341046</v>
      </c>
      <c r="H49" s="879">
        <v>3.4006449821919582</v>
      </c>
      <c r="I49" s="879">
        <v>3.4538192731498119</v>
      </c>
      <c r="J49" s="879">
        <v>3.5069935641076659</v>
      </c>
      <c r="K49" s="879">
        <v>3.56016785506552</v>
      </c>
      <c r="M49" s="551" t="s">
        <v>572</v>
      </c>
      <c r="N49" s="711"/>
      <c r="O49" s="711"/>
      <c r="P49" s="711"/>
      <c r="Q49" s="711"/>
      <c r="R49" s="711"/>
      <c r="S49" s="711"/>
      <c r="T49" s="711"/>
      <c r="U49" s="711"/>
      <c r="V49" s="711"/>
      <c r="W49" s="711"/>
      <c r="X49" s="711"/>
      <c r="Y49" s="711"/>
      <c r="Z49" s="711"/>
      <c r="AA49" s="711"/>
      <c r="AB49" s="711"/>
      <c r="AC49" s="711"/>
      <c r="AD49" s="504"/>
    </row>
    <row r="50" spans="2:30" x14ac:dyDescent="0.3">
      <c r="B50" s="551" t="s">
        <v>581</v>
      </c>
      <c r="C50" s="553" t="s">
        <v>566</v>
      </c>
      <c r="D50" s="878">
        <v>15</v>
      </c>
      <c r="E50" s="878">
        <v>15</v>
      </c>
      <c r="F50" s="879">
        <v>15.107887934622964</v>
      </c>
      <c r="G50" s="879">
        <v>15.215775869245929</v>
      </c>
      <c r="H50" s="879">
        <v>15.45747719178163</v>
      </c>
      <c r="I50" s="879">
        <v>15.699178514317328</v>
      </c>
      <c r="J50" s="879">
        <v>15.940879836853027</v>
      </c>
      <c r="K50" s="879">
        <v>16.182581159388729</v>
      </c>
      <c r="M50" s="551" t="s">
        <v>581</v>
      </c>
      <c r="N50" s="711"/>
      <c r="O50" s="711"/>
      <c r="P50" s="711"/>
      <c r="Q50" s="711"/>
      <c r="R50" s="711"/>
      <c r="S50" s="711"/>
      <c r="T50" s="711"/>
      <c r="U50" s="711"/>
      <c r="V50" s="711"/>
      <c r="W50" s="711"/>
      <c r="X50" s="711"/>
      <c r="Y50" s="711"/>
      <c r="Z50" s="711"/>
      <c r="AA50" s="711"/>
      <c r="AB50" s="711"/>
      <c r="AC50" s="711"/>
      <c r="AD50" s="504"/>
    </row>
    <row r="51" spans="2:30" x14ac:dyDescent="0.3">
      <c r="B51" s="551" t="s">
        <v>582</v>
      </c>
      <c r="C51" s="553" t="s">
        <v>566</v>
      </c>
      <c r="D51" s="882">
        <v>2.5672499999999996</v>
      </c>
      <c r="E51" s="882">
        <v>22.567250000000001</v>
      </c>
      <c r="F51" s="882">
        <v>22.567250000000001</v>
      </c>
      <c r="G51" s="882">
        <v>22.567250000000001</v>
      </c>
      <c r="H51" s="882">
        <v>22.567250000000001</v>
      </c>
      <c r="I51" s="882">
        <v>22.567250000000001</v>
      </c>
      <c r="J51" s="882">
        <v>22.567250000000001</v>
      </c>
      <c r="K51" s="882">
        <v>22.567250000000001</v>
      </c>
      <c r="M51" s="551" t="s">
        <v>582</v>
      </c>
      <c r="N51" s="711"/>
      <c r="O51" s="711"/>
      <c r="P51" s="711"/>
      <c r="Q51" s="711"/>
      <c r="R51" s="711"/>
      <c r="S51" s="711"/>
      <c r="T51" s="711"/>
      <c r="U51" s="711"/>
      <c r="V51" s="711"/>
      <c r="W51" s="711"/>
      <c r="X51" s="711"/>
      <c r="Y51" s="711"/>
      <c r="Z51" s="711"/>
      <c r="AA51" s="711"/>
      <c r="AB51" s="711"/>
      <c r="AC51" s="711"/>
      <c r="AD51" s="504"/>
    </row>
    <row r="52" spans="2:30" x14ac:dyDescent="0.3">
      <c r="B52" s="554" t="s">
        <v>574</v>
      </c>
      <c r="C52" s="553"/>
      <c r="D52" s="877">
        <v>272.40798433333333</v>
      </c>
      <c r="E52" s="877">
        <v>307.99341670666672</v>
      </c>
      <c r="F52" s="877">
        <v>331.50789878666677</v>
      </c>
      <c r="G52" s="877">
        <v>350.04698006666672</v>
      </c>
      <c r="H52" s="877">
        <v>365.44359713333341</v>
      </c>
      <c r="I52" s="877">
        <v>378.59553520000009</v>
      </c>
      <c r="J52" s="877">
        <v>388.25670586666666</v>
      </c>
      <c r="K52" s="877">
        <v>397.68769533333341</v>
      </c>
      <c r="M52" s="554" t="s">
        <v>574</v>
      </c>
      <c r="N52" s="712"/>
      <c r="O52" s="712"/>
      <c r="P52" s="712"/>
      <c r="Q52" s="712"/>
      <c r="R52" s="712"/>
      <c r="S52" s="712"/>
      <c r="T52" s="712">
        <v>0.4</v>
      </c>
      <c r="U52" s="712"/>
      <c r="V52" s="712"/>
      <c r="W52" s="712"/>
      <c r="X52" s="712"/>
      <c r="Y52" s="712"/>
      <c r="Z52" s="712"/>
      <c r="AA52" s="712">
        <v>0.6</v>
      </c>
      <c r="AB52" s="712"/>
      <c r="AC52" s="712"/>
      <c r="AD52" s="505">
        <f>SUM(N52:AA52)</f>
        <v>1</v>
      </c>
    </row>
    <row r="53" spans="2:30" x14ac:dyDescent="0.3">
      <c r="B53" s="551" t="s">
        <v>583</v>
      </c>
      <c r="C53" s="553" t="s">
        <v>566</v>
      </c>
      <c r="D53" s="881">
        <v>21.818916000000002</v>
      </c>
      <c r="E53" s="881">
        <v>23.488731000000001</v>
      </c>
      <c r="F53" s="881">
        <v>26.271756</v>
      </c>
      <c r="G53" s="881">
        <v>27.941571</v>
      </c>
      <c r="H53" s="881">
        <v>30.167991000000001</v>
      </c>
      <c r="I53" s="881">
        <v>31.169879999999999</v>
      </c>
      <c r="J53" s="881">
        <v>31.169879999999999</v>
      </c>
      <c r="K53" s="881">
        <v>31.169879999999999</v>
      </c>
      <c r="M53" s="551" t="s">
        <v>583</v>
      </c>
      <c r="N53" s="711"/>
      <c r="O53" s="711"/>
      <c r="P53" s="711"/>
      <c r="Q53" s="711"/>
      <c r="R53" s="711"/>
      <c r="S53" s="711"/>
      <c r="T53" s="711"/>
      <c r="U53" s="711"/>
      <c r="V53" s="711"/>
      <c r="W53" s="711"/>
      <c r="X53" s="711"/>
      <c r="Y53" s="711"/>
      <c r="Z53" s="711"/>
      <c r="AA53" s="711"/>
      <c r="AB53" s="711"/>
      <c r="AC53" s="711"/>
      <c r="AD53" s="504"/>
    </row>
    <row r="54" spans="2:30" x14ac:dyDescent="0.3">
      <c r="B54" s="551" t="s">
        <v>584</v>
      </c>
      <c r="C54" s="553" t="s">
        <v>566</v>
      </c>
      <c r="D54" s="881">
        <v>250.48049600000002</v>
      </c>
      <c r="E54" s="881">
        <v>284.37155600000006</v>
      </c>
      <c r="F54" s="881">
        <v>304.40933600000005</v>
      </c>
      <c r="G54" s="881">
        <v>320.48903600000006</v>
      </c>
      <c r="H54" s="881">
        <v>331.86851600000006</v>
      </c>
      <c r="I54" s="881">
        <v>342.11004800000006</v>
      </c>
      <c r="J54" s="881">
        <v>349.77882800000003</v>
      </c>
      <c r="K54" s="881">
        <v>357.20022800000004</v>
      </c>
      <c r="M54" s="551" t="s">
        <v>584</v>
      </c>
      <c r="N54" s="711"/>
      <c r="O54" s="711"/>
      <c r="P54" s="711"/>
      <c r="Q54" s="711"/>
      <c r="R54" s="711"/>
      <c r="S54" s="711"/>
      <c r="T54" s="711"/>
      <c r="U54" s="711"/>
      <c r="V54" s="711"/>
      <c r="W54" s="711"/>
      <c r="X54" s="711"/>
      <c r="Y54" s="711"/>
      <c r="Z54" s="711"/>
      <c r="AA54" s="711"/>
      <c r="AB54" s="711"/>
      <c r="AC54" s="711"/>
      <c r="AD54" s="504"/>
    </row>
    <row r="55" spans="2:30" x14ac:dyDescent="0.3">
      <c r="B55" s="551" t="s">
        <v>585</v>
      </c>
      <c r="C55" s="553" t="s">
        <v>566</v>
      </c>
      <c r="D55" s="881">
        <v>0.10857233333333335</v>
      </c>
      <c r="E55" s="881">
        <v>0.13312970666666665</v>
      </c>
      <c r="F55" s="881">
        <v>0.82680678666666663</v>
      </c>
      <c r="G55" s="881">
        <v>1.6163730666666669</v>
      </c>
      <c r="H55" s="881">
        <v>3.4070901333333339</v>
      </c>
      <c r="I55" s="881">
        <v>5.3156072000000014</v>
      </c>
      <c r="J55" s="881">
        <v>7.3079978666666685</v>
      </c>
      <c r="K55" s="881">
        <v>9.3175873333333374</v>
      </c>
      <c r="M55" s="551" t="s">
        <v>585</v>
      </c>
      <c r="N55" s="711"/>
      <c r="O55" s="711"/>
      <c r="P55" s="711"/>
      <c r="Q55" s="711"/>
      <c r="R55" s="711"/>
      <c r="S55" s="711"/>
      <c r="T55" s="711"/>
      <c r="U55" s="711"/>
      <c r="V55" s="711"/>
      <c r="W55" s="711"/>
      <c r="X55" s="711"/>
      <c r="Y55" s="711"/>
      <c r="Z55" s="711"/>
      <c r="AA55" s="711"/>
      <c r="AB55" s="711"/>
      <c r="AC55" s="711"/>
      <c r="AD55" s="504"/>
    </row>
    <row r="56" spans="2:30" x14ac:dyDescent="0.3">
      <c r="B56" s="556" t="s">
        <v>586</v>
      </c>
      <c r="C56" s="556" t="s">
        <v>566</v>
      </c>
      <c r="D56" s="877">
        <v>80.697777436650398</v>
      </c>
      <c r="E56" s="877">
        <v>90.391963180102778</v>
      </c>
      <c r="F56" s="877">
        <v>89.674422400462177</v>
      </c>
      <c r="G56" s="877">
        <v>87.327340001105128</v>
      </c>
      <c r="H56" s="877">
        <v>85.42777361213966</v>
      </c>
      <c r="I56" s="877">
        <v>84.381662692585721</v>
      </c>
      <c r="J56" s="877">
        <v>84.119718263376157</v>
      </c>
      <c r="K56" s="877">
        <v>84.604209284828102</v>
      </c>
      <c r="M56" s="512" t="s">
        <v>586</v>
      </c>
      <c r="N56" s="712"/>
      <c r="O56" s="712"/>
      <c r="P56" s="712"/>
      <c r="Q56" s="712"/>
      <c r="R56" s="712"/>
      <c r="S56" s="712"/>
      <c r="T56" s="712"/>
      <c r="U56" s="712"/>
      <c r="V56" s="712"/>
      <c r="W56" s="712"/>
      <c r="X56" s="712"/>
      <c r="Y56" s="712"/>
      <c r="Z56" s="712">
        <v>1</v>
      </c>
      <c r="AA56" s="712"/>
      <c r="AB56" s="712"/>
      <c r="AC56" s="712"/>
      <c r="AD56" s="505">
        <f>SUM(N56:AA56)</f>
        <v>1</v>
      </c>
    </row>
    <row r="57" spans="2:30" x14ac:dyDescent="0.3">
      <c r="B57" s="545" t="s">
        <v>587</v>
      </c>
      <c r="C57" s="553" t="s">
        <v>566</v>
      </c>
      <c r="D57" s="877">
        <v>16.808271672135472</v>
      </c>
      <c r="E57" s="877">
        <v>20.859683810792948</v>
      </c>
      <c r="F57" s="881">
        <v>21.856191028763007</v>
      </c>
      <c r="G57" s="881">
        <v>22.852698246733063</v>
      </c>
      <c r="H57" s="881">
        <v>23.337189268185032</v>
      </c>
      <c r="I57" s="881">
        <v>23.821680289636994</v>
      </c>
      <c r="J57" s="881">
        <v>24.306171311088956</v>
      </c>
      <c r="K57" s="881">
        <v>24.790662332540911</v>
      </c>
      <c r="M57" s="510" t="s">
        <v>587</v>
      </c>
      <c r="N57" s="711"/>
      <c r="O57" s="711"/>
      <c r="P57" s="711"/>
      <c r="Q57" s="711"/>
      <c r="R57" s="711"/>
      <c r="S57" s="711"/>
      <c r="T57" s="711"/>
      <c r="U57" s="711"/>
      <c r="V57" s="711"/>
      <c r="W57" s="711"/>
      <c r="X57" s="711"/>
      <c r="Y57" s="711"/>
      <c r="Z57" s="711"/>
      <c r="AA57" s="711"/>
      <c r="AB57" s="711"/>
      <c r="AC57" s="711"/>
      <c r="AD57" s="504"/>
    </row>
    <row r="58" spans="2:30" x14ac:dyDescent="0.3">
      <c r="B58" s="545" t="s">
        <v>588</v>
      </c>
      <c r="C58" s="553" t="s">
        <v>566</v>
      </c>
      <c r="D58" s="877">
        <v>19.609650284158047</v>
      </c>
      <c r="E58" s="877">
        <v>26.074604763491184</v>
      </c>
      <c r="F58" s="879">
        <v>25.431836764387192</v>
      </c>
      <c r="G58" s="879">
        <v>24.177990657889524</v>
      </c>
      <c r="H58" s="879">
        <v>23.283969128982989</v>
      </c>
      <c r="I58" s="879">
        <v>22.709993401105777</v>
      </c>
      <c r="J58" s="879">
        <v>22.430080107107699</v>
      </c>
      <c r="K58" s="879">
        <v>22.430080107107699</v>
      </c>
      <c r="M58" s="510" t="s">
        <v>588</v>
      </c>
      <c r="N58" s="711"/>
      <c r="O58" s="711"/>
      <c r="P58" s="711"/>
      <c r="Q58" s="711"/>
      <c r="R58" s="711"/>
      <c r="S58" s="711"/>
      <c r="T58" s="711"/>
      <c r="U58" s="711"/>
      <c r="V58" s="711"/>
      <c r="W58" s="711"/>
      <c r="X58" s="711"/>
      <c r="Y58" s="711"/>
      <c r="Z58" s="711"/>
      <c r="AA58" s="711"/>
      <c r="AB58" s="711"/>
      <c r="AC58" s="711"/>
      <c r="AD58" s="504"/>
    </row>
    <row r="59" spans="2:30" x14ac:dyDescent="0.3">
      <c r="B59" s="544" t="s">
        <v>589</v>
      </c>
      <c r="C59" s="553" t="s">
        <v>566</v>
      </c>
      <c r="D59" s="877">
        <v>44.279855480356886</v>
      </c>
      <c r="E59" s="877">
        <v>43.457674605818639</v>
      </c>
      <c r="F59" s="881">
        <v>42.386394607311985</v>
      </c>
      <c r="G59" s="881">
        <v>40.296651096482535</v>
      </c>
      <c r="H59" s="879">
        <v>38.806615214971643</v>
      </c>
      <c r="I59" s="879">
        <v>37.849989001842957</v>
      </c>
      <c r="J59" s="879">
        <v>37.383466845179491</v>
      </c>
      <c r="K59" s="879">
        <v>37.383466845179491</v>
      </c>
      <c r="M59" s="510" t="s">
        <v>589</v>
      </c>
      <c r="N59" s="711"/>
      <c r="O59" s="711"/>
      <c r="P59" s="711"/>
      <c r="Q59" s="711"/>
      <c r="R59" s="711"/>
      <c r="S59" s="711"/>
      <c r="T59" s="711"/>
      <c r="U59" s="711"/>
      <c r="V59" s="711"/>
      <c r="W59" s="711"/>
      <c r="X59" s="711"/>
      <c r="Y59" s="711"/>
      <c r="Z59" s="711"/>
      <c r="AA59" s="711"/>
      <c r="AB59" s="711"/>
      <c r="AC59" s="711"/>
      <c r="AD59" s="504"/>
    </row>
    <row r="61" spans="2:30" outlineLevel="1" x14ac:dyDescent="0.3">
      <c r="N61" s="477"/>
      <c r="O61" s="478"/>
      <c r="P61" s="478"/>
      <c r="Q61" s="478"/>
      <c r="R61" s="478"/>
      <c r="S61" s="478"/>
      <c r="T61" s="478"/>
      <c r="U61" s="479"/>
      <c r="V61" s="479"/>
      <c r="W61" s="479"/>
    </row>
    <row r="62" spans="2:30" outlineLevel="1" x14ac:dyDescent="0.3">
      <c r="B62" s="481" t="s">
        <v>723</v>
      </c>
      <c r="C62" s="181"/>
      <c r="D62" s="181"/>
      <c r="E62" s="181"/>
      <c r="F62" s="181"/>
      <c r="G62" s="181"/>
      <c r="H62" s="181"/>
      <c r="I62" s="181"/>
      <c r="J62" s="181"/>
      <c r="K62" s="181"/>
      <c r="M62" s="481" t="s">
        <v>592</v>
      </c>
      <c r="N62" s="480"/>
      <c r="O62" s="478"/>
      <c r="P62" s="478"/>
      <c r="Q62" s="478"/>
      <c r="R62" s="478"/>
      <c r="S62" s="478"/>
      <c r="T62" s="478"/>
      <c r="U62" s="479"/>
      <c r="V62" s="479"/>
      <c r="W62" s="479"/>
    </row>
    <row r="63" spans="2:30" outlineLevel="1" x14ac:dyDescent="0.3">
      <c r="B63" s="542"/>
      <c r="C63" s="541" t="s">
        <v>293</v>
      </c>
      <c r="D63" s="540">
        <v>2015</v>
      </c>
      <c r="E63" s="540">
        <v>2020</v>
      </c>
      <c r="F63" s="540">
        <v>2025</v>
      </c>
      <c r="G63" s="540">
        <v>2030</v>
      </c>
      <c r="H63" s="540">
        <v>2035</v>
      </c>
      <c r="I63" s="540">
        <v>2040</v>
      </c>
      <c r="J63" s="540">
        <v>2045</v>
      </c>
      <c r="K63" s="540">
        <v>2050</v>
      </c>
      <c r="M63" s="542"/>
      <c r="N63" s="542" t="s">
        <v>293</v>
      </c>
      <c r="O63" s="540">
        <v>2010</v>
      </c>
      <c r="P63" s="540">
        <v>2015</v>
      </c>
      <c r="Q63" s="540">
        <v>2020</v>
      </c>
      <c r="R63" s="540">
        <v>2025</v>
      </c>
      <c r="S63" s="540">
        <v>2030</v>
      </c>
      <c r="T63" s="540">
        <v>2035</v>
      </c>
      <c r="U63" s="540">
        <v>2040</v>
      </c>
      <c r="V63" s="540">
        <v>2045</v>
      </c>
      <c r="W63" s="540">
        <v>2050</v>
      </c>
      <c r="X63" s="530"/>
    </row>
    <row r="64" spans="2:30" outlineLevel="1" x14ac:dyDescent="0.3">
      <c r="B64" s="566" t="s">
        <v>537</v>
      </c>
      <c r="C64" s="565"/>
      <c r="M64" s="566" t="s">
        <v>537</v>
      </c>
      <c r="N64" s="566" t="s">
        <v>75</v>
      </c>
      <c r="O64" s="752"/>
      <c r="P64" s="752"/>
      <c r="Q64" s="752"/>
      <c r="R64" s="754"/>
      <c r="S64" s="752"/>
      <c r="T64" s="754"/>
      <c r="U64" s="752"/>
      <c r="V64" s="752"/>
      <c r="W64" s="752"/>
      <c r="X64" s="529"/>
    </row>
    <row r="65" spans="2:24" outlineLevel="1" x14ac:dyDescent="0.3">
      <c r="B65" s="563" t="s">
        <v>248</v>
      </c>
      <c r="C65" s="565" t="s">
        <v>75</v>
      </c>
      <c r="D65" s="562">
        <f>P65-D6</f>
        <v>8.4223160006694684</v>
      </c>
      <c r="E65" s="562">
        <f t="shared" ref="E65:K65" si="2">Q65-E6</f>
        <v>-16.844632001338965</v>
      </c>
      <c r="F65" s="562">
        <f t="shared" si="2"/>
        <v>38.426786405551297</v>
      </c>
      <c r="G65" s="562">
        <f t="shared" si="2"/>
        <v>93.698204812441531</v>
      </c>
      <c r="H65" s="562">
        <f t="shared" si="2"/>
        <v>139.86878731846843</v>
      </c>
      <c r="I65" s="562">
        <f t="shared" si="2"/>
        <v>186.03936982449522</v>
      </c>
      <c r="J65" s="562">
        <f t="shared" si="2"/>
        <v>209.12466107750868</v>
      </c>
      <c r="K65" s="562">
        <f t="shared" si="2"/>
        <v>278.38053483654892</v>
      </c>
      <c r="M65" s="563" t="s">
        <v>248</v>
      </c>
      <c r="N65" s="565" t="s">
        <v>75</v>
      </c>
      <c r="O65" s="760">
        <v>228</v>
      </c>
      <c r="P65" s="760">
        <v>217.90365597825797</v>
      </c>
      <c r="Q65" s="760">
        <v>190.96267995517698</v>
      </c>
      <c r="R65" s="760">
        <v>336.51250122180886</v>
      </c>
      <c r="S65" s="760">
        <v>482.06232248844071</v>
      </c>
      <c r="T65" s="760">
        <v>665.30614568210103</v>
      </c>
      <c r="U65" s="760">
        <v>848.54996887576124</v>
      </c>
      <c r="V65" s="760">
        <v>940.1718804725914</v>
      </c>
      <c r="W65" s="760">
        <v>1215.0376152630818</v>
      </c>
      <c r="X65" s="528"/>
    </row>
    <row r="66" spans="2:24" outlineLevel="1" x14ac:dyDescent="0.3">
      <c r="B66" s="563" t="s">
        <v>555</v>
      </c>
      <c r="C66" s="565" t="s">
        <v>75</v>
      </c>
      <c r="D66" s="562">
        <f t="shared" ref="D66:D73" si="3">P66-D7</f>
        <v>-1436.6411331604631</v>
      </c>
      <c r="E66" s="562">
        <f t="shared" ref="E66:E73" si="4">Q66-E7</f>
        <v>-2873.2822663209281</v>
      </c>
      <c r="F66" s="562">
        <f t="shared" ref="F66:F73" si="5">R66-F7</f>
        <v>-3311.2289464152891</v>
      </c>
      <c r="G66" s="562">
        <f t="shared" ref="G66:G73" si="6">S66-G7</f>
        <v>-3749.1756265096501</v>
      </c>
      <c r="H66" s="562">
        <f t="shared" ref="H66:H73" si="7">T66-H7</f>
        <v>-3695.8014720797401</v>
      </c>
      <c r="I66" s="562">
        <f t="shared" ref="I66:I73" si="8">U66-I7</f>
        <v>-3642.42731764983</v>
      </c>
      <c r="J66" s="562">
        <f t="shared" ref="J66:J73" si="9">V66-J7</f>
        <v>-3615.7402404348759</v>
      </c>
      <c r="K66" s="562">
        <f t="shared" ref="K66:K73" si="10">W66-K7</f>
        <v>-3535.6790087900108</v>
      </c>
      <c r="M66" s="563" t="s">
        <v>555</v>
      </c>
      <c r="N66" s="565" t="s">
        <v>75</v>
      </c>
      <c r="O66" s="760">
        <v>10501.152590001275</v>
      </c>
      <c r="P66" s="760">
        <v>11429.577206539847</v>
      </c>
      <c r="Q66" s="760">
        <v>12358.001823078419</v>
      </c>
      <c r="R66" s="760">
        <v>11590.806850986628</v>
      </c>
      <c r="S66" s="760">
        <v>10823.611878894839</v>
      </c>
      <c r="T66" s="760">
        <v>9635.9811546664787</v>
      </c>
      <c r="U66" s="760">
        <v>8448.3504304381167</v>
      </c>
      <c r="V66" s="760">
        <v>7854.5350683239358</v>
      </c>
      <c r="W66" s="760">
        <v>6073.0889819813938</v>
      </c>
      <c r="X66" s="528"/>
    </row>
    <row r="67" spans="2:24" outlineLevel="1" x14ac:dyDescent="0.3">
      <c r="B67" s="563" t="s">
        <v>556</v>
      </c>
      <c r="C67" s="565" t="s">
        <v>75</v>
      </c>
      <c r="D67" s="562">
        <f t="shared" si="3"/>
        <v>-1161.9474936416154</v>
      </c>
      <c r="E67" s="562">
        <f t="shared" si="4"/>
        <v>-2323.8949872832309</v>
      </c>
      <c r="F67" s="562">
        <f t="shared" si="5"/>
        <v>-4858.7556499129059</v>
      </c>
      <c r="G67" s="562">
        <f t="shared" si="6"/>
        <v>-7393.6163125425846</v>
      </c>
      <c r="H67" s="562">
        <f t="shared" si="7"/>
        <v>-6943.8330322522015</v>
      </c>
      <c r="I67" s="562">
        <f t="shared" si="8"/>
        <v>-6494.0497519618184</v>
      </c>
      <c r="J67" s="562">
        <f t="shared" si="9"/>
        <v>-6269.158111816625</v>
      </c>
      <c r="K67" s="562">
        <f t="shared" si="10"/>
        <v>-5594.4831913810485</v>
      </c>
      <c r="M67" s="563" t="s">
        <v>556</v>
      </c>
      <c r="N67" s="565" t="s">
        <v>75</v>
      </c>
      <c r="O67" s="760">
        <v>19156.987701494523</v>
      </c>
      <c r="P67" s="760">
        <v>19075.567583884251</v>
      </c>
      <c r="Q67" s="760">
        <v>18994.147466273982</v>
      </c>
      <c r="R67" s="760">
        <v>19358.857422044901</v>
      </c>
      <c r="S67" s="760">
        <v>19723.567377815816</v>
      </c>
      <c r="T67" s="760">
        <v>19278.218915204146</v>
      </c>
      <c r="U67" s="760">
        <v>18832.87045259248</v>
      </c>
      <c r="V67" s="760">
        <v>18610.196221286646</v>
      </c>
      <c r="W67" s="760">
        <v>17942.173527369145</v>
      </c>
      <c r="X67" s="528"/>
    </row>
    <row r="68" spans="2:24" outlineLevel="1" x14ac:dyDescent="0.3">
      <c r="B68" s="563" t="s">
        <v>408</v>
      </c>
      <c r="C68" s="565" t="s">
        <v>75</v>
      </c>
      <c r="D68" s="562">
        <f t="shared" si="3"/>
        <v>139.60669088897197</v>
      </c>
      <c r="E68" s="562">
        <f t="shared" si="4"/>
        <v>279.21338177794394</v>
      </c>
      <c r="F68" s="562">
        <f t="shared" si="5"/>
        <v>803.33266358621631</v>
      </c>
      <c r="G68" s="562">
        <f t="shared" si="6"/>
        <v>1327.4519453944883</v>
      </c>
      <c r="H68" s="562">
        <f t="shared" si="7"/>
        <v>1259.5049588325592</v>
      </c>
      <c r="I68" s="562">
        <f t="shared" si="8"/>
        <v>1191.5579722706298</v>
      </c>
      <c r="J68" s="562">
        <f t="shared" si="9"/>
        <v>1157.5844789896651</v>
      </c>
      <c r="K68" s="562">
        <f t="shared" si="10"/>
        <v>1055.6639991467709</v>
      </c>
      <c r="M68" s="563" t="s">
        <v>408</v>
      </c>
      <c r="N68" s="565" t="s">
        <v>75</v>
      </c>
      <c r="O68" s="760">
        <v>0</v>
      </c>
      <c r="P68" s="760">
        <v>339.21154608061659</v>
      </c>
      <c r="Q68" s="760">
        <v>678.42309216123317</v>
      </c>
      <c r="R68" s="760">
        <v>1766.8245214433359</v>
      </c>
      <c r="S68" s="760">
        <v>2855.2259507254385</v>
      </c>
      <c r="T68" s="760">
        <v>2870.3633311232197</v>
      </c>
      <c r="U68" s="760">
        <v>2885.500711521001</v>
      </c>
      <c r="V68" s="760">
        <v>2893.0694017198916</v>
      </c>
      <c r="W68" s="760">
        <v>2915.7754723165635</v>
      </c>
      <c r="X68" s="528"/>
    </row>
    <row r="69" spans="2:24" outlineLevel="1" x14ac:dyDescent="0.3">
      <c r="B69" s="563" t="s">
        <v>557</v>
      </c>
      <c r="C69" s="565" t="s">
        <v>75</v>
      </c>
      <c r="D69" s="562">
        <f t="shared" si="3"/>
        <v>11.53369814553389</v>
      </c>
      <c r="E69" s="562">
        <f t="shared" si="4"/>
        <v>23.06739629106778</v>
      </c>
      <c r="F69" s="562">
        <f t="shared" si="5"/>
        <v>-54.485187301577753</v>
      </c>
      <c r="G69" s="562">
        <f t="shared" si="6"/>
        <v>-132.03777089422374</v>
      </c>
      <c r="H69" s="562">
        <f t="shared" si="7"/>
        <v>-170.63313253169451</v>
      </c>
      <c r="I69" s="562">
        <f t="shared" si="8"/>
        <v>-209.22849416916529</v>
      </c>
      <c r="J69" s="562">
        <f t="shared" si="9"/>
        <v>-228.52617498790062</v>
      </c>
      <c r="K69" s="562">
        <f t="shared" si="10"/>
        <v>-286.41921744410672</v>
      </c>
      <c r="M69" s="563" t="s">
        <v>557</v>
      </c>
      <c r="N69" s="565" t="s">
        <v>75</v>
      </c>
      <c r="O69" s="760">
        <v>0</v>
      </c>
      <c r="P69" s="760">
        <v>588.47627728944849</v>
      </c>
      <c r="Q69" s="760">
        <v>1176.952554578897</v>
      </c>
      <c r="R69" s="760">
        <v>1129.6568712341905</v>
      </c>
      <c r="S69" s="760">
        <v>1082.3611878894837</v>
      </c>
      <c r="T69" s="760">
        <v>985.28771897372405</v>
      </c>
      <c r="U69" s="760">
        <v>888.21425005796436</v>
      </c>
      <c r="V69" s="760">
        <v>839.67751560008458</v>
      </c>
      <c r="W69" s="760">
        <v>694.0673122264451</v>
      </c>
      <c r="X69" s="528"/>
    </row>
    <row r="70" spans="2:24" outlineLevel="1" x14ac:dyDescent="0.3">
      <c r="B70" s="563" t="s">
        <v>558</v>
      </c>
      <c r="C70" s="565" t="s">
        <v>75</v>
      </c>
      <c r="D70" s="562">
        <f t="shared" si="3"/>
        <v>-757.5276351252104</v>
      </c>
      <c r="E70" s="562">
        <f t="shared" si="4"/>
        <v>-1515.0552702504208</v>
      </c>
      <c r="F70" s="562">
        <f t="shared" si="5"/>
        <v>-2219.122538169453</v>
      </c>
      <c r="G70" s="562">
        <f t="shared" si="6"/>
        <v>-2923.1898060884846</v>
      </c>
      <c r="H70" s="562">
        <f t="shared" si="7"/>
        <v>-2733.4789613739831</v>
      </c>
      <c r="I70" s="562">
        <f t="shared" si="8"/>
        <v>-2543.7681166594807</v>
      </c>
      <c r="J70" s="562">
        <f t="shared" si="9"/>
        <v>-2448.9126943022302</v>
      </c>
      <c r="K70" s="562">
        <f t="shared" si="10"/>
        <v>-2164.3464272304773</v>
      </c>
      <c r="M70" s="563" t="s">
        <v>558</v>
      </c>
      <c r="N70" s="565" t="s">
        <v>75</v>
      </c>
      <c r="O70" s="760">
        <v>0</v>
      </c>
      <c r="P70" s="760">
        <v>408.44386006507523</v>
      </c>
      <c r="Q70" s="760">
        <v>816.88772013015046</v>
      </c>
      <c r="R70" s="760">
        <v>469.26995015649578</v>
      </c>
      <c r="S70" s="760">
        <v>121.65218018284112</v>
      </c>
      <c r="T70" s="760">
        <v>91.239135137130845</v>
      </c>
      <c r="U70" s="760">
        <v>60.826090091420561</v>
      </c>
      <c r="V70" s="760">
        <v>45.619567568565422</v>
      </c>
      <c r="W70" s="760">
        <v>0</v>
      </c>
      <c r="X70" s="528"/>
    </row>
    <row r="71" spans="2:24" outlineLevel="1" x14ac:dyDescent="0.3">
      <c r="B71" s="563" t="s">
        <v>559</v>
      </c>
      <c r="C71" s="565" t="s">
        <v>75</v>
      </c>
      <c r="D71" s="562">
        <f t="shared" si="3"/>
        <v>634.21101468713482</v>
      </c>
      <c r="E71" s="562">
        <f t="shared" si="4"/>
        <v>1268.4220293742696</v>
      </c>
      <c r="F71" s="562">
        <f t="shared" si="5"/>
        <v>3138.5222169127783</v>
      </c>
      <c r="G71" s="562">
        <f t="shared" si="6"/>
        <v>5008.6224044512874</v>
      </c>
      <c r="H71" s="562">
        <f t="shared" si="7"/>
        <v>5131.1361718072931</v>
      </c>
      <c r="I71" s="562">
        <f t="shared" si="8"/>
        <v>5253.6499391632979</v>
      </c>
      <c r="J71" s="562">
        <f t="shared" si="9"/>
        <v>5314.9068228413007</v>
      </c>
      <c r="K71" s="562">
        <f t="shared" si="10"/>
        <v>5498.6774738753084</v>
      </c>
      <c r="M71" s="563" t="s">
        <v>559</v>
      </c>
      <c r="N71" s="565" t="s">
        <v>75</v>
      </c>
      <c r="O71" s="760">
        <v>0</v>
      </c>
      <c r="P71" s="760">
        <v>634.21101468713482</v>
      </c>
      <c r="Q71" s="760">
        <v>1268.4220293742696</v>
      </c>
      <c r="R71" s="760">
        <v>3138.5222169127783</v>
      </c>
      <c r="S71" s="760">
        <v>5008.6224044512874</v>
      </c>
      <c r="T71" s="760">
        <v>5131.1361718072931</v>
      </c>
      <c r="U71" s="760">
        <v>5253.6499391632979</v>
      </c>
      <c r="V71" s="760">
        <v>5314.9068228413007</v>
      </c>
      <c r="W71" s="760">
        <v>5498.6774738753084</v>
      </c>
      <c r="X71" s="528"/>
    </row>
    <row r="72" spans="2:24" outlineLevel="1" x14ac:dyDescent="0.3">
      <c r="B72" s="560" t="s">
        <v>13</v>
      </c>
      <c r="C72" s="565" t="s">
        <v>75</v>
      </c>
      <c r="D72" s="561">
        <f>P72-D13</f>
        <v>-2570.7648582056499</v>
      </c>
      <c r="E72" s="561">
        <f t="shared" si="4"/>
        <v>-5158.3743484126317</v>
      </c>
      <c r="F72" s="561">
        <f t="shared" si="5"/>
        <v>-6463.3106548946889</v>
      </c>
      <c r="G72" s="561">
        <f t="shared" si="6"/>
        <v>-7768.2469613767389</v>
      </c>
      <c r="H72" s="561">
        <f t="shared" si="7"/>
        <v>-7013.2366802792967</v>
      </c>
      <c r="I72" s="561">
        <f t="shared" si="8"/>
        <v>-6258.2263991818618</v>
      </c>
      <c r="J72" s="561">
        <f t="shared" si="9"/>
        <v>-5880.7212586331516</v>
      </c>
      <c r="K72" s="561">
        <f>W72-K13</f>
        <v>-4748.2058369870138</v>
      </c>
      <c r="M72" s="560" t="s">
        <v>13</v>
      </c>
      <c r="N72" s="565" t="s">
        <v>75</v>
      </c>
      <c r="O72" s="753">
        <v>29886.140291495798</v>
      </c>
      <c r="P72" s="753">
        <v>32684.968828523961</v>
      </c>
      <c r="Q72" s="753">
        <v>35483.797365552127</v>
      </c>
      <c r="R72" s="753">
        <v>37790.450334000132</v>
      </c>
      <c r="S72" s="753">
        <v>40097.103302448137</v>
      </c>
      <c r="T72" s="753">
        <v>38657.5325725941</v>
      </c>
      <c r="U72" s="753">
        <v>37217.961842740049</v>
      </c>
      <c r="V72" s="753">
        <v>36498.176477813016</v>
      </c>
      <c r="W72" s="753">
        <v>34338.82038303194</v>
      </c>
      <c r="X72" s="527"/>
    </row>
    <row r="73" spans="2:24" outlineLevel="1" x14ac:dyDescent="0.3">
      <c r="B73" s="566" t="s">
        <v>387</v>
      </c>
      <c r="C73" s="559" t="s">
        <v>560</v>
      </c>
      <c r="D73" s="561">
        <f t="shared" si="3"/>
        <v>-179280.40643996699</v>
      </c>
      <c r="E73" s="561">
        <f t="shared" si="4"/>
        <v>-358560.81287993491</v>
      </c>
      <c r="F73" s="561">
        <f t="shared" si="5"/>
        <v>-489296.71773480345</v>
      </c>
      <c r="G73" s="561">
        <f t="shared" si="6"/>
        <v>-727943.71066966979</v>
      </c>
      <c r="H73" s="561">
        <f t="shared" si="7"/>
        <v>-695521.40661727637</v>
      </c>
      <c r="I73" s="561">
        <f t="shared" si="8"/>
        <v>-663099.10256488342</v>
      </c>
      <c r="J73" s="561">
        <f t="shared" si="9"/>
        <v>-705251.35461378982</v>
      </c>
      <c r="K73" s="561">
        <f t="shared" si="10"/>
        <v>-598254.49446009705</v>
      </c>
      <c r="M73" s="566" t="s">
        <v>387</v>
      </c>
      <c r="N73" s="566" t="s">
        <v>560</v>
      </c>
      <c r="O73" s="753">
        <v>2313334.9427366722</v>
      </c>
      <c r="P73" s="753">
        <v>2215366.2714910498</v>
      </c>
      <c r="Q73" s="753">
        <v>2295346.4419944016</v>
      </c>
      <c r="R73" s="753">
        <v>2327318.0008590966</v>
      </c>
      <c r="S73" s="753">
        <v>2359289.5597237912</v>
      </c>
      <c r="T73" s="753">
        <v>2242562.751573585</v>
      </c>
      <c r="U73" s="753">
        <v>2125835.9434233787</v>
      </c>
      <c r="V73" s="753">
        <v>2009109.1352731725</v>
      </c>
      <c r="W73" s="753">
        <v>1892382.3271229663</v>
      </c>
      <c r="X73" s="527"/>
    </row>
    <row r="74" spans="2:24" outlineLevel="1" x14ac:dyDescent="0.3">
      <c r="B74" s="542" t="s">
        <v>911</v>
      </c>
      <c r="C74" s="541"/>
      <c r="D74" s="540">
        <v>2015</v>
      </c>
      <c r="E74" s="540">
        <v>2020</v>
      </c>
      <c r="F74" s="540">
        <v>2025</v>
      </c>
      <c r="G74" s="540">
        <v>2030</v>
      </c>
      <c r="H74" s="540">
        <v>2035</v>
      </c>
      <c r="I74" s="540">
        <v>2040</v>
      </c>
      <c r="J74" s="540">
        <v>2045</v>
      </c>
      <c r="K74" s="540">
        <v>2050</v>
      </c>
      <c r="M74" s="542" t="s">
        <v>911</v>
      </c>
      <c r="N74" s="542"/>
      <c r="O74" s="540">
        <v>2010</v>
      </c>
      <c r="P74" s="540">
        <v>2015</v>
      </c>
      <c r="Q74" s="540">
        <v>2020</v>
      </c>
      <c r="R74" s="540">
        <v>2025</v>
      </c>
      <c r="S74" s="540">
        <v>2030</v>
      </c>
      <c r="T74" s="540">
        <v>2035</v>
      </c>
      <c r="U74" s="540">
        <v>2040</v>
      </c>
      <c r="V74" s="540">
        <v>2045</v>
      </c>
      <c r="W74" s="540">
        <v>2050</v>
      </c>
      <c r="X74" s="530"/>
    </row>
    <row r="75" spans="2:24" outlineLevel="1" x14ac:dyDescent="0.3">
      <c r="B75" s="557" t="s">
        <v>591</v>
      </c>
      <c r="C75" s="565"/>
      <c r="D75" s="564"/>
      <c r="E75" s="564"/>
      <c r="F75" s="564"/>
      <c r="G75" s="564"/>
      <c r="H75" s="564"/>
      <c r="I75" s="564"/>
      <c r="J75" s="564"/>
      <c r="K75" s="564"/>
      <c r="M75" s="557" t="s">
        <v>591</v>
      </c>
      <c r="N75" s="557"/>
      <c r="O75" s="752"/>
      <c r="P75" s="752"/>
      <c r="Q75" s="752"/>
      <c r="R75" s="752"/>
      <c r="S75" s="752"/>
      <c r="T75" s="752"/>
      <c r="U75" s="752"/>
      <c r="V75" s="752"/>
      <c r="W75" s="752"/>
      <c r="X75" s="529"/>
    </row>
    <row r="76" spans="2:24" outlineLevel="1" x14ac:dyDescent="0.3">
      <c r="B76" s="563" t="s">
        <v>248</v>
      </c>
      <c r="C76" s="553" t="s">
        <v>566</v>
      </c>
      <c r="D76" s="562">
        <f t="shared" ref="D76:K76" si="11">P76-D17</f>
        <v>0</v>
      </c>
      <c r="E76" s="562">
        <f t="shared" si="11"/>
        <v>-0.60266220907056312</v>
      </c>
      <c r="F76" s="562">
        <f t="shared" si="11"/>
        <v>1.2879801536822129</v>
      </c>
      <c r="G76" s="562">
        <f t="shared" si="11"/>
        <v>3.1786225164349879</v>
      </c>
      <c r="H76" s="561">
        <f t="shared" si="11"/>
        <v>-5.2918296625326278</v>
      </c>
      <c r="I76" s="562">
        <f t="shared" si="11"/>
        <v>-13.762281841500243</v>
      </c>
      <c r="J76" s="562">
        <f t="shared" si="11"/>
        <v>-17.99750793098405</v>
      </c>
      <c r="K76" s="562">
        <f t="shared" si="11"/>
        <v>-30.703186199435478</v>
      </c>
      <c r="M76" s="563" t="s">
        <v>248</v>
      </c>
      <c r="N76" s="553" t="s">
        <v>566</v>
      </c>
      <c r="O76" s="875">
        <v>5.3566697057196722</v>
      </c>
      <c r="P76" s="875">
        <v>6.0944376962663815</v>
      </c>
      <c r="Q76" s="875">
        <v>6.8322056868130909</v>
      </c>
      <c r="R76" s="875">
        <v>11.784521423380131</v>
      </c>
      <c r="S76" s="875">
        <v>16.736837159947171</v>
      </c>
      <c r="T76" s="875">
        <v>12.552627869960379</v>
      </c>
      <c r="U76" s="875">
        <v>8.3684185799735857</v>
      </c>
      <c r="V76" s="875">
        <v>6.2763139349801893</v>
      </c>
      <c r="W76" s="760">
        <v>0</v>
      </c>
      <c r="X76" s="528"/>
    </row>
    <row r="77" spans="2:24" outlineLevel="1" x14ac:dyDescent="0.3">
      <c r="B77" s="563" t="s">
        <v>555</v>
      </c>
      <c r="C77" s="553" t="s">
        <v>566</v>
      </c>
      <c r="D77" s="562">
        <f t="shared" ref="D77:K77" si="12">P77-D18</f>
        <v>0</v>
      </c>
      <c r="E77" s="562">
        <f t="shared" si="12"/>
        <v>-55.480908528366996</v>
      </c>
      <c r="F77" s="562">
        <f t="shared" si="12"/>
        <v>-66.499938378739586</v>
      </c>
      <c r="G77" s="562">
        <f t="shared" si="12"/>
        <v>-77.518968229112062</v>
      </c>
      <c r="H77" s="561">
        <f t="shared" si="12"/>
        <v>-81.03559645274342</v>
      </c>
      <c r="I77" s="562">
        <f t="shared" si="12"/>
        <v>-84.552224676374721</v>
      </c>
      <c r="J77" s="562">
        <f t="shared" si="12"/>
        <v>-86.310538788190314</v>
      </c>
      <c r="K77" s="562">
        <f t="shared" si="12"/>
        <v>-91.585481123637379</v>
      </c>
      <c r="M77" s="563" t="s">
        <v>555</v>
      </c>
      <c r="N77" s="553" t="s">
        <v>566</v>
      </c>
      <c r="O77" s="875">
        <v>195.59164326990648</v>
      </c>
      <c r="P77" s="875">
        <v>217.10765827144212</v>
      </c>
      <c r="Q77" s="875">
        <v>238.6236732729777</v>
      </c>
      <c r="R77" s="875">
        <v>231.20779843561647</v>
      </c>
      <c r="S77" s="875">
        <v>223.79192359825529</v>
      </c>
      <c r="T77" s="875">
        <v>207.17208694896473</v>
      </c>
      <c r="U77" s="875">
        <v>190.55225029967423</v>
      </c>
      <c r="V77" s="875">
        <v>182.24233197502897</v>
      </c>
      <c r="W77" s="760">
        <v>157.31257700109316</v>
      </c>
      <c r="X77" s="528"/>
    </row>
    <row r="78" spans="2:24" outlineLevel="1" x14ac:dyDescent="0.3">
      <c r="B78" s="563" t="s">
        <v>556</v>
      </c>
      <c r="C78" s="553" t="s">
        <v>566</v>
      </c>
      <c r="D78" s="562">
        <f t="shared" ref="D78:K78" si="13">P78-D19</f>
        <v>0</v>
      </c>
      <c r="E78" s="562">
        <f t="shared" si="13"/>
        <v>-42.628677642622165</v>
      </c>
      <c r="F78" s="562">
        <f t="shared" si="13"/>
        <v>-93.928145099752669</v>
      </c>
      <c r="G78" s="562">
        <f t="shared" si="13"/>
        <v>-145.22761255688317</v>
      </c>
      <c r="H78" s="561">
        <f t="shared" si="13"/>
        <v>-143.33777766404222</v>
      </c>
      <c r="I78" s="562">
        <f t="shared" si="13"/>
        <v>-141.4479427712011</v>
      </c>
      <c r="J78" s="562">
        <f t="shared" si="13"/>
        <v>-140.50302532478065</v>
      </c>
      <c r="K78" s="562">
        <f t="shared" si="13"/>
        <v>-137.66827298551902</v>
      </c>
      <c r="M78" s="563" t="s">
        <v>556</v>
      </c>
      <c r="N78" s="553" t="s">
        <v>566</v>
      </c>
      <c r="O78" s="875">
        <v>338.96951081210364</v>
      </c>
      <c r="P78" s="875">
        <v>343.69559407712347</v>
      </c>
      <c r="Q78" s="875">
        <v>348.42167734214331</v>
      </c>
      <c r="R78" s="875">
        <v>367.91892956333334</v>
      </c>
      <c r="S78" s="875">
        <v>387.41618178452336</v>
      </c>
      <c r="T78" s="875">
        <v>400.94177099905409</v>
      </c>
      <c r="U78" s="875">
        <v>414.46736021358487</v>
      </c>
      <c r="V78" s="875">
        <v>421.2301548208502</v>
      </c>
      <c r="W78" s="760">
        <v>441.51853864264626</v>
      </c>
      <c r="X78" s="528"/>
    </row>
    <row r="79" spans="2:24" outlineLevel="1" x14ac:dyDescent="0.3">
      <c r="B79" s="563" t="s">
        <v>561</v>
      </c>
      <c r="C79" s="553" t="s">
        <v>566</v>
      </c>
      <c r="D79" s="562">
        <f t="shared" ref="D79:K79" si="14">P79-D20</f>
        <v>0</v>
      </c>
      <c r="E79" s="562">
        <f t="shared" si="14"/>
        <v>4.9158021623125583</v>
      </c>
      <c r="F79" s="562">
        <f t="shared" si="14"/>
        <v>14.536182108924514</v>
      </c>
      <c r="G79" s="562">
        <f t="shared" si="14"/>
        <v>24.156562055536465</v>
      </c>
      <c r="H79" s="561">
        <f t="shared" si="14"/>
        <v>23.56771314766544</v>
      </c>
      <c r="I79" s="562">
        <f t="shared" si="14"/>
        <v>22.978864239794419</v>
      </c>
      <c r="J79" s="562">
        <f t="shared" si="14"/>
        <v>22.684439785858899</v>
      </c>
      <c r="K79" s="562">
        <f t="shared" si="14"/>
        <v>21.801166424052354</v>
      </c>
      <c r="M79" s="563" t="s">
        <v>561</v>
      </c>
      <c r="N79" s="553" t="s">
        <v>566</v>
      </c>
      <c r="O79" s="875">
        <v>0</v>
      </c>
      <c r="P79" s="875">
        <v>5.9721236893675345</v>
      </c>
      <c r="Q79" s="875">
        <v>11.944247378735069</v>
      </c>
      <c r="R79" s="875">
        <v>31.951385349487417</v>
      </c>
      <c r="S79" s="875">
        <v>51.958523320239763</v>
      </c>
      <c r="T79" s="875">
        <v>54.022760571908684</v>
      </c>
      <c r="U79" s="875">
        <v>56.086997823577605</v>
      </c>
      <c r="V79" s="875">
        <v>57.119116449412061</v>
      </c>
      <c r="W79" s="760">
        <v>60.215472326915439</v>
      </c>
      <c r="X79" s="528"/>
    </row>
    <row r="80" spans="2:24" outlineLevel="1" x14ac:dyDescent="0.3">
      <c r="B80" s="563" t="s">
        <v>557</v>
      </c>
      <c r="C80" s="553" t="s">
        <v>566</v>
      </c>
      <c r="D80" s="562">
        <f t="shared" ref="D80:K80" si="15">P80-D21</f>
        <v>0</v>
      </c>
      <c r="E80" s="562">
        <f t="shared" si="15"/>
        <v>0.50525301118034349</v>
      </c>
      <c r="F80" s="562">
        <f t="shared" si="15"/>
        <v>-1.2957816450420871</v>
      </c>
      <c r="G80" s="562">
        <f t="shared" si="15"/>
        <v>-3.0968163012645107</v>
      </c>
      <c r="H80" s="561">
        <f t="shared" si="15"/>
        <v>-4.4265894079098871</v>
      </c>
      <c r="I80" s="562">
        <f t="shared" si="15"/>
        <v>-5.7563625145552635</v>
      </c>
      <c r="J80" s="562">
        <f t="shared" si="15"/>
        <v>-6.4212490678779481</v>
      </c>
      <c r="K80" s="562">
        <f t="shared" si="15"/>
        <v>-8.4159087278460127</v>
      </c>
      <c r="M80" s="563" t="s">
        <v>557</v>
      </c>
      <c r="N80" s="553" t="s">
        <v>566</v>
      </c>
      <c r="O80" s="875">
        <v>0</v>
      </c>
      <c r="P80" s="875">
        <v>12.889595659473171</v>
      </c>
      <c r="Q80" s="875">
        <v>25.779191318946342</v>
      </c>
      <c r="R80" s="875">
        <v>25.582455239772301</v>
      </c>
      <c r="S80" s="875">
        <v>25.385719160598263</v>
      </c>
      <c r="T80" s="875">
        <v>24.137766353595826</v>
      </c>
      <c r="U80" s="875">
        <v>22.889813546593395</v>
      </c>
      <c r="V80" s="875">
        <v>22.265837143092178</v>
      </c>
      <c r="W80" s="760">
        <v>20.393907932588526</v>
      </c>
      <c r="X80" s="528"/>
    </row>
    <row r="81" spans="1:25" outlineLevel="1" x14ac:dyDescent="0.3">
      <c r="B81" s="563" t="s">
        <v>558</v>
      </c>
      <c r="C81" s="553" t="s">
        <v>566</v>
      </c>
      <c r="D81" s="562">
        <f t="shared" ref="D81:K81" si="16">P81-D22</f>
        <v>0</v>
      </c>
      <c r="E81" s="562">
        <f t="shared" si="16"/>
        <v>-34.145731898139275</v>
      </c>
      <c r="F81" s="562">
        <f t="shared" si="16"/>
        <v>-53.339192323138064</v>
      </c>
      <c r="G81" s="562">
        <f t="shared" si="16"/>
        <v>-72.532652748136854</v>
      </c>
      <c r="H81" s="561">
        <f t="shared" si="16"/>
        <v>-71.575331911493905</v>
      </c>
      <c r="I81" s="562">
        <f t="shared" si="16"/>
        <v>-70.618011074850969</v>
      </c>
      <c r="J81" s="562">
        <f t="shared" si="16"/>
        <v>-70.139350656529516</v>
      </c>
      <c r="K81" s="562">
        <f t="shared" si="16"/>
        <v>-68.703369401565098</v>
      </c>
      <c r="M81" s="563" t="s">
        <v>558</v>
      </c>
      <c r="N81" s="553" t="s">
        <v>566</v>
      </c>
      <c r="O81" s="875">
        <v>0</v>
      </c>
      <c r="P81" s="875">
        <v>9.2053503361088449</v>
      </c>
      <c r="Q81" s="875">
        <v>18.41070067221769</v>
      </c>
      <c r="R81" s="875">
        <v>10.714618622909358</v>
      </c>
      <c r="S81" s="875">
        <v>3.018536573601029</v>
      </c>
      <c r="T81" s="875">
        <v>2.2639024302007718</v>
      </c>
      <c r="U81" s="875">
        <v>1.5092682868005145</v>
      </c>
      <c r="V81" s="875">
        <v>1.1319512151003859</v>
      </c>
      <c r="W81" s="760">
        <v>0</v>
      </c>
      <c r="X81" s="528"/>
    </row>
    <row r="82" spans="1:25" outlineLevel="1" x14ac:dyDescent="0.3">
      <c r="B82" s="563" t="s">
        <v>559</v>
      </c>
      <c r="C82" s="553" t="s">
        <v>566</v>
      </c>
      <c r="D82" s="562">
        <f t="shared" ref="D82:K82" si="17">P82-D23</f>
        <v>18.642009406927567</v>
      </c>
      <c r="E82" s="562">
        <f t="shared" si="17"/>
        <v>37.284018813855134</v>
      </c>
      <c r="F82" s="562">
        <f t="shared" si="17"/>
        <v>94.728120779162566</v>
      </c>
      <c r="G82" s="562">
        <f t="shared" si="17"/>
        <v>152.17222274446999</v>
      </c>
      <c r="H82" s="561">
        <f t="shared" si="17"/>
        <v>161.52640666532875</v>
      </c>
      <c r="I82" s="562">
        <f t="shared" si="17"/>
        <v>170.88059058618748</v>
      </c>
      <c r="J82" s="562">
        <f t="shared" si="17"/>
        <v>175.55768254661689</v>
      </c>
      <c r="K82" s="562">
        <f t="shared" si="17"/>
        <v>189.588958427905</v>
      </c>
      <c r="M82" s="563" t="s">
        <v>559</v>
      </c>
      <c r="N82" s="553" t="s">
        <v>566</v>
      </c>
      <c r="O82" s="875">
        <v>0</v>
      </c>
      <c r="P82" s="875">
        <v>18.642009406927567</v>
      </c>
      <c r="Q82" s="875">
        <v>37.284018813855134</v>
      </c>
      <c r="R82" s="875">
        <v>94.728120779162566</v>
      </c>
      <c r="S82" s="875">
        <v>152.17222274446999</v>
      </c>
      <c r="T82" s="875">
        <v>161.52640666532875</v>
      </c>
      <c r="U82" s="875">
        <v>170.88059058618748</v>
      </c>
      <c r="V82" s="875">
        <v>175.55768254661689</v>
      </c>
      <c r="W82" s="760">
        <v>189.588958427905</v>
      </c>
      <c r="X82" s="528"/>
    </row>
    <row r="83" spans="1:25" outlineLevel="1" x14ac:dyDescent="0.3">
      <c r="B83" s="560" t="s">
        <v>13</v>
      </c>
      <c r="C83" s="553" t="s">
        <v>566</v>
      </c>
      <c r="D83" s="558">
        <f t="shared" ref="D83:K83" si="18">P83-D24</f>
        <v>18.642009406927627</v>
      </c>
      <c r="E83" s="558">
        <f t="shared" si="18"/>
        <v>-90.152906290850979</v>
      </c>
      <c r="F83" s="558">
        <f t="shared" si="18"/>
        <v>-104.51077440490315</v>
      </c>
      <c r="G83" s="558">
        <f t="shared" si="18"/>
        <v>-118.86864251895508</v>
      </c>
      <c r="H83" s="558">
        <f t="shared" si="18"/>
        <v>-120.57300528572796</v>
      </c>
      <c r="I83" s="558">
        <f t="shared" si="18"/>
        <v>-122.27736805250038</v>
      </c>
      <c r="J83" s="558">
        <f t="shared" si="18"/>
        <v>-123.1295494358867</v>
      </c>
      <c r="K83" s="558">
        <f t="shared" si="18"/>
        <v>-125.68609358604556</v>
      </c>
      <c r="M83" s="560" t="s">
        <v>13</v>
      </c>
      <c r="N83" s="553" t="s">
        <v>566</v>
      </c>
      <c r="O83" s="876">
        <v>539.91782378772973</v>
      </c>
      <c r="P83" s="876">
        <v>613.6067691367092</v>
      </c>
      <c r="Q83" s="876">
        <v>687.29571448568834</v>
      </c>
      <c r="R83" s="876">
        <v>773.88782941366151</v>
      </c>
      <c r="S83" s="876">
        <v>860.4799443416349</v>
      </c>
      <c r="T83" s="876">
        <v>862.61732183901324</v>
      </c>
      <c r="U83" s="876">
        <v>864.7546993363917</v>
      </c>
      <c r="V83" s="876">
        <v>865.82338808508086</v>
      </c>
      <c r="W83" s="753">
        <v>869.02945433114837</v>
      </c>
      <c r="X83" s="526"/>
    </row>
    <row r="84" spans="1:25" outlineLevel="1" x14ac:dyDescent="0.3">
      <c r="B84" s="671" t="s">
        <v>590</v>
      </c>
      <c r="C84" s="672" t="s">
        <v>566</v>
      </c>
      <c r="D84" s="673">
        <f t="shared" ref="D84:K84" si="19">P84-D25</f>
        <v>0</v>
      </c>
      <c r="E84" s="673">
        <f t="shared" si="19"/>
        <v>-73.207124362995785</v>
      </c>
      <c r="F84" s="673">
        <f t="shared" si="19"/>
        <v>-108.86223574060602</v>
      </c>
      <c r="G84" s="673">
        <f t="shared" si="19"/>
        <v>-144.51734711821638</v>
      </c>
      <c r="H84" s="674">
        <f t="shared" si="19"/>
        <v>-137.95873290295935</v>
      </c>
      <c r="I84" s="673">
        <f t="shared" si="19"/>
        <v>-131.40011868770245</v>
      </c>
      <c r="J84" s="673">
        <f t="shared" si="19"/>
        <v>-128.12081158007402</v>
      </c>
      <c r="K84" s="673">
        <f t="shared" si="19"/>
        <v>-118.28289025718863</v>
      </c>
      <c r="M84" s="539" t="s">
        <v>590</v>
      </c>
      <c r="N84" s="553" t="s">
        <v>566</v>
      </c>
      <c r="O84" s="875">
        <v>328.75411424651969</v>
      </c>
      <c r="P84" s="875">
        <v>357.86818092902763</v>
      </c>
      <c r="Q84" s="875">
        <v>386.98224761153557</v>
      </c>
      <c r="R84" s="875">
        <v>392.38934866884483</v>
      </c>
      <c r="S84" s="875">
        <v>397.79644972615409</v>
      </c>
      <c r="T84" s="875">
        <v>377.69135499768299</v>
      </c>
      <c r="U84" s="875">
        <v>357.58626026921183</v>
      </c>
      <c r="V84" s="875">
        <v>347.5337129049762</v>
      </c>
      <c r="W84" s="760">
        <v>317.37607081226952</v>
      </c>
      <c r="X84" s="528"/>
    </row>
    <row r="85" spans="1:25" outlineLevel="1" x14ac:dyDescent="0.3">
      <c r="B85" s="671" t="s">
        <v>562</v>
      </c>
      <c r="C85" s="672" t="s">
        <v>566</v>
      </c>
      <c r="D85" s="673">
        <f t="shared" ref="D85:K85" si="20">P85-D26</f>
        <v>0</v>
      </c>
      <c r="E85" s="673">
        <f t="shared" si="20"/>
        <v>-18.084160981434266</v>
      </c>
      <c r="F85" s="673">
        <f t="shared" si="20"/>
        <v>-16.678734221883289</v>
      </c>
      <c r="G85" s="673">
        <f t="shared" si="20"/>
        <v>-15.273307462332312</v>
      </c>
      <c r="H85" s="674">
        <f t="shared" si="20"/>
        <v>-17.044839016982365</v>
      </c>
      <c r="I85" s="673">
        <f t="shared" si="20"/>
        <v>-18.816370571632433</v>
      </c>
      <c r="J85" s="673">
        <f t="shared" si="20"/>
        <v>-19.702136348957467</v>
      </c>
      <c r="K85" s="673">
        <f t="shared" si="20"/>
        <v>-22.359433680932526</v>
      </c>
      <c r="M85" s="539" t="s">
        <v>562</v>
      </c>
      <c r="N85" s="553" t="s">
        <v>566</v>
      </c>
      <c r="O85" s="875">
        <v>92.212805344245041</v>
      </c>
      <c r="P85" s="875">
        <v>97.21862290027066</v>
      </c>
      <c r="Q85" s="875">
        <v>102.22444045629625</v>
      </c>
      <c r="R85" s="875">
        <v>108.97283615451259</v>
      </c>
      <c r="S85" s="875">
        <v>115.72123185272896</v>
      </c>
      <c r="T85" s="875">
        <v>111.35360171871648</v>
      </c>
      <c r="U85" s="875">
        <v>106.98597158470398</v>
      </c>
      <c r="V85" s="875">
        <v>104.80215651769772</v>
      </c>
      <c r="W85" s="760">
        <v>98.250711316679002</v>
      </c>
      <c r="X85" s="528"/>
    </row>
    <row r="86" spans="1:25" outlineLevel="1" x14ac:dyDescent="0.3">
      <c r="A86" s="1" t="s">
        <v>7</v>
      </c>
      <c r="B86" s="671" t="s">
        <v>563</v>
      </c>
      <c r="C86" s="672" t="s">
        <v>566</v>
      </c>
      <c r="D86" s="673">
        <f t="shared" ref="D86:K86" si="21">P86-D27</f>
        <v>0</v>
      </c>
      <c r="E86" s="673">
        <f t="shared" si="21"/>
        <v>-8.9550244081780477</v>
      </c>
      <c r="F86" s="673">
        <f t="shared" si="21"/>
        <v>-10.579875455858541</v>
      </c>
      <c r="G86" s="673">
        <f t="shared" si="21"/>
        <v>-12.204726503539007</v>
      </c>
      <c r="H86" s="674">
        <f t="shared" si="21"/>
        <v>-11.528117562319522</v>
      </c>
      <c r="I86" s="673">
        <f t="shared" si="21"/>
        <v>-10.85150862110001</v>
      </c>
      <c r="J86" s="673">
        <f t="shared" si="21"/>
        <v>-10.513204150490282</v>
      </c>
      <c r="K86" s="673">
        <f t="shared" si="21"/>
        <v>-9.4982907386610265</v>
      </c>
      <c r="M86" s="539" t="s">
        <v>563</v>
      </c>
      <c r="N86" s="553" t="s">
        <v>566</v>
      </c>
      <c r="O86" s="875">
        <v>53.456115408201015</v>
      </c>
      <c r="P86" s="875">
        <v>60.751233144044271</v>
      </c>
      <c r="Q86" s="875">
        <v>68.046350879887527</v>
      </c>
      <c r="R86" s="875">
        <v>76.210330799028142</v>
      </c>
      <c r="S86" s="875">
        <v>84.374310718168772</v>
      </c>
      <c r="T86" s="875">
        <v>85.006469396905288</v>
      </c>
      <c r="U86" s="875">
        <v>85.638628075641819</v>
      </c>
      <c r="V86" s="875">
        <v>85.954707415010063</v>
      </c>
      <c r="W86" s="760">
        <v>86.902945433114851</v>
      </c>
      <c r="X86" s="528"/>
    </row>
    <row r="87" spans="1:25" outlineLevel="1" x14ac:dyDescent="0.3">
      <c r="B87" s="671" t="s">
        <v>564</v>
      </c>
      <c r="C87" s="672" t="s">
        <v>566</v>
      </c>
      <c r="D87" s="673">
        <f t="shared" ref="D87:K87" si="22">P87-D28</f>
        <v>0</v>
      </c>
      <c r="E87" s="673">
        <f t="shared" si="22"/>
        <v>97.995000000000005</v>
      </c>
      <c r="F87" s="673">
        <f t="shared" si="22"/>
        <v>134.39249999999998</v>
      </c>
      <c r="G87" s="673">
        <f t="shared" si="22"/>
        <v>170.79</v>
      </c>
      <c r="H87" s="674">
        <f t="shared" si="22"/>
        <v>183.89500000000001</v>
      </c>
      <c r="I87" s="673">
        <f t="shared" si="22"/>
        <v>197.98943750000001</v>
      </c>
      <c r="J87" s="673">
        <f t="shared" si="22"/>
        <v>213.19127031249997</v>
      </c>
      <c r="K87" s="673">
        <f t="shared" si="22"/>
        <v>229.44902183593749</v>
      </c>
      <c r="M87" s="539" t="s">
        <v>564</v>
      </c>
      <c r="N87" s="553" t="s">
        <v>566</v>
      </c>
      <c r="O87" s="875">
        <v>0</v>
      </c>
      <c r="P87" s="875">
        <v>102.3</v>
      </c>
      <c r="Q87" s="875">
        <v>102.3</v>
      </c>
      <c r="R87" s="875">
        <v>139.1</v>
      </c>
      <c r="S87" s="875">
        <v>175.9</v>
      </c>
      <c r="T87" s="875">
        <v>189.0925</v>
      </c>
      <c r="U87" s="875">
        <v>203.2744375</v>
      </c>
      <c r="V87" s="875">
        <v>218.52002031249998</v>
      </c>
      <c r="W87" s="760">
        <v>234.90902183593749</v>
      </c>
      <c r="X87" s="528"/>
    </row>
    <row r="88" spans="1:25" outlineLevel="1" x14ac:dyDescent="0.3">
      <c r="B88" s="671" t="s">
        <v>565</v>
      </c>
      <c r="C88" s="672" t="s">
        <v>566</v>
      </c>
      <c r="D88" s="673">
        <f t="shared" ref="D88:K88" si="23">P88-D29</f>
        <v>0</v>
      </c>
      <c r="E88" s="673">
        <f t="shared" si="23"/>
        <v>24.787875637004277</v>
      </c>
      <c r="F88" s="673">
        <f t="shared" si="23"/>
        <v>25.530264259393959</v>
      </c>
      <c r="G88" s="673">
        <f t="shared" si="23"/>
        <v>26.272652881783642</v>
      </c>
      <c r="H88" s="674">
        <f t="shared" si="23"/>
        <v>45.936267097040627</v>
      </c>
      <c r="I88" s="673">
        <f t="shared" si="23"/>
        <v>66.589318812297506</v>
      </c>
      <c r="J88" s="673">
        <f t="shared" si="23"/>
        <v>85.070458732425948</v>
      </c>
      <c r="K88" s="673">
        <f t="shared" si="23"/>
        <v>111.16613157874878</v>
      </c>
      <c r="M88" s="539" t="s">
        <v>565</v>
      </c>
      <c r="N88" s="553" t="s">
        <v>566</v>
      </c>
      <c r="O88" s="875">
        <v>328.75411424651969</v>
      </c>
      <c r="P88" s="875">
        <v>409.01818092902761</v>
      </c>
      <c r="Q88" s="875">
        <v>489.28224761153558</v>
      </c>
      <c r="R88" s="875">
        <v>531.48934866884485</v>
      </c>
      <c r="S88" s="875">
        <v>573.69644972615413</v>
      </c>
      <c r="T88" s="875">
        <v>566.78385499768297</v>
      </c>
      <c r="U88" s="875">
        <v>560.86069776921181</v>
      </c>
      <c r="V88" s="875">
        <v>566.05373321747618</v>
      </c>
      <c r="W88" s="760">
        <v>552.28509264820696</v>
      </c>
      <c r="X88" s="528"/>
    </row>
    <row r="89" spans="1:25" outlineLevel="1" x14ac:dyDescent="0.3">
      <c r="B89" s="566"/>
      <c r="C89" s="559" t="s">
        <v>293</v>
      </c>
      <c r="D89" s="543">
        <v>2015</v>
      </c>
      <c r="E89" s="543">
        <v>2020</v>
      </c>
      <c r="F89" s="543">
        <v>2025</v>
      </c>
      <c r="G89" s="543">
        <v>2030</v>
      </c>
      <c r="H89" s="543">
        <v>2035</v>
      </c>
      <c r="I89" s="543">
        <v>2040</v>
      </c>
      <c r="J89" s="543">
        <v>2045</v>
      </c>
      <c r="K89" s="543">
        <v>2050</v>
      </c>
      <c r="M89" s="542"/>
      <c r="N89" s="541" t="s">
        <v>293</v>
      </c>
      <c r="O89" s="540">
        <v>2010</v>
      </c>
      <c r="P89" s="540">
        <v>2015</v>
      </c>
      <c r="Q89" s="540">
        <v>2020</v>
      </c>
      <c r="R89" s="540">
        <v>2025</v>
      </c>
      <c r="S89" s="540">
        <v>2030</v>
      </c>
      <c r="T89" s="540">
        <v>2035</v>
      </c>
      <c r="U89" s="540">
        <v>2040</v>
      </c>
      <c r="V89" s="540">
        <v>2045</v>
      </c>
      <c r="W89" s="758">
        <v>2050</v>
      </c>
      <c r="X89" s="530"/>
      <c r="Y89" s="7" t="s">
        <v>609</v>
      </c>
    </row>
    <row r="90" spans="1:25" outlineLevel="1" x14ac:dyDescent="0.3">
      <c r="B90" s="556" t="s">
        <v>45</v>
      </c>
      <c r="C90" s="556" t="s">
        <v>566</v>
      </c>
      <c r="D90" s="556">
        <f t="shared" ref="D90:D118" si="24">P90-D31</f>
        <v>0</v>
      </c>
      <c r="E90" s="555">
        <f t="shared" ref="E90:E118" si="25">Q90-E31</f>
        <v>-4.7910628205128205</v>
      </c>
      <c r="F90" s="555">
        <f t="shared" ref="F90:F118" si="26">R90-F31</f>
        <v>-17.177261310288714</v>
      </c>
      <c r="G90" s="555">
        <f t="shared" ref="G90:G118" si="27">S90-G31</f>
        <v>-22.344432808777924</v>
      </c>
      <c r="H90" s="555">
        <f t="shared" ref="H90:H118" si="28">T90-H31</f>
        <v>-22.786827904450206</v>
      </c>
      <c r="I90" s="555">
        <f t="shared" ref="I90:I118" si="29">U90-I31</f>
        <v>-24.344649803716948</v>
      </c>
      <c r="J90" s="555">
        <f t="shared" ref="J90:J118" si="30">V90-J31</f>
        <v>-26.027279769588063</v>
      </c>
      <c r="K90" s="555">
        <f t="shared" ref="K90:K118" si="31">W90-K31</f>
        <v>-27.673501438926564</v>
      </c>
      <c r="M90" s="556" t="s">
        <v>45</v>
      </c>
      <c r="N90" s="538" t="s">
        <v>566</v>
      </c>
      <c r="O90" s="877"/>
      <c r="P90" s="877">
        <v>755.511772170462</v>
      </c>
      <c r="Q90" s="877">
        <v>734.38215642269324</v>
      </c>
      <c r="R90" s="877">
        <v>786.48531281448265</v>
      </c>
      <c r="S90" s="877">
        <v>796.29796542832776</v>
      </c>
      <c r="T90" s="877">
        <v>820.80908807147819</v>
      </c>
      <c r="U90" s="877">
        <v>817.41726339821344</v>
      </c>
      <c r="V90" s="877">
        <v>809.2920729660367</v>
      </c>
      <c r="W90" s="762">
        <v>810.89879083039273</v>
      </c>
      <c r="X90" s="525"/>
      <c r="Y90" s="3" t="s">
        <v>596</v>
      </c>
    </row>
    <row r="91" spans="1:25" outlineLevel="1" x14ac:dyDescent="0.3">
      <c r="B91" s="554" t="s">
        <v>567</v>
      </c>
      <c r="C91" s="553" t="s">
        <v>566</v>
      </c>
      <c r="D91" s="553">
        <f t="shared" si="24"/>
        <v>0</v>
      </c>
      <c r="E91" s="555">
        <f t="shared" si="25"/>
        <v>0</v>
      </c>
      <c r="F91" s="555">
        <f t="shared" si="26"/>
        <v>-13.6348151564425</v>
      </c>
      <c r="G91" s="555">
        <f t="shared" si="27"/>
        <v>-18.962986654931868</v>
      </c>
      <c r="H91" s="555">
        <f t="shared" si="28"/>
        <v>-20.641981750604145</v>
      </c>
      <c r="I91" s="555">
        <f t="shared" si="29"/>
        <v>-22.347303649870838</v>
      </c>
      <c r="J91" s="555">
        <f t="shared" si="30"/>
        <v>-24.077058615742033</v>
      </c>
      <c r="K91" s="555">
        <f t="shared" si="31"/>
        <v>-25.82953028508021</v>
      </c>
      <c r="M91" s="554" t="s">
        <v>567</v>
      </c>
      <c r="N91" s="538" t="s">
        <v>566</v>
      </c>
      <c r="O91" s="877"/>
      <c r="P91" s="877">
        <v>99.736849093538822</v>
      </c>
      <c r="Q91" s="877">
        <v>100.05695001243683</v>
      </c>
      <c r="R91" s="877">
        <v>93.832362814482678</v>
      </c>
      <c r="S91" s="877">
        <v>95.914419274481602</v>
      </c>
      <c r="T91" s="877">
        <v>97.203363712503688</v>
      </c>
      <c r="U91" s="877">
        <v>98.465981346931358</v>
      </c>
      <c r="V91" s="877">
        <v>99.704165914754526</v>
      </c>
      <c r="W91" s="762">
        <v>100.91963377911071</v>
      </c>
      <c r="X91" s="525"/>
      <c r="Y91" s="3"/>
    </row>
    <row r="92" spans="1:25" outlineLevel="1" x14ac:dyDescent="0.3">
      <c r="B92" s="552" t="s">
        <v>568</v>
      </c>
      <c r="C92" s="553" t="s">
        <v>566</v>
      </c>
      <c r="D92" s="553">
        <f t="shared" si="24"/>
        <v>0</v>
      </c>
      <c r="E92" s="556">
        <f t="shared" si="25"/>
        <v>0</v>
      </c>
      <c r="F92" s="556">
        <f t="shared" si="26"/>
        <v>-2.4974230390524816</v>
      </c>
      <c r="G92" s="553">
        <f t="shared" si="27"/>
        <v>-3.4910571400272481</v>
      </c>
      <c r="H92" s="553">
        <f t="shared" si="28"/>
        <v>-3.8271785608030058</v>
      </c>
      <c r="I92" s="553">
        <f t="shared" si="29"/>
        <v>-4.1680660408501726</v>
      </c>
      <c r="J92" s="553">
        <f t="shared" si="30"/>
        <v>-4.5133767484722913</v>
      </c>
      <c r="K92" s="553">
        <f t="shared" si="31"/>
        <v>-4.8627999627565295</v>
      </c>
      <c r="M92" s="552" t="s">
        <v>568</v>
      </c>
      <c r="N92" s="537" t="s">
        <v>566</v>
      </c>
      <c r="O92" s="878"/>
      <c r="P92" s="878">
        <v>12.8</v>
      </c>
      <c r="Q92" s="879">
        <v>14.601778667555065</v>
      </c>
      <c r="R92" s="879">
        <v>13.185764851075584</v>
      </c>
      <c r="S92" s="879">
        <v>13.273539972673817</v>
      </c>
      <c r="T92" s="879">
        <v>13.370543848684587</v>
      </c>
      <c r="U92" s="879">
        <v>13.462781665423952</v>
      </c>
      <c r="V92" s="879">
        <v>13.550596254588365</v>
      </c>
      <c r="W92" s="759">
        <v>13.634298337090655</v>
      </c>
      <c r="X92" s="524"/>
      <c r="Y92" s="3" t="s">
        <v>597</v>
      </c>
    </row>
    <row r="93" spans="1:25" outlineLevel="1" x14ac:dyDescent="0.3">
      <c r="B93" s="551" t="s">
        <v>569</v>
      </c>
      <c r="C93" s="553" t="s">
        <v>566</v>
      </c>
      <c r="D93" s="553">
        <f t="shared" si="24"/>
        <v>0</v>
      </c>
      <c r="E93" s="556">
        <f t="shared" si="25"/>
        <v>0</v>
      </c>
      <c r="F93" s="556">
        <f t="shared" si="26"/>
        <v>-11.297866129046952</v>
      </c>
      <c r="G93" s="553">
        <f t="shared" si="27"/>
        <v>-15.792877538218491</v>
      </c>
      <c r="H93" s="553">
        <f t="shared" si="28"/>
        <v>-17.313426822680249</v>
      </c>
      <c r="I93" s="553">
        <f t="shared" si="29"/>
        <v>-18.855536851465054</v>
      </c>
      <c r="J93" s="553">
        <f t="shared" si="30"/>
        <v>-20.417656719279393</v>
      </c>
      <c r="K93" s="553">
        <f t="shared" si="31"/>
        <v>-21.998380783898583</v>
      </c>
      <c r="M93" s="551" t="s">
        <v>569</v>
      </c>
      <c r="N93" s="536" t="s">
        <v>566</v>
      </c>
      <c r="O93" s="878"/>
      <c r="P93" s="878">
        <v>70</v>
      </c>
      <c r="Q93" s="879">
        <v>66.055665400844333</v>
      </c>
      <c r="R93" s="879">
        <v>59.649888612008581</v>
      </c>
      <c r="S93" s="879">
        <v>60.046966543048214</v>
      </c>
      <c r="T93" s="879">
        <v>60.485793601192178</v>
      </c>
      <c r="U93" s="879">
        <v>60.90305991501311</v>
      </c>
      <c r="V93" s="879">
        <v>61.300316389804507</v>
      </c>
      <c r="W93" s="759">
        <v>61.67896866779104</v>
      </c>
      <c r="X93" s="524"/>
      <c r="Y93" s="3" t="s">
        <v>597</v>
      </c>
    </row>
    <row r="94" spans="1:25" outlineLevel="1" x14ac:dyDescent="0.3">
      <c r="B94" s="551" t="s">
        <v>570</v>
      </c>
      <c r="C94" s="553" t="s">
        <v>566</v>
      </c>
      <c r="D94" s="553">
        <f t="shared" si="24"/>
        <v>0</v>
      </c>
      <c r="E94" s="556">
        <f t="shared" si="25"/>
        <v>0</v>
      </c>
      <c r="F94" s="556">
        <f t="shared" si="26"/>
        <v>0.16047401165693387</v>
      </c>
      <c r="G94" s="553">
        <f t="shared" si="27"/>
        <v>0.32094802331387484</v>
      </c>
      <c r="H94" s="553">
        <f t="shared" si="28"/>
        <v>0.4986236328791307</v>
      </c>
      <c r="I94" s="553">
        <f t="shared" si="29"/>
        <v>0.6762992424443901</v>
      </c>
      <c r="J94" s="553">
        <f t="shared" si="30"/>
        <v>0.8539748520096424</v>
      </c>
      <c r="K94" s="553">
        <f t="shared" si="31"/>
        <v>1.0316504615748947</v>
      </c>
      <c r="M94" s="551" t="s">
        <v>570</v>
      </c>
      <c r="N94" s="536" t="s">
        <v>566</v>
      </c>
      <c r="O94" s="878"/>
      <c r="P94" s="878">
        <v>16.936849093538822</v>
      </c>
      <c r="Q94" s="879">
        <v>19.399505944037443</v>
      </c>
      <c r="R94" s="879">
        <v>20.996709351398508</v>
      </c>
      <c r="S94" s="879">
        <v>22.593912758759576</v>
      </c>
      <c r="T94" s="879">
        <v>23.347026262626933</v>
      </c>
      <c r="U94" s="879">
        <v>24.100139766494298</v>
      </c>
      <c r="V94" s="879">
        <v>24.853253270361655</v>
      </c>
      <c r="W94" s="759">
        <v>25.606366774229009</v>
      </c>
      <c r="X94" s="524"/>
      <c r="Y94" s="3" t="s">
        <v>597</v>
      </c>
    </row>
    <row r="95" spans="1:25" outlineLevel="1" x14ac:dyDescent="0.3">
      <c r="B95" s="554" t="s">
        <v>571</v>
      </c>
      <c r="C95" s="553" t="s">
        <v>566</v>
      </c>
      <c r="D95" s="553">
        <f t="shared" si="24"/>
        <v>0</v>
      </c>
      <c r="E95" s="555">
        <f t="shared" si="25"/>
        <v>0</v>
      </c>
      <c r="F95" s="555">
        <f t="shared" si="26"/>
        <v>0</v>
      </c>
      <c r="G95" s="555">
        <f t="shared" si="27"/>
        <v>0</v>
      </c>
      <c r="H95" s="555">
        <f t="shared" si="28"/>
        <v>0</v>
      </c>
      <c r="I95" s="555">
        <f t="shared" si="29"/>
        <v>0</v>
      </c>
      <c r="J95" s="555">
        <f t="shared" si="30"/>
        <v>0</v>
      </c>
      <c r="K95" s="555">
        <f t="shared" si="31"/>
        <v>0</v>
      </c>
      <c r="M95" s="554" t="s">
        <v>571</v>
      </c>
      <c r="N95" s="538" t="s">
        <v>566</v>
      </c>
      <c r="O95" s="877"/>
      <c r="P95" s="877">
        <v>0</v>
      </c>
      <c r="Q95" s="877">
        <v>0</v>
      </c>
      <c r="R95" s="877">
        <v>26</v>
      </c>
      <c r="S95" s="877">
        <v>26</v>
      </c>
      <c r="T95" s="877">
        <v>26</v>
      </c>
      <c r="U95" s="877">
        <v>26</v>
      </c>
      <c r="V95" s="877">
        <v>26</v>
      </c>
      <c r="W95" s="762">
        <v>26</v>
      </c>
      <c r="X95" s="525"/>
      <c r="Y95" s="3"/>
    </row>
    <row r="96" spans="1:25" outlineLevel="1" x14ac:dyDescent="0.3">
      <c r="B96" s="550" t="s">
        <v>572</v>
      </c>
      <c r="C96" s="549" t="s">
        <v>566</v>
      </c>
      <c r="D96" s="549">
        <f t="shared" si="24"/>
        <v>0</v>
      </c>
      <c r="E96" s="548">
        <f t="shared" si="25"/>
        <v>0</v>
      </c>
      <c r="F96" s="548">
        <f t="shared" si="26"/>
        <v>0</v>
      </c>
      <c r="G96" s="548">
        <f t="shared" si="27"/>
        <v>0</v>
      </c>
      <c r="H96" s="548">
        <f t="shared" si="28"/>
        <v>0</v>
      </c>
      <c r="I96" s="548">
        <f t="shared" si="29"/>
        <v>0</v>
      </c>
      <c r="J96" s="548">
        <f t="shared" si="30"/>
        <v>0</v>
      </c>
      <c r="K96" s="548">
        <f t="shared" si="31"/>
        <v>0</v>
      </c>
      <c r="M96" s="550" t="s">
        <v>572</v>
      </c>
      <c r="N96" s="535" t="s">
        <v>566</v>
      </c>
      <c r="O96" s="880"/>
      <c r="P96" s="880">
        <v>0</v>
      </c>
      <c r="Q96" s="880">
        <v>0</v>
      </c>
      <c r="R96" s="880">
        <v>26</v>
      </c>
      <c r="S96" s="880">
        <v>26</v>
      </c>
      <c r="T96" s="880">
        <v>26</v>
      </c>
      <c r="U96" s="880">
        <v>26</v>
      </c>
      <c r="V96" s="880">
        <v>26</v>
      </c>
      <c r="W96" s="761">
        <v>26</v>
      </c>
      <c r="X96" s="523"/>
      <c r="Y96" s="3" t="s">
        <v>598</v>
      </c>
    </row>
    <row r="97" spans="2:25" outlineLevel="1" x14ac:dyDescent="0.3">
      <c r="B97" s="550" t="s">
        <v>573</v>
      </c>
      <c r="C97" s="549" t="s">
        <v>566</v>
      </c>
      <c r="D97" s="549">
        <f t="shared" si="24"/>
        <v>0</v>
      </c>
      <c r="E97" s="548">
        <f t="shared" si="25"/>
        <v>0</v>
      </c>
      <c r="F97" s="548">
        <f t="shared" si="26"/>
        <v>0</v>
      </c>
      <c r="G97" s="548">
        <f t="shared" si="27"/>
        <v>0</v>
      </c>
      <c r="H97" s="548">
        <f t="shared" si="28"/>
        <v>0</v>
      </c>
      <c r="I97" s="548">
        <f t="shared" si="29"/>
        <v>0</v>
      </c>
      <c r="J97" s="548">
        <f t="shared" si="30"/>
        <v>0</v>
      </c>
      <c r="K97" s="548">
        <f t="shared" si="31"/>
        <v>0</v>
      </c>
      <c r="M97" s="550" t="s">
        <v>573</v>
      </c>
      <c r="N97" s="535" t="s">
        <v>566</v>
      </c>
      <c r="O97" s="880"/>
      <c r="P97" s="880">
        <v>0</v>
      </c>
      <c r="Q97" s="880">
        <v>0</v>
      </c>
      <c r="R97" s="880">
        <v>0</v>
      </c>
      <c r="S97" s="880">
        <v>0</v>
      </c>
      <c r="T97" s="880">
        <v>0</v>
      </c>
      <c r="U97" s="880">
        <v>0</v>
      </c>
      <c r="V97" s="880">
        <v>0</v>
      </c>
      <c r="W97" s="761">
        <v>0</v>
      </c>
      <c r="X97" s="523"/>
      <c r="Y97" s="3"/>
    </row>
    <row r="98" spans="2:25" outlineLevel="1" x14ac:dyDescent="0.3">
      <c r="B98" s="554" t="s">
        <v>574</v>
      </c>
      <c r="C98" s="553"/>
      <c r="D98" s="556">
        <f t="shared" si="24"/>
        <v>0</v>
      </c>
      <c r="E98" s="555">
        <f t="shared" si="25"/>
        <v>-4.7910628205128205</v>
      </c>
      <c r="F98" s="555">
        <f t="shared" si="26"/>
        <v>-3.5424461538462992</v>
      </c>
      <c r="G98" s="555">
        <f t="shared" si="27"/>
        <v>-3.3814461538461273</v>
      </c>
      <c r="H98" s="555">
        <f t="shared" si="28"/>
        <v>-2.1448461538459469</v>
      </c>
      <c r="I98" s="555">
        <f t="shared" si="29"/>
        <v>-1.9973461538461379</v>
      </c>
      <c r="J98" s="555">
        <f t="shared" si="30"/>
        <v>-1.950221153846087</v>
      </c>
      <c r="K98" s="555">
        <f t="shared" si="31"/>
        <v>-1.8439711538462689</v>
      </c>
      <c r="M98" s="554" t="s">
        <v>574</v>
      </c>
      <c r="N98" s="538"/>
      <c r="O98" s="877"/>
      <c r="P98" s="877">
        <v>655.77492307692307</v>
      </c>
      <c r="Q98" s="877">
        <v>634.32520641025644</v>
      </c>
      <c r="R98" s="877">
        <v>666.65294999999992</v>
      </c>
      <c r="S98" s="877">
        <v>674.38354615384617</v>
      </c>
      <c r="T98" s="877">
        <v>697.6057243589745</v>
      </c>
      <c r="U98" s="877">
        <v>692.95128205128208</v>
      </c>
      <c r="V98" s="877">
        <v>683.58790705128217</v>
      </c>
      <c r="W98" s="762">
        <v>683.97915705128207</v>
      </c>
      <c r="X98" s="525"/>
      <c r="Y98" s="3"/>
    </row>
    <row r="99" spans="2:25" outlineLevel="1" x14ac:dyDescent="0.3">
      <c r="B99" s="551" t="s">
        <v>575</v>
      </c>
      <c r="C99" s="553" t="s">
        <v>566</v>
      </c>
      <c r="D99" s="553">
        <f t="shared" si="24"/>
        <v>0</v>
      </c>
      <c r="E99" s="549">
        <f t="shared" si="25"/>
        <v>-1.0655820512820355</v>
      </c>
      <c r="F99" s="549">
        <f t="shared" si="26"/>
        <v>0.18303461538459942</v>
      </c>
      <c r="G99" s="549">
        <f t="shared" si="27"/>
        <v>0.34403461538460078</v>
      </c>
      <c r="H99" s="549">
        <f t="shared" si="28"/>
        <v>1.5806346153846107</v>
      </c>
      <c r="I99" s="549">
        <f t="shared" si="29"/>
        <v>1.7281346153846471</v>
      </c>
      <c r="J99" s="549">
        <f t="shared" si="30"/>
        <v>1.7752596153846696</v>
      </c>
      <c r="K99" s="549">
        <f t="shared" si="31"/>
        <v>1.8815096153846014</v>
      </c>
      <c r="M99" s="551" t="s">
        <v>575</v>
      </c>
      <c r="N99" s="536" t="s">
        <v>566</v>
      </c>
      <c r="O99" s="881"/>
      <c r="P99" s="881">
        <v>135.76530769230772</v>
      </c>
      <c r="Q99" s="881">
        <v>145.08434102564107</v>
      </c>
      <c r="R99" s="881">
        <v>166.70294999999999</v>
      </c>
      <c r="S99" s="881">
        <v>177.57056538461538</v>
      </c>
      <c r="T99" s="881">
        <v>197.00668589743591</v>
      </c>
      <c r="U99" s="881">
        <v>203.79695512820516</v>
      </c>
      <c r="V99" s="881">
        <v>203.99608012820519</v>
      </c>
      <c r="W99" s="759">
        <v>204.38733012820515</v>
      </c>
      <c r="X99" s="522"/>
      <c r="Y99" s="3" t="s">
        <v>597</v>
      </c>
    </row>
    <row r="100" spans="2:25" outlineLevel="1" x14ac:dyDescent="0.3">
      <c r="B100" s="551" t="s">
        <v>576</v>
      </c>
      <c r="C100" s="553" t="s">
        <v>566</v>
      </c>
      <c r="D100" s="553">
        <f t="shared" si="24"/>
        <v>0</v>
      </c>
      <c r="E100" s="549">
        <f t="shared" si="25"/>
        <v>-2.7692307692307168</v>
      </c>
      <c r="F100" s="549">
        <f t="shared" si="26"/>
        <v>-2.7692307692307736</v>
      </c>
      <c r="G100" s="549">
        <f t="shared" si="27"/>
        <v>-2.7692307692307736</v>
      </c>
      <c r="H100" s="549">
        <f t="shared" si="28"/>
        <v>-2.7692307692307736</v>
      </c>
      <c r="I100" s="549">
        <f t="shared" si="29"/>
        <v>-2.7692307692308304</v>
      </c>
      <c r="J100" s="549">
        <f t="shared" si="30"/>
        <v>-2.7692307692308304</v>
      </c>
      <c r="K100" s="549">
        <f t="shared" si="31"/>
        <v>-2.7692307692308304</v>
      </c>
      <c r="M100" s="551" t="s">
        <v>576</v>
      </c>
      <c r="N100" s="536" t="s">
        <v>566</v>
      </c>
      <c r="O100" s="881"/>
      <c r="P100" s="881">
        <v>271.38461538461542</v>
      </c>
      <c r="Q100" s="881">
        <v>289.38461538461542</v>
      </c>
      <c r="R100" s="881">
        <v>324</v>
      </c>
      <c r="S100" s="881">
        <v>344.76923076923077</v>
      </c>
      <c r="T100" s="881">
        <v>372.46153846153851</v>
      </c>
      <c r="U100" s="881">
        <v>384.92307692307691</v>
      </c>
      <c r="V100" s="881">
        <v>384.92307692307691</v>
      </c>
      <c r="W100" s="759">
        <v>384.92307692307691</v>
      </c>
      <c r="X100" s="522"/>
      <c r="Y100" s="3" t="s">
        <v>597</v>
      </c>
    </row>
    <row r="101" spans="2:25" outlineLevel="1" x14ac:dyDescent="0.3">
      <c r="B101" s="551" t="s">
        <v>577</v>
      </c>
      <c r="C101" s="553" t="s">
        <v>566</v>
      </c>
      <c r="D101" s="553">
        <f t="shared" si="24"/>
        <v>0</v>
      </c>
      <c r="E101" s="549">
        <f t="shared" si="25"/>
        <v>-0.67500000000001137</v>
      </c>
      <c r="F101" s="549">
        <f t="shared" si="26"/>
        <v>-0.67499999999999716</v>
      </c>
      <c r="G101" s="549">
        <f t="shared" si="27"/>
        <v>-0.67499999999999716</v>
      </c>
      <c r="H101" s="549">
        <f t="shared" si="28"/>
        <v>-0.67499999999999716</v>
      </c>
      <c r="I101" s="549">
        <f t="shared" si="29"/>
        <v>-0.67499999999999716</v>
      </c>
      <c r="J101" s="549">
        <f t="shared" si="30"/>
        <v>-0.67499999999999716</v>
      </c>
      <c r="K101" s="549">
        <f t="shared" si="31"/>
        <v>-0.67499999999999716</v>
      </c>
      <c r="M101" s="551" t="s">
        <v>577</v>
      </c>
      <c r="N101" s="536" t="s">
        <v>566</v>
      </c>
      <c r="O101" s="881"/>
      <c r="P101" s="881">
        <v>175.5</v>
      </c>
      <c r="Q101" s="881">
        <v>141.07499999999999</v>
      </c>
      <c r="R101" s="881">
        <v>124.2</v>
      </c>
      <c r="S101" s="881">
        <v>107.325</v>
      </c>
      <c r="T101" s="881">
        <v>90.45</v>
      </c>
      <c r="U101" s="881">
        <v>73.575000000000003</v>
      </c>
      <c r="V101" s="881">
        <v>66.825000000000003</v>
      </c>
      <c r="W101" s="759">
        <v>66.825000000000003</v>
      </c>
      <c r="X101" s="522"/>
      <c r="Y101" s="3" t="s">
        <v>597</v>
      </c>
    </row>
    <row r="102" spans="2:25" outlineLevel="1" x14ac:dyDescent="0.3">
      <c r="B102" s="551" t="s">
        <v>578</v>
      </c>
      <c r="C102" s="553" t="s">
        <v>566</v>
      </c>
      <c r="D102" s="553">
        <f t="shared" si="24"/>
        <v>0</v>
      </c>
      <c r="E102" s="549">
        <f t="shared" si="25"/>
        <v>-0.28125</v>
      </c>
      <c r="F102" s="549">
        <f t="shared" si="26"/>
        <v>-0.28125</v>
      </c>
      <c r="G102" s="549">
        <f t="shared" si="27"/>
        <v>-0.28125</v>
      </c>
      <c r="H102" s="549">
        <f t="shared" si="28"/>
        <v>-0.28125</v>
      </c>
      <c r="I102" s="549">
        <f t="shared" si="29"/>
        <v>-0.28125</v>
      </c>
      <c r="J102" s="549">
        <f t="shared" si="30"/>
        <v>-0.28125</v>
      </c>
      <c r="K102" s="549">
        <f t="shared" si="31"/>
        <v>-0.28125</v>
      </c>
      <c r="M102" s="551" t="s">
        <v>578</v>
      </c>
      <c r="N102" s="536" t="s">
        <v>566</v>
      </c>
      <c r="O102" s="881"/>
      <c r="P102" s="881">
        <v>73.125</v>
      </c>
      <c r="Q102" s="881">
        <v>58.78125</v>
      </c>
      <c r="R102" s="881">
        <v>51.75</v>
      </c>
      <c r="S102" s="881">
        <v>44.71875</v>
      </c>
      <c r="T102" s="881">
        <v>37.6875</v>
      </c>
      <c r="U102" s="881">
        <v>30.65625</v>
      </c>
      <c r="V102" s="881">
        <v>27.84375</v>
      </c>
      <c r="W102" s="759">
        <v>27.84375</v>
      </c>
      <c r="X102" s="522"/>
      <c r="Y102" s="3" t="s">
        <v>597</v>
      </c>
    </row>
    <row r="103" spans="2:25" outlineLevel="1" x14ac:dyDescent="0.3">
      <c r="B103" s="556" t="s">
        <v>579</v>
      </c>
      <c r="C103" s="556" t="s">
        <v>566</v>
      </c>
      <c r="D103" s="556">
        <f t="shared" si="24"/>
        <v>-0.22264199999995071</v>
      </c>
      <c r="E103" s="555">
        <f t="shared" si="25"/>
        <v>-5.6599137583742731</v>
      </c>
      <c r="F103" s="555">
        <f t="shared" si="26"/>
        <v>-6.1336025498542313</v>
      </c>
      <c r="G103" s="555">
        <f t="shared" si="27"/>
        <v>-8.750807572120948</v>
      </c>
      <c r="H103" s="555">
        <f t="shared" si="28"/>
        <v>-9.2972403238045445</v>
      </c>
      <c r="I103" s="555">
        <f t="shared" si="29"/>
        <v>-9.8018540754884498</v>
      </c>
      <c r="J103" s="555">
        <f t="shared" si="30"/>
        <v>-10.276664427172136</v>
      </c>
      <c r="K103" s="555">
        <f t="shared" si="31"/>
        <v>-10.747351778856</v>
      </c>
      <c r="M103" s="556" t="s">
        <v>579</v>
      </c>
      <c r="N103" s="538" t="s">
        <v>566</v>
      </c>
      <c r="O103" s="877"/>
      <c r="P103" s="877">
        <v>495.35786597364159</v>
      </c>
      <c r="Q103" s="877">
        <v>546.58545337356577</v>
      </c>
      <c r="R103" s="877">
        <v>595.58302489534231</v>
      </c>
      <c r="S103" s="877">
        <v>634.20915007756616</v>
      </c>
      <c r="T103" s="877">
        <v>653.93762735933899</v>
      </c>
      <c r="U103" s="877">
        <v>671.46324464111171</v>
      </c>
      <c r="V103" s="877">
        <v>685.52789792288468</v>
      </c>
      <c r="W103" s="762">
        <v>699.36649300465751</v>
      </c>
      <c r="X103" s="525"/>
      <c r="Y103" s="3"/>
    </row>
    <row r="104" spans="2:25" outlineLevel="1" x14ac:dyDescent="0.3">
      <c r="B104" s="554" t="s">
        <v>613</v>
      </c>
      <c r="C104" s="553" t="s">
        <v>566</v>
      </c>
      <c r="D104" s="553">
        <f t="shared" si="24"/>
        <v>0</v>
      </c>
      <c r="E104" s="555">
        <f t="shared" si="25"/>
        <v>-4.0195566117076851</v>
      </c>
      <c r="F104" s="555">
        <f t="shared" si="26"/>
        <v>-5.8852705351307577</v>
      </c>
      <c r="G104" s="555">
        <f t="shared" si="27"/>
        <v>-6.4617753455655986</v>
      </c>
      <c r="H104" s="555">
        <f t="shared" si="28"/>
        <v>-6.2176584917206128</v>
      </c>
      <c r="I104" s="555">
        <f t="shared" si="29"/>
        <v>-5.9735416378756838</v>
      </c>
      <c r="J104" s="555">
        <f t="shared" si="30"/>
        <v>-5.7294247840307548</v>
      </c>
      <c r="K104" s="555">
        <f t="shared" si="31"/>
        <v>-5.4853079301857406</v>
      </c>
      <c r="M104" s="554" t="s">
        <v>567</v>
      </c>
      <c r="N104" s="538" t="s">
        <v>566</v>
      </c>
      <c r="O104" s="877"/>
      <c r="P104" s="877">
        <v>205.60527364030824</v>
      </c>
      <c r="Q104" s="877">
        <v>202.66514381356575</v>
      </c>
      <c r="R104" s="877">
        <v>223.34832018877611</v>
      </c>
      <c r="S104" s="877">
        <v>245.32070567697465</v>
      </c>
      <c r="T104" s="877">
        <v>250.14823988411598</v>
      </c>
      <c r="U104" s="877">
        <v>254.97577409125731</v>
      </c>
      <c r="V104" s="877">
        <v>259.80330829839863</v>
      </c>
      <c r="W104" s="762">
        <v>264.63084250554004</v>
      </c>
      <c r="X104" s="525"/>
      <c r="Y104" s="3"/>
    </row>
    <row r="105" spans="2:25" outlineLevel="1" x14ac:dyDescent="0.3">
      <c r="B105" s="551" t="s">
        <v>569</v>
      </c>
      <c r="C105" s="553" t="s">
        <v>566</v>
      </c>
      <c r="D105" s="553">
        <f t="shared" si="24"/>
        <v>0</v>
      </c>
      <c r="E105" s="555">
        <f t="shared" si="25"/>
        <v>0</v>
      </c>
      <c r="F105" s="555">
        <f t="shared" si="26"/>
        <v>-0.56217672884432091</v>
      </c>
      <c r="G105" s="549">
        <f t="shared" si="27"/>
        <v>-1.124353457688585</v>
      </c>
      <c r="H105" s="549">
        <f t="shared" si="28"/>
        <v>-1.1422137179905576</v>
      </c>
      <c r="I105" s="549">
        <f t="shared" si="29"/>
        <v>-1.1600739782925586</v>
      </c>
      <c r="J105" s="549">
        <f t="shared" si="30"/>
        <v>-1.1779342385945313</v>
      </c>
      <c r="K105" s="549">
        <f t="shared" si="31"/>
        <v>-1.1957944988964755</v>
      </c>
      <c r="M105" s="551" t="s">
        <v>569</v>
      </c>
      <c r="N105" s="536" t="s">
        <v>566</v>
      </c>
      <c r="O105" s="877"/>
      <c r="P105" s="877">
        <v>161</v>
      </c>
      <c r="Q105" s="881">
        <v>155.57847508883074</v>
      </c>
      <c r="R105" s="881">
        <v>173.78025637961431</v>
      </c>
      <c r="S105" s="881">
        <v>191.98203767039792</v>
      </c>
      <c r="T105" s="881">
        <v>195.03165622463948</v>
      </c>
      <c r="U105" s="881">
        <v>198.08127477888104</v>
      </c>
      <c r="V105" s="881">
        <v>201.13089333312257</v>
      </c>
      <c r="W105" s="759">
        <v>204.18051188736419</v>
      </c>
      <c r="X105" s="522"/>
      <c r="Y105" s="532" t="s">
        <v>599</v>
      </c>
    </row>
    <row r="106" spans="2:25" outlineLevel="1" x14ac:dyDescent="0.3">
      <c r="B106" s="551" t="s">
        <v>580</v>
      </c>
      <c r="C106" s="553" t="s">
        <v>566</v>
      </c>
      <c r="D106" s="553">
        <f t="shared" si="24"/>
        <v>0</v>
      </c>
      <c r="E106" s="555">
        <f t="shared" si="25"/>
        <v>-4.0195566117077064</v>
      </c>
      <c r="F106" s="555">
        <f t="shared" si="26"/>
        <v>-5.3230938062864226</v>
      </c>
      <c r="G106" s="549">
        <f t="shared" si="27"/>
        <v>-5.3374218878770066</v>
      </c>
      <c r="H106" s="549">
        <f t="shared" si="28"/>
        <v>-5.0754447737300765</v>
      </c>
      <c r="I106" s="549">
        <f t="shared" si="29"/>
        <v>-4.8134676595831536</v>
      </c>
      <c r="J106" s="549">
        <f t="shared" si="30"/>
        <v>-4.5514905454362165</v>
      </c>
      <c r="K106" s="549">
        <f t="shared" si="31"/>
        <v>-4.2895134312892935</v>
      </c>
      <c r="M106" s="551" t="s">
        <v>580</v>
      </c>
      <c r="N106" s="536" t="s">
        <v>566</v>
      </c>
      <c r="O106" s="877"/>
      <c r="P106" s="877">
        <v>44.605273640308226</v>
      </c>
      <c r="Q106" s="881">
        <v>47.086668724735013</v>
      </c>
      <c r="R106" s="881">
        <v>49.568063809161799</v>
      </c>
      <c r="S106" s="881">
        <v>53.338668006576711</v>
      </c>
      <c r="T106" s="881">
        <v>55.11658365947649</v>
      </c>
      <c r="U106" s="881">
        <v>56.894499312376269</v>
      </c>
      <c r="V106" s="881">
        <v>58.672414965276069</v>
      </c>
      <c r="W106" s="759">
        <v>60.45033061817584</v>
      </c>
      <c r="X106" s="522"/>
      <c r="Y106" s="3" t="s">
        <v>600</v>
      </c>
    </row>
    <row r="107" spans="2:25" outlineLevel="1" x14ac:dyDescent="0.3">
      <c r="B107" s="554" t="s">
        <v>610</v>
      </c>
      <c r="C107" s="556" t="s">
        <v>566</v>
      </c>
      <c r="D107" s="553">
        <f t="shared" si="24"/>
        <v>0</v>
      </c>
      <c r="E107" s="555">
        <f t="shared" si="25"/>
        <v>0</v>
      </c>
      <c r="F107" s="555">
        <f t="shared" si="26"/>
        <v>2.5294665919431125</v>
      </c>
      <c r="G107" s="555">
        <f t="shared" si="27"/>
        <v>1.5782632401114327</v>
      </c>
      <c r="H107" s="555">
        <f t="shared" si="28"/>
        <v>1.589578234582703</v>
      </c>
      <c r="I107" s="555">
        <f t="shared" si="29"/>
        <v>1.6008932290539661</v>
      </c>
      <c r="J107" s="555">
        <f t="shared" si="30"/>
        <v>1.6122082235252293</v>
      </c>
      <c r="K107" s="555">
        <f t="shared" si="31"/>
        <v>1.6235232179964925</v>
      </c>
      <c r="M107" s="554" t="s">
        <v>571</v>
      </c>
      <c r="N107" s="538" t="s">
        <v>566</v>
      </c>
      <c r="O107" s="877"/>
      <c r="P107" s="877">
        <v>17.567250000000001</v>
      </c>
      <c r="Q107" s="877">
        <v>37.567250000000001</v>
      </c>
      <c r="R107" s="877">
        <v>43.504604526566077</v>
      </c>
      <c r="S107" s="877">
        <v>42.708759800591473</v>
      </c>
      <c r="T107" s="877">
        <v>43.014950408556288</v>
      </c>
      <c r="U107" s="877">
        <v>43.321141016521111</v>
      </c>
      <c r="V107" s="877">
        <v>43.627331624485919</v>
      </c>
      <c r="W107" s="762">
        <v>43.933522232450741</v>
      </c>
      <c r="X107" s="525"/>
      <c r="Y107" s="3"/>
    </row>
    <row r="108" spans="2:25" outlineLevel="1" x14ac:dyDescent="0.3">
      <c r="B108" s="551" t="s">
        <v>572</v>
      </c>
      <c r="C108" s="553" t="s">
        <v>566</v>
      </c>
      <c r="D108" s="553">
        <f t="shared" si="24"/>
        <v>0</v>
      </c>
      <c r="E108" s="555">
        <f t="shared" si="25"/>
        <v>0</v>
      </c>
      <c r="F108" s="555">
        <f t="shared" si="26"/>
        <v>0.20371474445627369</v>
      </c>
      <c r="G108" s="553">
        <f t="shared" si="27"/>
        <v>0.12844945675665675</v>
      </c>
      <c r="H108" s="553">
        <f t="shared" si="28"/>
        <v>0.13048986559573716</v>
      </c>
      <c r="I108" s="553">
        <f t="shared" si="29"/>
        <v>0.13253027443481757</v>
      </c>
      <c r="J108" s="553">
        <f t="shared" si="30"/>
        <v>0.13457068327389798</v>
      </c>
      <c r="K108" s="553">
        <f t="shared" si="31"/>
        <v>0.13661109211297839</v>
      </c>
      <c r="M108" s="551" t="s">
        <v>593</v>
      </c>
      <c r="N108" s="536" t="s">
        <v>566</v>
      </c>
      <c r="O108" s="877"/>
      <c r="P108" s="877">
        <v>0</v>
      </c>
      <c r="Q108" s="879">
        <v>0</v>
      </c>
      <c r="R108" s="879">
        <v>3.5037147444562735</v>
      </c>
      <c r="S108" s="879">
        <v>3.4759201479907613</v>
      </c>
      <c r="T108" s="879">
        <v>3.5311348477876954</v>
      </c>
      <c r="U108" s="879">
        <v>3.5863495475846294</v>
      </c>
      <c r="V108" s="879">
        <v>3.6415642473815639</v>
      </c>
      <c r="W108" s="759">
        <v>3.6967789471784984</v>
      </c>
      <c r="X108" s="524"/>
      <c r="Y108" s="532" t="s">
        <v>601</v>
      </c>
    </row>
    <row r="109" spans="2:25" outlineLevel="1" x14ac:dyDescent="0.3">
      <c r="B109" s="551" t="s">
        <v>581</v>
      </c>
      <c r="C109" s="553" t="s">
        <v>566</v>
      </c>
      <c r="D109" s="553">
        <f t="shared" si="24"/>
        <v>0</v>
      </c>
      <c r="E109" s="556">
        <f t="shared" si="25"/>
        <v>0</v>
      </c>
      <c r="F109" s="556">
        <f t="shared" si="26"/>
        <v>0.93263622117446765</v>
      </c>
      <c r="G109" s="553">
        <f t="shared" si="27"/>
        <v>0.58386116707571212</v>
      </c>
      <c r="H109" s="553">
        <f t="shared" si="28"/>
        <v>0.5931357527078962</v>
      </c>
      <c r="I109" s="553">
        <f t="shared" si="29"/>
        <v>0.60241033834008206</v>
      </c>
      <c r="J109" s="553">
        <f t="shared" si="30"/>
        <v>0.61168492397226437</v>
      </c>
      <c r="K109" s="553">
        <f t="shared" si="31"/>
        <v>0.62095950960444668</v>
      </c>
      <c r="M109" s="551" t="s">
        <v>581</v>
      </c>
      <c r="N109" s="536" t="s">
        <v>566</v>
      </c>
      <c r="O109" s="878"/>
      <c r="P109" s="878">
        <v>15</v>
      </c>
      <c r="Q109" s="879">
        <v>15</v>
      </c>
      <c r="R109" s="879">
        <v>16.040524155797431</v>
      </c>
      <c r="S109" s="879">
        <v>15.799637036321641</v>
      </c>
      <c r="T109" s="879">
        <v>16.050612944489526</v>
      </c>
      <c r="U109" s="879">
        <v>16.30158885265741</v>
      </c>
      <c r="V109" s="879">
        <v>16.552564760825291</v>
      </c>
      <c r="W109" s="759">
        <v>16.803540668993175</v>
      </c>
      <c r="X109" s="524"/>
      <c r="Y109" s="532" t="s">
        <v>601</v>
      </c>
    </row>
    <row r="110" spans="2:25" outlineLevel="1" x14ac:dyDescent="0.3">
      <c r="B110" s="551" t="s">
        <v>582</v>
      </c>
      <c r="C110" s="553" t="s">
        <v>566</v>
      </c>
      <c r="D110" s="553">
        <f t="shared" si="24"/>
        <v>0</v>
      </c>
      <c r="E110" s="547">
        <f t="shared" si="25"/>
        <v>0</v>
      </c>
      <c r="F110" s="547">
        <f t="shared" si="26"/>
        <v>1.3931156263123761</v>
      </c>
      <c r="G110" s="547">
        <f t="shared" si="27"/>
        <v>0.86595261627906694</v>
      </c>
      <c r="H110" s="547">
        <f t="shared" si="28"/>
        <v>0.86595261627906694</v>
      </c>
      <c r="I110" s="547">
        <f t="shared" si="29"/>
        <v>0.86595261627906694</v>
      </c>
      <c r="J110" s="547">
        <f t="shared" si="30"/>
        <v>0.86595261627906694</v>
      </c>
      <c r="K110" s="547">
        <f t="shared" si="31"/>
        <v>0.86595261627906694</v>
      </c>
      <c r="M110" s="551" t="s">
        <v>582</v>
      </c>
      <c r="N110" s="536" t="s">
        <v>566</v>
      </c>
      <c r="O110" s="882"/>
      <c r="P110" s="882">
        <v>2.5672499999999996</v>
      </c>
      <c r="Q110" s="882">
        <v>22.567250000000001</v>
      </c>
      <c r="R110" s="882">
        <v>23.960365626312377</v>
      </c>
      <c r="S110" s="882">
        <v>23.433202616279068</v>
      </c>
      <c r="T110" s="882">
        <v>23.433202616279068</v>
      </c>
      <c r="U110" s="882">
        <v>23.433202616279068</v>
      </c>
      <c r="V110" s="882">
        <v>23.433202616279068</v>
      </c>
      <c r="W110" s="761">
        <v>23.433202616279068</v>
      </c>
      <c r="X110" s="521"/>
      <c r="Y110" s="531" t="s">
        <v>602</v>
      </c>
    </row>
    <row r="111" spans="2:25" outlineLevel="1" x14ac:dyDescent="0.3">
      <c r="B111" s="554" t="s">
        <v>611</v>
      </c>
      <c r="C111" s="553"/>
      <c r="D111" s="553">
        <f t="shared" si="24"/>
        <v>-0.22264200000000756</v>
      </c>
      <c r="E111" s="555">
        <f t="shared" si="25"/>
        <v>-1.6403571466667017</v>
      </c>
      <c r="F111" s="555">
        <f t="shared" si="26"/>
        <v>-2.7777986066666926</v>
      </c>
      <c r="G111" s="555">
        <f t="shared" si="27"/>
        <v>-3.8672954666666897</v>
      </c>
      <c r="H111" s="555">
        <f t="shared" si="28"/>
        <v>-4.6691600666666773</v>
      </c>
      <c r="I111" s="555">
        <f t="shared" si="29"/>
        <v>-5.4292056666667463</v>
      </c>
      <c r="J111" s="555">
        <f t="shared" si="30"/>
        <v>-6.1594478666666532</v>
      </c>
      <c r="K111" s="555">
        <f t="shared" si="31"/>
        <v>-6.8855670666666811</v>
      </c>
      <c r="M111" s="554" t="s">
        <v>574</v>
      </c>
      <c r="N111" s="538"/>
      <c r="O111" s="877"/>
      <c r="P111" s="877">
        <v>272.18534233333332</v>
      </c>
      <c r="Q111" s="877">
        <v>306.35305956000002</v>
      </c>
      <c r="R111" s="877">
        <v>328.73010018000008</v>
      </c>
      <c r="S111" s="877">
        <v>346.17968460000003</v>
      </c>
      <c r="T111" s="877">
        <v>360.77443706666674</v>
      </c>
      <c r="U111" s="877">
        <v>373.16632953333334</v>
      </c>
      <c r="V111" s="877">
        <v>382.09725800000001</v>
      </c>
      <c r="W111" s="762">
        <v>390.80212826666673</v>
      </c>
      <c r="X111" s="525"/>
      <c r="Y111" s="531"/>
    </row>
    <row r="112" spans="2:25" outlineLevel="1" x14ac:dyDescent="0.3">
      <c r="B112" s="551" t="s">
        <v>583</v>
      </c>
      <c r="C112" s="553" t="s">
        <v>566</v>
      </c>
      <c r="D112" s="553">
        <f t="shared" si="24"/>
        <v>-0.22264200000000045</v>
      </c>
      <c r="E112" s="546">
        <f t="shared" si="25"/>
        <v>-0.22264200000000045</v>
      </c>
      <c r="F112" s="546">
        <f t="shared" si="26"/>
        <v>-0.22264200000000045</v>
      </c>
      <c r="G112" s="546">
        <f t="shared" si="27"/>
        <v>-0.22264200000000045</v>
      </c>
      <c r="H112" s="546">
        <f t="shared" si="28"/>
        <v>-0.22264200000000045</v>
      </c>
      <c r="I112" s="546">
        <f t="shared" si="29"/>
        <v>-0.22264200000000045</v>
      </c>
      <c r="J112" s="546">
        <f t="shared" si="30"/>
        <v>-0.22264200000000045</v>
      </c>
      <c r="K112" s="546">
        <f t="shared" si="31"/>
        <v>-0.22264200000000045</v>
      </c>
      <c r="M112" s="551" t="s">
        <v>583</v>
      </c>
      <c r="N112" s="536" t="s">
        <v>566</v>
      </c>
      <c r="O112" s="881"/>
      <c r="P112" s="881">
        <v>21.596274000000001</v>
      </c>
      <c r="Q112" s="881">
        <v>23.266089000000001</v>
      </c>
      <c r="R112" s="881">
        <v>26.049113999999999</v>
      </c>
      <c r="S112" s="881">
        <v>27.718928999999999</v>
      </c>
      <c r="T112" s="881">
        <v>29.945349</v>
      </c>
      <c r="U112" s="881">
        <v>30.947237999999999</v>
      </c>
      <c r="V112" s="881">
        <v>30.947237999999999</v>
      </c>
      <c r="W112" s="759">
        <v>30.947237999999999</v>
      </c>
      <c r="X112" s="520"/>
      <c r="Y112" s="531"/>
    </row>
    <row r="113" spans="2:25" outlineLevel="1" x14ac:dyDescent="0.3">
      <c r="B113" s="551" t="s">
        <v>584</v>
      </c>
      <c r="C113" s="553" t="s">
        <v>566</v>
      </c>
      <c r="D113" s="553">
        <f t="shared" si="24"/>
        <v>0</v>
      </c>
      <c r="E113" s="553">
        <f t="shared" si="25"/>
        <v>-1.4842800000000125</v>
      </c>
      <c r="F113" s="553">
        <f t="shared" si="26"/>
        <v>-2.9685599999999681</v>
      </c>
      <c r="G113" s="553">
        <f t="shared" si="27"/>
        <v>-4.4528399999999806</v>
      </c>
      <c r="H113" s="553">
        <f t="shared" si="28"/>
        <v>-5.9371199999999931</v>
      </c>
      <c r="I113" s="553">
        <f t="shared" si="29"/>
        <v>-7.4214000000000055</v>
      </c>
      <c r="J113" s="553">
        <f t="shared" si="30"/>
        <v>-8.9056799999999612</v>
      </c>
      <c r="K113" s="553">
        <f t="shared" si="31"/>
        <v>-10.389959999999974</v>
      </c>
      <c r="M113" s="551" t="s">
        <v>584</v>
      </c>
      <c r="N113" s="536" t="s">
        <v>566</v>
      </c>
      <c r="O113" s="881"/>
      <c r="P113" s="881">
        <v>250.48049600000002</v>
      </c>
      <c r="Q113" s="881">
        <v>282.88727600000004</v>
      </c>
      <c r="R113" s="881">
        <v>301.44077600000008</v>
      </c>
      <c r="S113" s="881">
        <v>316.03619600000007</v>
      </c>
      <c r="T113" s="881">
        <v>325.93139600000006</v>
      </c>
      <c r="U113" s="881">
        <v>334.68864800000006</v>
      </c>
      <c r="V113" s="881">
        <v>340.87314800000007</v>
      </c>
      <c r="W113" s="759">
        <v>346.81026800000006</v>
      </c>
      <c r="X113" s="524"/>
      <c r="Y113" s="531"/>
    </row>
    <row r="114" spans="2:25" outlineLevel="1" x14ac:dyDescent="0.3">
      <c r="B114" s="551" t="s">
        <v>585</v>
      </c>
      <c r="C114" s="553" t="s">
        <v>566</v>
      </c>
      <c r="D114" s="553">
        <f t="shared" si="24"/>
        <v>0</v>
      </c>
      <c r="E114" s="553">
        <f t="shared" si="25"/>
        <v>6.6564853333333368E-2</v>
      </c>
      <c r="F114" s="553">
        <f t="shared" si="26"/>
        <v>0.41340339333333365</v>
      </c>
      <c r="G114" s="553">
        <f t="shared" si="27"/>
        <v>0.80818653333333335</v>
      </c>
      <c r="H114" s="553">
        <f t="shared" si="28"/>
        <v>1.4906019333333331</v>
      </c>
      <c r="I114" s="553">
        <f t="shared" si="29"/>
        <v>2.2148363333333325</v>
      </c>
      <c r="J114" s="553">
        <f t="shared" si="30"/>
        <v>2.9688741333333342</v>
      </c>
      <c r="K114" s="553">
        <f t="shared" si="31"/>
        <v>3.7270349333333321</v>
      </c>
      <c r="M114" s="551" t="s">
        <v>585</v>
      </c>
      <c r="N114" s="536" t="s">
        <v>566</v>
      </c>
      <c r="O114" s="881"/>
      <c r="P114" s="881">
        <v>0.10857233333333335</v>
      </c>
      <c r="Q114" s="881">
        <v>0.19969456000000002</v>
      </c>
      <c r="R114" s="881">
        <v>1.2402101800000003</v>
      </c>
      <c r="S114" s="881">
        <v>2.4245596000000003</v>
      </c>
      <c r="T114" s="881">
        <v>4.897692066666667</v>
      </c>
      <c r="U114" s="881">
        <v>7.5304435333333339</v>
      </c>
      <c r="V114" s="881">
        <v>10.276872000000003</v>
      </c>
      <c r="W114" s="759">
        <v>13.04462226666667</v>
      </c>
      <c r="X114" s="524"/>
      <c r="Y114" s="531"/>
    </row>
    <row r="115" spans="2:25" outlineLevel="1" x14ac:dyDescent="0.3">
      <c r="B115" s="556" t="s">
        <v>612</v>
      </c>
      <c r="C115" s="556" t="s">
        <v>566</v>
      </c>
      <c r="D115" s="556">
        <f t="shared" si="24"/>
        <v>0</v>
      </c>
      <c r="E115" s="555">
        <f t="shared" si="25"/>
        <v>-3.9710236771377652</v>
      </c>
      <c r="F115" s="555">
        <f t="shared" si="26"/>
        <v>10.763454372664327</v>
      </c>
      <c r="G115" s="555">
        <f t="shared" si="27"/>
        <v>10.73234509669966</v>
      </c>
      <c r="H115" s="555">
        <f t="shared" si="28"/>
        <v>10.584781422180185</v>
      </c>
      <c r="I115" s="555">
        <f t="shared" si="29"/>
        <v>10.522563294601838</v>
      </c>
      <c r="J115" s="555">
        <f t="shared" si="30"/>
        <v>10.5387618160579</v>
      </c>
      <c r="K115" s="555">
        <f t="shared" si="31"/>
        <v>10.629603882580156</v>
      </c>
      <c r="M115" s="556" t="s">
        <v>586</v>
      </c>
      <c r="N115" s="538" t="s">
        <v>566</v>
      </c>
      <c r="O115" s="877"/>
      <c r="P115" s="877">
        <v>80.697777436650398</v>
      </c>
      <c r="Q115" s="877">
        <v>86.420939502965012</v>
      </c>
      <c r="R115" s="877">
        <v>100.4378767731265</v>
      </c>
      <c r="S115" s="877">
        <v>98.059685097804788</v>
      </c>
      <c r="T115" s="877">
        <v>96.012555034319846</v>
      </c>
      <c r="U115" s="877">
        <v>94.904225987187559</v>
      </c>
      <c r="V115" s="877">
        <v>94.658480079434057</v>
      </c>
      <c r="W115" s="762">
        <v>95.233813167408258</v>
      </c>
      <c r="X115" s="525"/>
      <c r="Y115" s="531" t="s">
        <v>603</v>
      </c>
    </row>
    <row r="116" spans="2:25" outlineLevel="1" x14ac:dyDescent="0.3">
      <c r="B116" s="545" t="s">
        <v>587</v>
      </c>
      <c r="C116" s="553" t="s">
        <v>566</v>
      </c>
      <c r="D116" s="553">
        <f t="shared" si="24"/>
        <v>0</v>
      </c>
      <c r="E116" s="555">
        <f t="shared" si="25"/>
        <v>-0.91639007933948236</v>
      </c>
      <c r="F116" s="555">
        <f t="shared" si="26"/>
        <v>3.9816312354944046</v>
      </c>
      <c r="G116" s="549">
        <f t="shared" si="27"/>
        <v>4.2848809212624488</v>
      </c>
      <c r="H116" s="549">
        <f t="shared" si="28"/>
        <v>4.3757229877846946</v>
      </c>
      <c r="I116" s="549">
        <f t="shared" si="29"/>
        <v>4.4665650543069368</v>
      </c>
      <c r="J116" s="549">
        <f t="shared" si="30"/>
        <v>4.5574071208291862</v>
      </c>
      <c r="K116" s="549">
        <f t="shared" si="31"/>
        <v>4.6482491873514213</v>
      </c>
      <c r="M116" s="545" t="s">
        <v>587</v>
      </c>
      <c r="N116" s="535" t="s">
        <v>566</v>
      </c>
      <c r="O116" s="877"/>
      <c r="P116" s="877">
        <v>16.808271672135472</v>
      </c>
      <c r="Q116" s="881">
        <v>19.943293731453466</v>
      </c>
      <c r="R116" s="881">
        <v>25.837822264257412</v>
      </c>
      <c r="S116" s="881">
        <v>27.137579167995511</v>
      </c>
      <c r="T116" s="881">
        <v>27.712912255969727</v>
      </c>
      <c r="U116" s="881">
        <v>28.288245343943931</v>
      </c>
      <c r="V116" s="881">
        <v>28.863578431918143</v>
      </c>
      <c r="W116" s="759">
        <v>29.438911519892333</v>
      </c>
      <c r="X116" s="522"/>
      <c r="Y116" s="3" t="s">
        <v>604</v>
      </c>
    </row>
    <row r="117" spans="2:25" outlineLevel="1" x14ac:dyDescent="0.3">
      <c r="B117" s="545" t="s">
        <v>588</v>
      </c>
      <c r="C117" s="553" t="s">
        <v>566</v>
      </c>
      <c r="D117" s="553">
        <f t="shared" si="24"/>
        <v>0</v>
      </c>
      <c r="E117" s="555">
        <f t="shared" si="25"/>
        <v>-1.1454875991743521</v>
      </c>
      <c r="F117" s="555">
        <f t="shared" si="26"/>
        <v>2.5431836764387228</v>
      </c>
      <c r="G117" s="553">
        <f t="shared" si="27"/>
        <v>2.4177990657889552</v>
      </c>
      <c r="H117" s="553">
        <f t="shared" si="28"/>
        <v>2.3283969128983024</v>
      </c>
      <c r="I117" s="553">
        <f t="shared" si="29"/>
        <v>2.2709993401105812</v>
      </c>
      <c r="J117" s="553">
        <f t="shared" si="30"/>
        <v>2.2430080107107706</v>
      </c>
      <c r="K117" s="553">
        <f t="shared" si="31"/>
        <v>2.2430080107107706</v>
      </c>
      <c r="M117" s="545" t="s">
        <v>588</v>
      </c>
      <c r="N117" s="535" t="s">
        <v>566</v>
      </c>
      <c r="O117" s="877"/>
      <c r="P117" s="877">
        <v>19.609650284158047</v>
      </c>
      <c r="Q117" s="879">
        <v>24.929117164316832</v>
      </c>
      <c r="R117" s="879">
        <v>27.975020440825915</v>
      </c>
      <c r="S117" s="879">
        <v>26.595789723678479</v>
      </c>
      <c r="T117" s="879">
        <v>25.612366041881291</v>
      </c>
      <c r="U117" s="879">
        <v>24.980992741216358</v>
      </c>
      <c r="V117" s="879">
        <v>24.67308811781847</v>
      </c>
      <c r="W117" s="759">
        <v>24.67308811781847</v>
      </c>
      <c r="X117" s="524"/>
      <c r="Y117" s="3" t="s">
        <v>605</v>
      </c>
    </row>
    <row r="118" spans="2:25" outlineLevel="1" x14ac:dyDescent="0.3">
      <c r="B118" s="544" t="s">
        <v>589</v>
      </c>
      <c r="C118" s="553" t="s">
        <v>566</v>
      </c>
      <c r="D118" s="553">
        <f t="shared" si="24"/>
        <v>0</v>
      </c>
      <c r="E118" s="555">
        <f t="shared" si="25"/>
        <v>-1.9091459986239201</v>
      </c>
      <c r="F118" s="555">
        <f t="shared" si="26"/>
        <v>4.2386394607311999</v>
      </c>
      <c r="G118" s="549">
        <f t="shared" si="27"/>
        <v>4.0296651096482563</v>
      </c>
      <c r="H118" s="549">
        <f t="shared" si="28"/>
        <v>3.8806615214971671</v>
      </c>
      <c r="I118" s="553">
        <f t="shared" si="29"/>
        <v>3.7849989001842985</v>
      </c>
      <c r="J118" s="553">
        <f t="shared" si="30"/>
        <v>3.7383466845179498</v>
      </c>
      <c r="K118" s="553">
        <f t="shared" si="31"/>
        <v>3.7383466845179498</v>
      </c>
      <c r="M118" s="544" t="s">
        <v>589</v>
      </c>
      <c r="N118" s="536" t="s">
        <v>566</v>
      </c>
      <c r="O118" s="877"/>
      <c r="P118" s="877">
        <v>44.279855480356886</v>
      </c>
      <c r="Q118" s="881">
        <v>41.548528607194719</v>
      </c>
      <c r="R118" s="881">
        <v>46.625034068043185</v>
      </c>
      <c r="S118" s="879">
        <v>44.326316206130791</v>
      </c>
      <c r="T118" s="879">
        <v>42.68727673646881</v>
      </c>
      <c r="U118" s="879">
        <v>41.634987902027255</v>
      </c>
      <c r="V118" s="879">
        <v>41.121813529697441</v>
      </c>
      <c r="W118" s="759">
        <v>41.121813529697441</v>
      </c>
      <c r="X118" s="524"/>
      <c r="Y118" s="3" t="s">
        <v>605</v>
      </c>
    </row>
    <row r="119" spans="2:25" outlineLevel="1" x14ac:dyDescent="0.3">
      <c r="B119" s="495" t="s">
        <v>468</v>
      </c>
      <c r="C119" s="494" t="s">
        <v>566</v>
      </c>
      <c r="D119" s="493">
        <f>-D83-D84-D85-D86-D87-D98-D111</f>
        <v>-18.41936740692762</v>
      </c>
      <c r="E119" s="493">
        <f t="shared" ref="E119:K119" si="32">-E83-E84-E85-E86-E87-E98-E111</f>
        <v>98.835636010638581</v>
      </c>
      <c r="F119" s="493">
        <f t="shared" si="32"/>
        <v>112.55936458376402</v>
      </c>
      <c r="G119" s="493">
        <f t="shared" si="32"/>
        <v>127.32276522355559</v>
      </c>
      <c r="H119" s="493">
        <f t="shared" si="32"/>
        <v>110.02370098850176</v>
      </c>
      <c r="I119" s="493">
        <f t="shared" si="32"/>
        <v>92.782480253448114</v>
      </c>
      <c r="J119" s="493">
        <f t="shared" si="32"/>
        <v>76.384100223421228</v>
      </c>
      <c r="K119" s="493">
        <f t="shared" si="32"/>
        <v>55.107224647403172</v>
      </c>
      <c r="M119" s="569" t="s">
        <v>594</v>
      </c>
      <c r="N119" s="534" t="s">
        <v>566</v>
      </c>
      <c r="O119" s="568"/>
      <c r="P119" s="568"/>
      <c r="Q119" s="568"/>
      <c r="R119" s="568"/>
      <c r="S119" s="568"/>
      <c r="T119" s="568"/>
      <c r="U119" s="568"/>
      <c r="V119" s="568"/>
      <c r="W119" s="568"/>
      <c r="X119" s="1155"/>
      <c r="Y119" s="533"/>
    </row>
    <row r="120" spans="2:25" outlineLevel="1" x14ac:dyDescent="0.3">
      <c r="B120" s="495" t="s">
        <v>617</v>
      </c>
      <c r="C120" s="494"/>
      <c r="D120" s="493">
        <f>-D91-D104</f>
        <v>0</v>
      </c>
      <c r="E120" s="493">
        <f t="shared" ref="E120:K120" si="33">-E91-E104</f>
        <v>4.0195566117076851</v>
      </c>
      <c r="F120" s="493">
        <f t="shared" si="33"/>
        <v>19.520085691573257</v>
      </c>
      <c r="G120" s="493">
        <f t="shared" si="33"/>
        <v>25.424762000497466</v>
      </c>
      <c r="H120" s="493">
        <f t="shared" si="33"/>
        <v>26.859640242324758</v>
      </c>
      <c r="I120" s="493">
        <f t="shared" si="33"/>
        <v>28.320845287746522</v>
      </c>
      <c r="J120" s="493">
        <f t="shared" si="33"/>
        <v>29.806483399772787</v>
      </c>
      <c r="K120" s="493">
        <f t="shared" si="33"/>
        <v>31.314838215265951</v>
      </c>
      <c r="M120" s="569" t="s">
        <v>595</v>
      </c>
      <c r="N120" s="534" t="s">
        <v>566</v>
      </c>
      <c r="O120" s="568"/>
      <c r="P120" s="568"/>
      <c r="Q120" s="568"/>
      <c r="R120" s="568"/>
      <c r="S120" s="568"/>
      <c r="T120" s="568"/>
      <c r="U120" s="568"/>
      <c r="V120" s="568"/>
      <c r="W120" s="568"/>
      <c r="X120" s="519"/>
    </row>
    <row r="121" spans="2:25" outlineLevel="1" x14ac:dyDescent="0.3">
      <c r="B121" s="497"/>
      <c r="C121" s="496"/>
      <c r="X121" s="519"/>
    </row>
    <row r="122" spans="2:25" ht="15.6" outlineLevel="1" x14ac:dyDescent="0.3">
      <c r="B122" s="675" t="s">
        <v>607</v>
      </c>
      <c r="C122" s="518"/>
      <c r="D122" s="518"/>
      <c r="E122" s="518"/>
      <c r="F122" s="518"/>
      <c r="G122" s="518"/>
      <c r="H122" s="518"/>
      <c r="I122" s="518"/>
      <c r="J122" s="518"/>
      <c r="K122" s="518"/>
      <c r="L122" s="517"/>
      <c r="M122" s="481" t="s">
        <v>606</v>
      </c>
      <c r="N122" s="477"/>
    </row>
    <row r="123" spans="2:25" outlineLevel="1" x14ac:dyDescent="0.3">
      <c r="M123" s="482"/>
      <c r="N123" s="480"/>
    </row>
    <row r="124" spans="2:25" outlineLevel="1" x14ac:dyDescent="0.3">
      <c r="B124" s="542"/>
      <c r="C124" s="541" t="s">
        <v>293</v>
      </c>
      <c r="D124" s="540">
        <v>2015</v>
      </c>
      <c r="E124" s="540">
        <v>2020</v>
      </c>
      <c r="F124" s="540">
        <v>2025</v>
      </c>
      <c r="G124" s="540">
        <v>2030</v>
      </c>
      <c r="H124" s="540">
        <v>2035</v>
      </c>
      <c r="I124" s="540">
        <v>2040</v>
      </c>
      <c r="J124" s="540">
        <v>2045</v>
      </c>
      <c r="K124" s="540">
        <v>2050</v>
      </c>
      <c r="M124" s="542"/>
      <c r="N124" s="542" t="s">
        <v>293</v>
      </c>
      <c r="O124" s="540">
        <v>2010</v>
      </c>
      <c r="P124" s="540">
        <v>2015</v>
      </c>
      <c r="Q124" s="540">
        <v>2020</v>
      </c>
      <c r="R124" s="540">
        <v>2025</v>
      </c>
      <c r="S124" s="540">
        <v>2030</v>
      </c>
      <c r="T124" s="540">
        <v>2035</v>
      </c>
      <c r="U124" s="540">
        <v>2040</v>
      </c>
      <c r="V124" s="540">
        <v>2045</v>
      </c>
      <c r="W124" s="540">
        <v>2050</v>
      </c>
    </row>
    <row r="125" spans="2:25" outlineLevel="1" x14ac:dyDescent="0.3">
      <c r="B125" s="566" t="s">
        <v>537</v>
      </c>
      <c r="C125" s="565"/>
      <c r="M125" s="566" t="s">
        <v>537</v>
      </c>
      <c r="N125" s="566" t="s">
        <v>75</v>
      </c>
      <c r="O125" s="564"/>
      <c r="P125" s="564"/>
      <c r="Q125" s="564"/>
      <c r="R125" s="566"/>
      <c r="S125" s="564"/>
      <c r="T125" s="566"/>
      <c r="U125" s="564"/>
      <c r="V125" s="564"/>
      <c r="W125" s="564"/>
    </row>
    <row r="126" spans="2:25" outlineLevel="1" x14ac:dyDescent="0.3">
      <c r="B126" s="563" t="s">
        <v>248</v>
      </c>
      <c r="C126" s="565" t="s">
        <v>75</v>
      </c>
      <c r="D126" s="562">
        <f t="shared" ref="D126:D134" si="34">P126-D6</f>
        <v>0</v>
      </c>
      <c r="E126" s="562">
        <f t="shared" ref="E126:E134" si="35">Q126-E6</f>
        <v>27.306430931180046</v>
      </c>
      <c r="F126" s="562">
        <f t="shared" ref="F126:F134" si="36">R126-F6</f>
        <v>358.42542765786834</v>
      </c>
      <c r="G126" s="562">
        <f t="shared" ref="G126:G134" si="37">S126-G6</f>
        <v>689.54442438455669</v>
      </c>
      <c r="H126" s="562">
        <f t="shared" ref="H126:H134" si="38">T126-H6</f>
        <v>817.07600619009133</v>
      </c>
      <c r="I126" s="562">
        <f t="shared" ref="I126:I134" si="39">U126-I6</f>
        <v>944.60758799562575</v>
      </c>
      <c r="J126" s="562">
        <f t="shared" ref="J126:J134" si="40">V126-J6</f>
        <v>1008.3733788983932</v>
      </c>
      <c r="K126" s="562">
        <f t="shared" ref="K126:K134" si="41">W126-K6</f>
        <v>1199.6707516066949</v>
      </c>
      <c r="M126" s="563" t="s">
        <v>248</v>
      </c>
      <c r="N126" s="563"/>
      <c r="O126" s="760">
        <v>228</v>
      </c>
      <c r="P126" s="760">
        <v>209.4813399775885</v>
      </c>
      <c r="Q126" s="760">
        <v>235.11374288769599</v>
      </c>
      <c r="R126" s="760">
        <v>656.5111424741259</v>
      </c>
      <c r="S126" s="760">
        <v>1077.9085420605559</v>
      </c>
      <c r="T126" s="760">
        <v>1342.5133645537239</v>
      </c>
      <c r="U126" s="760">
        <v>1607.1181870468918</v>
      </c>
      <c r="V126" s="760">
        <v>1739.4205982934759</v>
      </c>
      <c r="W126" s="760">
        <v>2136.3278320332279</v>
      </c>
    </row>
    <row r="127" spans="2:25" outlineLevel="1" x14ac:dyDescent="0.3">
      <c r="B127" s="563" t="s">
        <v>555</v>
      </c>
      <c r="C127" s="565" t="s">
        <v>75</v>
      </c>
      <c r="D127" s="562">
        <f t="shared" si="34"/>
        <v>-1436.6411331604631</v>
      </c>
      <c r="E127" s="562">
        <f t="shared" si="35"/>
        <v>-4273.1544710569233</v>
      </c>
      <c r="F127" s="562">
        <f t="shared" si="36"/>
        <v>-6964.861732655786</v>
      </c>
      <c r="G127" s="562">
        <f t="shared" si="37"/>
        <v>-9656.5689942546505</v>
      </c>
      <c r="H127" s="562">
        <f t="shared" si="38"/>
        <v>-9268.5756268390796</v>
      </c>
      <c r="I127" s="562">
        <f t="shared" si="39"/>
        <v>-8880.5822594235069</v>
      </c>
      <c r="J127" s="562">
        <f t="shared" si="40"/>
        <v>-8686.5855757157224</v>
      </c>
      <c r="K127" s="562">
        <f t="shared" si="41"/>
        <v>-8104.5955245923651</v>
      </c>
      <c r="M127" s="563" t="s">
        <v>555</v>
      </c>
      <c r="N127" s="563"/>
      <c r="O127" s="760">
        <v>10501.152590001275</v>
      </c>
      <c r="P127" s="760">
        <v>11429.577206539847</v>
      </c>
      <c r="Q127" s="760">
        <v>10958.129618342424</v>
      </c>
      <c r="R127" s="760">
        <v>7937.1740647461311</v>
      </c>
      <c r="S127" s="760">
        <v>4916.2185111498384</v>
      </c>
      <c r="T127" s="760">
        <v>4063.2069999071387</v>
      </c>
      <c r="U127" s="760">
        <v>3210.1954886644389</v>
      </c>
      <c r="V127" s="760">
        <v>2783.6897330430893</v>
      </c>
      <c r="W127" s="760">
        <v>1504.1724661790395</v>
      </c>
    </row>
    <row r="128" spans="2:25" outlineLevel="1" x14ac:dyDescent="0.3">
      <c r="B128" s="563" t="s">
        <v>556</v>
      </c>
      <c r="C128" s="565" t="s">
        <v>75</v>
      </c>
      <c r="D128" s="562">
        <f t="shared" si="34"/>
        <v>-1161.9474936416154</v>
      </c>
      <c r="E128" s="562">
        <f t="shared" si="35"/>
        <v>-5485.2567877711299</v>
      </c>
      <c r="F128" s="562">
        <f t="shared" si="36"/>
        <v>-9896.9190927147283</v>
      </c>
      <c r="G128" s="562">
        <f t="shared" si="37"/>
        <v>-14308.581397658327</v>
      </c>
      <c r="H128" s="562">
        <f t="shared" si="38"/>
        <v>-15473.961407503184</v>
      </c>
      <c r="I128" s="562">
        <f t="shared" si="39"/>
        <v>-16639.341417348045</v>
      </c>
      <c r="J128" s="562">
        <f t="shared" si="40"/>
        <v>-17222.031422270473</v>
      </c>
      <c r="K128" s="562">
        <f t="shared" si="41"/>
        <v>-18970.10143703776</v>
      </c>
      <c r="M128" s="563" t="s">
        <v>556</v>
      </c>
      <c r="N128" s="563"/>
      <c r="O128" s="760">
        <v>19156.987701494523</v>
      </c>
      <c r="P128" s="760">
        <v>19075.567583884251</v>
      </c>
      <c r="Q128" s="760">
        <v>15832.785665786083</v>
      </c>
      <c r="R128" s="760">
        <v>14320.693979243079</v>
      </c>
      <c r="S128" s="760">
        <v>12808.602292700074</v>
      </c>
      <c r="T128" s="760">
        <v>10748.090539953164</v>
      </c>
      <c r="U128" s="760">
        <v>8687.5787872062538</v>
      </c>
      <c r="V128" s="760">
        <v>7657.3229108327987</v>
      </c>
      <c r="W128" s="760">
        <v>4566.5552817124335</v>
      </c>
    </row>
    <row r="129" spans="2:34" outlineLevel="1" x14ac:dyDescent="0.3">
      <c r="B129" s="563" t="s">
        <v>408</v>
      </c>
      <c r="C129" s="565" t="s">
        <v>75</v>
      </c>
      <c r="D129" s="562">
        <f t="shared" si="34"/>
        <v>139.60669088897197</v>
      </c>
      <c r="E129" s="562">
        <f t="shared" si="35"/>
        <v>636.02022123647123</v>
      </c>
      <c r="F129" s="562">
        <f t="shared" si="36"/>
        <v>959.86608760891158</v>
      </c>
      <c r="G129" s="562">
        <f t="shared" si="37"/>
        <v>1283.7119539813518</v>
      </c>
      <c r="H129" s="562">
        <f t="shared" si="38"/>
        <v>916.4730292879135</v>
      </c>
      <c r="I129" s="562">
        <f t="shared" si="39"/>
        <v>549.23410459447496</v>
      </c>
      <c r="J129" s="562">
        <f t="shared" si="40"/>
        <v>365.61464224775591</v>
      </c>
      <c r="K129" s="562">
        <f t="shared" si="41"/>
        <v>-185.24374479240169</v>
      </c>
      <c r="M129" s="563" t="s">
        <v>408</v>
      </c>
      <c r="N129" s="563"/>
      <c r="O129" s="760">
        <v>0</v>
      </c>
      <c r="P129" s="760">
        <v>339.21154608061659</v>
      </c>
      <c r="Q129" s="760">
        <v>1035.2299316197605</v>
      </c>
      <c r="R129" s="760">
        <v>1923.3579454660312</v>
      </c>
      <c r="S129" s="760">
        <v>2811.4859593123019</v>
      </c>
      <c r="T129" s="760">
        <v>2527.3314015785741</v>
      </c>
      <c r="U129" s="760">
        <v>2243.1768438448462</v>
      </c>
      <c r="V129" s="760">
        <v>2101.0995649779825</v>
      </c>
      <c r="W129" s="760">
        <v>1674.8677283773909</v>
      </c>
    </row>
    <row r="130" spans="2:34" outlineLevel="1" x14ac:dyDescent="0.3">
      <c r="B130" s="563" t="s">
        <v>557</v>
      </c>
      <c r="C130" s="565" t="s">
        <v>75</v>
      </c>
      <c r="D130" s="562">
        <f t="shared" si="34"/>
        <v>11.53369814553389</v>
      </c>
      <c r="E130" s="562">
        <f t="shared" si="35"/>
        <v>-58.072196453586685</v>
      </c>
      <c r="F130" s="562">
        <f t="shared" si="36"/>
        <v>183.13417423965984</v>
      </c>
      <c r="G130" s="562">
        <f t="shared" si="37"/>
        <v>424.34054493290591</v>
      </c>
      <c r="H130" s="562">
        <f t="shared" si="38"/>
        <v>183.73469291285323</v>
      </c>
      <c r="I130" s="562">
        <f t="shared" si="39"/>
        <v>-56.871159107199446</v>
      </c>
      <c r="J130" s="562">
        <f t="shared" si="40"/>
        <v>-177.1740851172259</v>
      </c>
      <c r="K130" s="562">
        <f t="shared" si="41"/>
        <v>-538.08286314730503</v>
      </c>
      <c r="M130" s="563" t="s">
        <v>557</v>
      </c>
      <c r="N130" s="563"/>
      <c r="O130" s="760">
        <v>0</v>
      </c>
      <c r="P130" s="760">
        <v>588.47627728944849</v>
      </c>
      <c r="Q130" s="760">
        <v>1095.8129618342425</v>
      </c>
      <c r="R130" s="760">
        <v>1367.2762327754281</v>
      </c>
      <c r="S130" s="760">
        <v>1638.7395037166134</v>
      </c>
      <c r="T130" s="760">
        <v>1339.6555444182718</v>
      </c>
      <c r="U130" s="760">
        <v>1040.5715851199302</v>
      </c>
      <c r="V130" s="760">
        <v>891.02960547075929</v>
      </c>
      <c r="W130" s="760">
        <v>442.40366652324684</v>
      </c>
    </row>
    <row r="131" spans="2:34" outlineLevel="1" x14ac:dyDescent="0.3">
      <c r="B131" s="563" t="s">
        <v>558</v>
      </c>
      <c r="C131" s="565" t="s">
        <v>75</v>
      </c>
      <c r="D131" s="562">
        <f t="shared" si="34"/>
        <v>-757.5276351252104</v>
      </c>
      <c r="E131" s="562">
        <f t="shared" si="35"/>
        <v>-2162.1721974434304</v>
      </c>
      <c r="F131" s="562">
        <f t="shared" si="36"/>
        <v>-2603.5070918573783</v>
      </c>
      <c r="G131" s="562">
        <f t="shared" si="37"/>
        <v>-3044.8419862713258</v>
      </c>
      <c r="H131" s="562">
        <f t="shared" si="38"/>
        <v>-2824.7180965111138</v>
      </c>
      <c r="I131" s="562">
        <f t="shared" si="39"/>
        <v>-2604.5942067509013</v>
      </c>
      <c r="J131" s="562">
        <f t="shared" si="40"/>
        <v>-2494.5322618707955</v>
      </c>
      <c r="K131" s="562">
        <f t="shared" si="41"/>
        <v>-2164.3464272304773</v>
      </c>
      <c r="M131" s="563" t="s">
        <v>558</v>
      </c>
      <c r="N131" s="563"/>
      <c r="O131" s="760">
        <v>0</v>
      </c>
      <c r="P131" s="760">
        <v>408.44386006507523</v>
      </c>
      <c r="Q131" s="760">
        <v>169.77079293714104</v>
      </c>
      <c r="R131" s="760">
        <v>84.885396468570519</v>
      </c>
      <c r="S131" s="760">
        <v>0</v>
      </c>
      <c r="T131" s="760">
        <v>0</v>
      </c>
      <c r="U131" s="760">
        <v>0</v>
      </c>
      <c r="V131" s="760">
        <v>0</v>
      </c>
      <c r="W131" s="760">
        <v>0</v>
      </c>
    </row>
    <row r="132" spans="2:34" outlineLevel="1" x14ac:dyDescent="0.3">
      <c r="B132" s="563" t="s">
        <v>559</v>
      </c>
      <c r="C132" s="565" t="s">
        <v>75</v>
      </c>
      <c r="D132" s="562">
        <f t="shared" si="34"/>
        <v>634.21101468713482</v>
      </c>
      <c r="E132" s="562">
        <f t="shared" si="35"/>
        <v>1939.9558555302299</v>
      </c>
      <c r="F132" s="562">
        <f t="shared" si="36"/>
        <v>3970.1801107687538</v>
      </c>
      <c r="G132" s="562">
        <f t="shared" si="37"/>
        <v>6000.4043660072775</v>
      </c>
      <c r="H132" s="562">
        <f t="shared" si="38"/>
        <v>5738.9748386016799</v>
      </c>
      <c r="I132" s="562">
        <f t="shared" si="39"/>
        <v>5477.5453111960815</v>
      </c>
      <c r="J132" s="562">
        <f t="shared" si="40"/>
        <v>5346.8305474932822</v>
      </c>
      <c r="K132" s="562">
        <f t="shared" si="41"/>
        <v>4954.6862563848845</v>
      </c>
      <c r="M132" s="563" t="s">
        <v>559</v>
      </c>
      <c r="N132" s="563"/>
      <c r="O132" s="760">
        <v>0</v>
      </c>
      <c r="P132" s="760">
        <v>634.21101468713482</v>
      </c>
      <c r="Q132" s="760">
        <v>1939.9558555302299</v>
      </c>
      <c r="R132" s="760">
        <v>3970.1801107687538</v>
      </c>
      <c r="S132" s="760">
        <v>6000.4043660072775</v>
      </c>
      <c r="T132" s="760">
        <v>5738.9748386016799</v>
      </c>
      <c r="U132" s="760">
        <v>5477.5453111960815</v>
      </c>
      <c r="V132" s="760">
        <v>5346.8305474932822</v>
      </c>
      <c r="W132" s="760">
        <v>4954.6862563848845</v>
      </c>
    </row>
    <row r="133" spans="2:34" outlineLevel="1" x14ac:dyDescent="0.3">
      <c r="B133" s="560" t="s">
        <v>13</v>
      </c>
      <c r="C133" s="565" t="s">
        <v>75</v>
      </c>
      <c r="D133" s="561">
        <f t="shared" si="34"/>
        <v>-2570.7648582056463</v>
      </c>
      <c r="E133" s="561">
        <f t="shared" si="35"/>
        <v>-9375.3731450271844</v>
      </c>
      <c r="F133" s="561">
        <f t="shared" si="36"/>
        <v>-13993.682116952703</v>
      </c>
      <c r="G133" s="561">
        <f t="shared" si="37"/>
        <v>-18611.991088878211</v>
      </c>
      <c r="H133" s="561">
        <f t="shared" si="38"/>
        <v>-19910.996563860848</v>
      </c>
      <c r="I133" s="561">
        <f t="shared" si="39"/>
        <v>-21210.002038843468</v>
      </c>
      <c r="J133" s="561">
        <f t="shared" si="40"/>
        <v>-21859.504776334776</v>
      </c>
      <c r="K133" s="561">
        <f t="shared" si="41"/>
        <v>-23808.012988808732</v>
      </c>
      <c r="M133" s="560" t="s">
        <v>13</v>
      </c>
      <c r="N133" s="560"/>
      <c r="O133" s="753">
        <v>29886.140291495798</v>
      </c>
      <c r="P133" s="753">
        <v>32684.968828523964</v>
      </c>
      <c r="Q133" s="753">
        <v>31266.798568937575</v>
      </c>
      <c r="R133" s="753">
        <v>30260.078871942118</v>
      </c>
      <c r="S133" s="753">
        <v>29253.359174946665</v>
      </c>
      <c r="T133" s="753">
        <v>25759.772689012549</v>
      </c>
      <c r="U133" s="753">
        <v>22266.186203078443</v>
      </c>
      <c r="V133" s="753">
        <v>20519.392960111392</v>
      </c>
      <c r="W133" s="753">
        <v>15279.013231210223</v>
      </c>
    </row>
    <row r="134" spans="2:34" outlineLevel="1" x14ac:dyDescent="0.3">
      <c r="B134" s="566" t="s">
        <v>387</v>
      </c>
      <c r="C134" s="559" t="s">
        <v>560</v>
      </c>
      <c r="D134" s="561">
        <f t="shared" si="34"/>
        <v>-198276.25302048167</v>
      </c>
      <c r="E134" s="561">
        <f t="shared" si="35"/>
        <v>-666988.47824637732</v>
      </c>
      <c r="F134" s="561">
        <f t="shared" si="36"/>
        <v>-1106340.1744805793</v>
      </c>
      <c r="G134" s="561">
        <f t="shared" si="37"/>
        <v>-1653602.9587947784</v>
      </c>
      <c r="H134" s="561">
        <f t="shared" si="38"/>
        <v>-1730140.1768325195</v>
      </c>
      <c r="I134" s="561">
        <f t="shared" si="39"/>
        <v>-1806677.394870261</v>
      </c>
      <c r="J134" s="561">
        <f t="shared" si="40"/>
        <v>-1957789.1690093018</v>
      </c>
      <c r="K134" s="561">
        <f t="shared" si="41"/>
        <v>-1959751.8309457432</v>
      </c>
      <c r="M134" s="566" t="s">
        <v>387</v>
      </c>
      <c r="N134" s="566" t="s">
        <v>560</v>
      </c>
      <c r="O134" s="753">
        <v>2313334.9427366722</v>
      </c>
      <c r="P134" s="753">
        <v>2196370.4249105351</v>
      </c>
      <c r="Q134" s="753">
        <v>1986918.7766279592</v>
      </c>
      <c r="R134" s="753">
        <v>1710274.5441133208</v>
      </c>
      <c r="S134" s="753">
        <v>1433630.3115986825</v>
      </c>
      <c r="T134" s="753">
        <v>1207943.9813583419</v>
      </c>
      <c r="U134" s="753">
        <v>982257.6511180012</v>
      </c>
      <c r="V134" s="753">
        <v>756571.32087766053</v>
      </c>
      <c r="W134" s="753">
        <v>530884.99063731998</v>
      </c>
    </row>
    <row r="135" spans="2:34" outlineLevel="1" x14ac:dyDescent="0.3">
      <c r="B135" s="542" t="s">
        <v>911</v>
      </c>
      <c r="C135" s="541"/>
      <c r="D135" s="540">
        <v>2015</v>
      </c>
      <c r="E135" s="540">
        <v>2020</v>
      </c>
      <c r="F135" s="540">
        <v>2025</v>
      </c>
      <c r="G135" s="540">
        <v>2030</v>
      </c>
      <c r="H135" s="540">
        <v>2035</v>
      </c>
      <c r="I135" s="540">
        <v>2040</v>
      </c>
      <c r="J135" s="540">
        <v>2045</v>
      </c>
      <c r="K135" s="540">
        <v>2050</v>
      </c>
      <c r="M135" s="542" t="s">
        <v>911</v>
      </c>
      <c r="N135" s="542"/>
      <c r="O135" s="540">
        <v>2010</v>
      </c>
      <c r="P135" s="540">
        <v>2015</v>
      </c>
      <c r="Q135" s="540">
        <v>2020</v>
      </c>
      <c r="R135" s="540">
        <v>2025</v>
      </c>
      <c r="S135" s="540">
        <v>2030</v>
      </c>
      <c r="T135" s="540">
        <v>2035</v>
      </c>
      <c r="U135" s="540">
        <v>2040</v>
      </c>
      <c r="V135" s="540">
        <v>2045</v>
      </c>
      <c r="W135" s="540">
        <v>2050</v>
      </c>
      <c r="Y135" s="763"/>
      <c r="Z135" s="763"/>
      <c r="AA135" s="763"/>
      <c r="AB135" s="763"/>
      <c r="AC135" s="763"/>
      <c r="AD135" s="763"/>
      <c r="AE135" s="763"/>
      <c r="AF135" s="763"/>
      <c r="AG135" s="763"/>
      <c r="AH135" s="519"/>
    </row>
    <row r="136" spans="2:34" outlineLevel="1" x14ac:dyDescent="0.3">
      <c r="B136" s="557" t="s">
        <v>591</v>
      </c>
      <c r="C136" s="565"/>
      <c r="M136" s="557" t="s">
        <v>591</v>
      </c>
      <c r="N136" s="557"/>
      <c r="O136" s="564"/>
      <c r="P136" s="564"/>
      <c r="Q136" s="564"/>
      <c r="R136" s="564"/>
      <c r="S136" s="564"/>
      <c r="T136" s="564"/>
      <c r="U136" s="564"/>
      <c r="V136" s="564"/>
      <c r="W136" s="564"/>
      <c r="Y136" s="519"/>
      <c r="Z136" s="519"/>
      <c r="AA136" s="519"/>
      <c r="AB136" s="756"/>
      <c r="AC136" s="519"/>
      <c r="AD136" s="756"/>
      <c r="AE136" s="519"/>
      <c r="AF136" s="519"/>
      <c r="AG136" s="519"/>
      <c r="AH136" s="519"/>
    </row>
    <row r="137" spans="2:34" outlineLevel="1" x14ac:dyDescent="0.3">
      <c r="B137" s="563" t="s">
        <v>248</v>
      </c>
      <c r="C137" s="553" t="s">
        <v>566</v>
      </c>
      <c r="D137" s="562">
        <f t="shared" ref="D137:D149" si="42">P137-D17</f>
        <v>0</v>
      </c>
      <c r="E137" s="562">
        <f t="shared" ref="E137:E149" si="43">Q137-E17</f>
        <v>0.97696132426695925</v>
      </c>
      <c r="F137" s="562">
        <f t="shared" ref="F137:F149" si="44">R137-F17</f>
        <v>12.468583413732834</v>
      </c>
      <c r="G137" s="562">
        <f t="shared" ref="G137:G149" si="45">S137-G17</f>
        <v>23.960205503198711</v>
      </c>
      <c r="H137" s="562">
        <f t="shared" ref="H137:H149" si="46">T137-H17</f>
        <v>27.992368006869523</v>
      </c>
      <c r="I137" s="562">
        <f t="shared" ref="I137:I149" si="47">U137-I17</f>
        <v>32.024530510540345</v>
      </c>
      <c r="J137" s="562">
        <f t="shared" ref="J137:J149" si="48">V137-J17</f>
        <v>34.040611762375747</v>
      </c>
      <c r="K137" s="562">
        <f t="shared" ref="K137:K149" si="49">W137-K17</f>
        <v>40.088855517881967</v>
      </c>
      <c r="M137" s="563" t="s">
        <v>248</v>
      </c>
      <c r="N137" s="553" t="s">
        <v>566</v>
      </c>
      <c r="O137" s="875">
        <v>5.3566697057196722</v>
      </c>
      <c r="P137" s="875">
        <v>6.0944376962663815</v>
      </c>
      <c r="Q137" s="875">
        <v>8.4118292201506133</v>
      </c>
      <c r="R137" s="875">
        <v>22.965124683430751</v>
      </c>
      <c r="S137" s="875">
        <v>37.518420146710895</v>
      </c>
      <c r="T137" s="875">
        <v>45.836825539362529</v>
      </c>
      <c r="U137" s="875">
        <v>54.15523093201417</v>
      </c>
      <c r="V137" s="875">
        <v>58.314433628339991</v>
      </c>
      <c r="W137" s="760">
        <v>70.792041717317446</v>
      </c>
      <c r="Y137" s="760">
        <v>5.3566697057196722</v>
      </c>
      <c r="Z137" s="760">
        <v>5.0609153001992837</v>
      </c>
      <c r="AA137" s="760">
        <v>4.7651608946788953</v>
      </c>
      <c r="AB137" s="760">
        <v>12.881767949100508</v>
      </c>
      <c r="AC137" s="760">
        <v>20.998375003522124</v>
      </c>
      <c r="AD137" s="760">
        <v>26.910686636929775</v>
      </c>
      <c r="AE137" s="760">
        <v>32.822998270337429</v>
      </c>
      <c r="AF137" s="760">
        <v>35.779154087041249</v>
      </c>
      <c r="AG137" s="760">
        <v>44.64762153715273</v>
      </c>
      <c r="AH137" s="519"/>
    </row>
    <row r="138" spans="2:34" outlineLevel="1" x14ac:dyDescent="0.3">
      <c r="B138" s="563" t="s">
        <v>555</v>
      </c>
      <c r="C138" s="553" t="s">
        <v>566</v>
      </c>
      <c r="D138" s="562">
        <f t="shared" si="42"/>
        <v>0</v>
      </c>
      <c r="E138" s="562">
        <f t="shared" si="43"/>
        <v>-82.511382579845446</v>
      </c>
      <c r="F138" s="562">
        <f t="shared" si="44"/>
        <v>-141.08660608821728</v>
      </c>
      <c r="G138" s="562">
        <f t="shared" si="45"/>
        <v>-199.66182959658903</v>
      </c>
      <c r="H138" s="562">
        <f t="shared" si="46"/>
        <v>-202.23015809733101</v>
      </c>
      <c r="I138" s="562">
        <f t="shared" si="47"/>
        <v>-204.798486598073</v>
      </c>
      <c r="J138" s="562">
        <f t="shared" si="48"/>
        <v>-206.08265084844396</v>
      </c>
      <c r="K138" s="562">
        <f t="shared" si="49"/>
        <v>-209.93514359955699</v>
      </c>
      <c r="M138" s="563" t="s">
        <v>555</v>
      </c>
      <c r="N138" s="553" t="s">
        <v>566</v>
      </c>
      <c r="O138" s="875">
        <v>195.59164326990648</v>
      </c>
      <c r="P138" s="875">
        <v>217.10765827144212</v>
      </c>
      <c r="Q138" s="875">
        <v>211.59319922149925</v>
      </c>
      <c r="R138" s="875">
        <v>156.62113072613877</v>
      </c>
      <c r="S138" s="875">
        <v>101.64906223077834</v>
      </c>
      <c r="T138" s="875">
        <v>85.977525304377139</v>
      </c>
      <c r="U138" s="875">
        <v>70.305988377975936</v>
      </c>
      <c r="V138" s="875">
        <v>62.470219914775342</v>
      </c>
      <c r="W138" s="760">
        <v>38.962914525173552</v>
      </c>
      <c r="Y138" s="760">
        <v>195.59164326990648</v>
      </c>
      <c r="Z138" s="760">
        <v>203.59242124570287</v>
      </c>
      <c r="AA138" s="760">
        <v>211.59319922149925</v>
      </c>
      <c r="AB138" s="760">
        <v>154.25719904635326</v>
      </c>
      <c r="AC138" s="760">
        <v>96.921198871207267</v>
      </c>
      <c r="AD138" s="760">
        <v>82.431627784698833</v>
      </c>
      <c r="AE138" s="760">
        <v>67.942056698190413</v>
      </c>
      <c r="AF138" s="760">
        <v>60.697271154936196</v>
      </c>
      <c r="AG138" s="760">
        <v>38.962914525173552</v>
      </c>
      <c r="AH138" s="519"/>
    </row>
    <row r="139" spans="2:34" outlineLevel="1" x14ac:dyDescent="0.3">
      <c r="B139" s="563" t="s">
        <v>556</v>
      </c>
      <c r="C139" s="553" t="s">
        <v>566</v>
      </c>
      <c r="D139" s="562">
        <f t="shared" si="42"/>
        <v>0</v>
      </c>
      <c r="E139" s="562">
        <f t="shared" si="43"/>
        <v>-100.61953946820154</v>
      </c>
      <c r="F139" s="562">
        <f t="shared" si="44"/>
        <v>-190.83647734351598</v>
      </c>
      <c r="G139" s="562">
        <f t="shared" si="45"/>
        <v>-281.05341521883042</v>
      </c>
      <c r="H139" s="562">
        <f t="shared" si="46"/>
        <v>-327.49347323331227</v>
      </c>
      <c r="I139" s="562">
        <f t="shared" si="47"/>
        <v>-373.93353124779401</v>
      </c>
      <c r="J139" s="562">
        <f t="shared" si="48"/>
        <v>-397.1535602550349</v>
      </c>
      <c r="K139" s="562">
        <f t="shared" si="49"/>
        <v>-466.81364727675748</v>
      </c>
      <c r="M139" s="563" t="s">
        <v>556</v>
      </c>
      <c r="N139" s="553" t="s">
        <v>566</v>
      </c>
      <c r="O139" s="875">
        <v>338.96951081210364</v>
      </c>
      <c r="P139" s="875">
        <v>343.69559407712347</v>
      </c>
      <c r="Q139" s="875">
        <v>290.43081551656394</v>
      </c>
      <c r="R139" s="875">
        <v>271.01059731957002</v>
      </c>
      <c r="S139" s="875">
        <v>251.59037912257611</v>
      </c>
      <c r="T139" s="875">
        <v>216.78607542978403</v>
      </c>
      <c r="U139" s="875">
        <v>181.98177173699196</v>
      </c>
      <c r="V139" s="875">
        <v>164.57961989059592</v>
      </c>
      <c r="W139" s="760">
        <v>112.37316435140782</v>
      </c>
      <c r="Y139" s="760">
        <v>338.96951081210364</v>
      </c>
      <c r="Z139" s="760">
        <v>314.70016316433379</v>
      </c>
      <c r="AA139" s="760">
        <v>290.43081551656394</v>
      </c>
      <c r="AB139" s="760">
        <v>269.2660337830136</v>
      </c>
      <c r="AC139" s="760">
        <v>248.1012520494632</v>
      </c>
      <c r="AD139" s="760">
        <v>214.16923012494937</v>
      </c>
      <c r="AE139" s="760">
        <v>180.2372082004355</v>
      </c>
      <c r="AF139" s="760">
        <v>163.27119723817859</v>
      </c>
      <c r="AG139" s="760">
        <v>112.37316435140782</v>
      </c>
      <c r="AH139" s="519"/>
    </row>
    <row r="140" spans="2:34" outlineLevel="1" x14ac:dyDescent="0.3">
      <c r="B140" s="563" t="s">
        <v>561</v>
      </c>
      <c r="C140" s="553" t="s">
        <v>566</v>
      </c>
      <c r="D140" s="562">
        <f t="shared" si="42"/>
        <v>0</v>
      </c>
      <c r="E140" s="562">
        <f t="shared" si="43"/>
        <v>11.197706782246112</v>
      </c>
      <c r="F140" s="562">
        <f t="shared" si="44"/>
        <v>17.279150966252615</v>
      </c>
      <c r="G140" s="562">
        <f t="shared" si="45"/>
        <v>23.360595150259112</v>
      </c>
      <c r="H140" s="562">
        <f t="shared" si="46"/>
        <v>16.564050740484536</v>
      </c>
      <c r="I140" s="562">
        <f t="shared" si="47"/>
        <v>9.7675063307099705</v>
      </c>
      <c r="J140" s="562">
        <f t="shared" si="48"/>
        <v>6.369234125822679</v>
      </c>
      <c r="K140" s="562">
        <f t="shared" si="49"/>
        <v>-3.8255824888391814</v>
      </c>
      <c r="M140" s="563" t="s">
        <v>561</v>
      </c>
      <c r="N140" s="553" t="s">
        <v>566</v>
      </c>
      <c r="O140" s="875">
        <v>0</v>
      </c>
      <c r="P140" s="875">
        <v>5.9721236893675345</v>
      </c>
      <c r="Q140" s="875">
        <v>18.226151998668623</v>
      </c>
      <c r="R140" s="875">
        <v>34.694354206815518</v>
      </c>
      <c r="S140" s="875">
        <v>51.16255641496241</v>
      </c>
      <c r="T140" s="875">
        <v>47.019098164727779</v>
      </c>
      <c r="U140" s="875">
        <v>42.875639914493156</v>
      </c>
      <c r="V140" s="875">
        <v>40.803910789375841</v>
      </c>
      <c r="W140" s="760">
        <v>34.588723414023903</v>
      </c>
      <c r="Y140" s="760">
        <v>0</v>
      </c>
      <c r="Z140" s="760">
        <v>9.1130759993343116</v>
      </c>
      <c r="AA140" s="760">
        <v>18.226151998668623</v>
      </c>
      <c r="AB140" s="760">
        <v>34.00083613097609</v>
      </c>
      <c r="AC140" s="760">
        <v>49.775520263283553</v>
      </c>
      <c r="AD140" s="760">
        <v>45.978821050968634</v>
      </c>
      <c r="AE140" s="760">
        <v>42.182121838653721</v>
      </c>
      <c r="AF140" s="760">
        <v>40.283772232496268</v>
      </c>
      <c r="AG140" s="760">
        <v>34.588723414023903</v>
      </c>
      <c r="AH140" s="519"/>
    </row>
    <row r="141" spans="2:34" outlineLevel="1" x14ac:dyDescent="0.3">
      <c r="B141" s="563" t="s">
        <v>557</v>
      </c>
      <c r="C141" s="553" t="s">
        <v>566</v>
      </c>
      <c r="D141" s="562">
        <f t="shared" si="42"/>
        <v>0</v>
      </c>
      <c r="E141" s="562">
        <f t="shared" si="43"/>
        <v>-1.2719750315033558</v>
      </c>
      <c r="F141" s="562">
        <f t="shared" si="44"/>
        <v>4.3402579477090342</v>
      </c>
      <c r="G141" s="562">
        <f t="shared" si="45"/>
        <v>9.9524909269214277</v>
      </c>
      <c r="H141" s="562">
        <f t="shared" si="46"/>
        <v>3.5117211760106279</v>
      </c>
      <c r="I141" s="562">
        <f t="shared" si="47"/>
        <v>-2.9290485749001789</v>
      </c>
      <c r="J141" s="562">
        <f t="shared" si="48"/>
        <v>-6.1494334503555805</v>
      </c>
      <c r="K141" s="562">
        <f t="shared" si="49"/>
        <v>-15.810588076721782</v>
      </c>
      <c r="M141" s="563" t="s">
        <v>557</v>
      </c>
      <c r="N141" s="553" t="s">
        <v>566</v>
      </c>
      <c r="O141" s="875">
        <v>0</v>
      </c>
      <c r="P141" s="875">
        <v>12.889595659473171</v>
      </c>
      <c r="Q141" s="875">
        <v>24.001963276262643</v>
      </c>
      <c r="R141" s="875">
        <v>31.218494832523422</v>
      </c>
      <c r="S141" s="875">
        <v>38.435026388784202</v>
      </c>
      <c r="T141" s="875">
        <v>32.076076937516341</v>
      </c>
      <c r="U141" s="875">
        <v>25.717127486248479</v>
      </c>
      <c r="V141" s="875">
        <v>22.537652760614545</v>
      </c>
      <c r="W141" s="760">
        <v>12.999228583712757</v>
      </c>
      <c r="Y141" s="760">
        <v>0</v>
      </c>
      <c r="Z141" s="760">
        <v>13.121103551724419</v>
      </c>
      <c r="AA141" s="760">
        <v>26.242207103448838</v>
      </c>
      <c r="AB141" s="760">
        <v>33.155034878838826</v>
      </c>
      <c r="AC141" s="760">
        <v>40.067862654228826</v>
      </c>
      <c r="AD141" s="760">
        <v>33.604027673696095</v>
      </c>
      <c r="AE141" s="760">
        <v>27.140192693163367</v>
      </c>
      <c r="AF141" s="760">
        <v>23.908275202897002</v>
      </c>
      <c r="AG141" s="760">
        <v>14.212522732097911</v>
      </c>
      <c r="AH141" s="519"/>
    </row>
    <row r="142" spans="2:34" outlineLevel="1" x14ac:dyDescent="0.3">
      <c r="B142" s="563" t="s">
        <v>558</v>
      </c>
      <c r="C142" s="553" t="s">
        <v>566</v>
      </c>
      <c r="D142" s="562">
        <f t="shared" si="42"/>
        <v>0</v>
      </c>
      <c r="E142" s="562">
        <f t="shared" si="43"/>
        <v>-48.730203855408519</v>
      </c>
      <c r="F142" s="562">
        <f t="shared" si="44"/>
        <v>-62.140696588573199</v>
      </c>
      <c r="G142" s="562">
        <f t="shared" si="45"/>
        <v>-75.55118932173788</v>
      </c>
      <c r="H142" s="562">
        <f t="shared" si="46"/>
        <v>-73.839234341694677</v>
      </c>
      <c r="I142" s="562">
        <f t="shared" si="47"/>
        <v>-72.127279361651489</v>
      </c>
      <c r="J142" s="562">
        <f t="shared" si="48"/>
        <v>-71.271301871629902</v>
      </c>
      <c r="K142" s="562">
        <f t="shared" si="49"/>
        <v>-68.703369401565098</v>
      </c>
      <c r="M142" s="563" t="s">
        <v>558</v>
      </c>
      <c r="N142" s="553" t="s">
        <v>566</v>
      </c>
      <c r="O142" s="875">
        <v>0</v>
      </c>
      <c r="P142" s="875">
        <v>9.2053503361088449</v>
      </c>
      <c r="Q142" s="875">
        <v>3.8262287149484462</v>
      </c>
      <c r="R142" s="875">
        <v>1.9131143574742231</v>
      </c>
      <c r="S142" s="875">
        <v>0</v>
      </c>
      <c r="T142" s="875">
        <v>0</v>
      </c>
      <c r="U142" s="875">
        <v>0</v>
      </c>
      <c r="V142" s="875">
        <v>0</v>
      </c>
      <c r="W142" s="760">
        <v>0</v>
      </c>
      <c r="Y142" s="760">
        <v>0</v>
      </c>
      <c r="Z142" s="760">
        <v>1.9131143574742231</v>
      </c>
      <c r="AA142" s="760">
        <v>3.8262287149484462</v>
      </c>
      <c r="AB142" s="760">
        <v>1.9131143574742231</v>
      </c>
      <c r="AC142" s="760">
        <v>0</v>
      </c>
      <c r="AD142" s="760">
        <v>0</v>
      </c>
      <c r="AE142" s="760">
        <v>0</v>
      </c>
      <c r="AF142" s="760">
        <v>0</v>
      </c>
      <c r="AG142" s="760">
        <v>0</v>
      </c>
      <c r="AH142" s="519"/>
    </row>
    <row r="143" spans="2:34" outlineLevel="1" x14ac:dyDescent="0.3">
      <c r="B143" s="563" t="s">
        <v>559</v>
      </c>
      <c r="C143" s="553" t="s">
        <v>566</v>
      </c>
      <c r="D143" s="562">
        <f t="shared" si="42"/>
        <v>18.642009406927567</v>
      </c>
      <c r="E143" s="562">
        <f t="shared" si="43"/>
        <v>57.023095579094132</v>
      </c>
      <c r="F143" s="562">
        <f t="shared" si="44"/>
        <v>119.66384437008584</v>
      </c>
      <c r="G143" s="562">
        <f t="shared" si="45"/>
        <v>182.30459316107752</v>
      </c>
      <c r="H143" s="562">
        <f t="shared" si="46"/>
        <v>179.43661475111196</v>
      </c>
      <c r="I143" s="562">
        <f t="shared" si="47"/>
        <v>176.5686363411464</v>
      </c>
      <c r="J143" s="562">
        <f t="shared" si="48"/>
        <v>175.13464713616361</v>
      </c>
      <c r="K143" s="562">
        <f t="shared" si="49"/>
        <v>170.83267952121525</v>
      </c>
      <c r="M143" s="563" t="s">
        <v>559</v>
      </c>
      <c r="N143" s="553" t="s">
        <v>566</v>
      </c>
      <c r="O143" s="875">
        <v>0</v>
      </c>
      <c r="P143" s="875">
        <v>18.642009406927567</v>
      </c>
      <c r="Q143" s="875">
        <v>57.023095579094132</v>
      </c>
      <c r="R143" s="875">
        <v>119.66384437008584</v>
      </c>
      <c r="S143" s="875">
        <v>182.30459316107752</v>
      </c>
      <c r="T143" s="875">
        <v>179.43661475111196</v>
      </c>
      <c r="U143" s="875">
        <v>176.5686363411464</v>
      </c>
      <c r="V143" s="875">
        <v>175.13464713616361</v>
      </c>
      <c r="W143" s="760">
        <v>170.83267952121525</v>
      </c>
      <c r="Y143" s="760">
        <v>0</v>
      </c>
      <c r="Z143" s="760">
        <v>28.511547789547066</v>
      </c>
      <c r="AA143" s="760">
        <v>57.023095579094132</v>
      </c>
      <c r="AB143" s="760">
        <v>117.34811099148855</v>
      </c>
      <c r="AC143" s="760">
        <v>177.67312640388297</v>
      </c>
      <c r="AD143" s="760">
        <v>175.96301468321604</v>
      </c>
      <c r="AE143" s="760">
        <v>174.25290296254911</v>
      </c>
      <c r="AF143" s="760">
        <v>173.39784710221565</v>
      </c>
      <c r="AG143" s="760">
        <v>170.83267952121525</v>
      </c>
      <c r="AH143" s="519"/>
    </row>
    <row r="144" spans="2:34" outlineLevel="1" x14ac:dyDescent="0.3">
      <c r="B144" s="560" t="s">
        <v>13</v>
      </c>
      <c r="C144" s="553" t="s">
        <v>566</v>
      </c>
      <c r="D144" s="562">
        <f t="shared" si="42"/>
        <v>18.642009406927627</v>
      </c>
      <c r="E144" s="562">
        <f t="shared" si="43"/>
        <v>-163.93533724935162</v>
      </c>
      <c r="F144" s="562">
        <f t="shared" si="44"/>
        <v>-240.31194332252619</v>
      </c>
      <c r="G144" s="562">
        <f t="shared" si="45"/>
        <v>-316.68854939570053</v>
      </c>
      <c r="H144" s="562">
        <f t="shared" si="46"/>
        <v>-376.05811099786138</v>
      </c>
      <c r="I144" s="562">
        <f t="shared" si="47"/>
        <v>-435.42767260002199</v>
      </c>
      <c r="J144" s="562">
        <f t="shared" si="48"/>
        <v>-465.11245340110236</v>
      </c>
      <c r="K144" s="562">
        <f t="shared" si="49"/>
        <v>-554.16679580434322</v>
      </c>
      <c r="M144" s="560" t="s">
        <v>13</v>
      </c>
      <c r="N144" s="553" t="s">
        <v>566</v>
      </c>
      <c r="O144" s="876">
        <v>539.91782378772973</v>
      </c>
      <c r="P144" s="876">
        <v>613.6067691367092</v>
      </c>
      <c r="Q144" s="876">
        <v>613.5132835271877</v>
      </c>
      <c r="R144" s="876">
        <v>638.08666049603846</v>
      </c>
      <c r="S144" s="876">
        <v>662.66003746488946</v>
      </c>
      <c r="T144" s="876">
        <v>607.13221612687983</v>
      </c>
      <c r="U144" s="876">
        <v>551.60439478887008</v>
      </c>
      <c r="V144" s="876">
        <v>523.84048411986521</v>
      </c>
      <c r="W144" s="760">
        <v>440.54875211285071</v>
      </c>
      <c r="Y144" s="760">
        <v>539.91782378772973</v>
      </c>
      <c r="Z144" s="760">
        <v>576.01234140831605</v>
      </c>
      <c r="AA144" s="760">
        <v>612.10685902890214</v>
      </c>
      <c r="AB144" s="760">
        <v>622.82209713724501</v>
      </c>
      <c r="AC144" s="760">
        <v>633.53733524558788</v>
      </c>
      <c r="AD144" s="760">
        <v>579.05740795445877</v>
      </c>
      <c r="AE144" s="760">
        <v>524.57748066332965</v>
      </c>
      <c r="AF144" s="760">
        <v>497.33751701776498</v>
      </c>
      <c r="AG144" s="760">
        <v>415.61762608107119</v>
      </c>
      <c r="AH144" s="519"/>
    </row>
    <row r="145" spans="1:34" outlineLevel="1" x14ac:dyDescent="0.3">
      <c r="B145" s="539" t="s">
        <v>590</v>
      </c>
      <c r="C145" s="553" t="s">
        <v>566</v>
      </c>
      <c r="D145" s="562">
        <f t="shared" si="42"/>
        <v>0</v>
      </c>
      <c r="E145" s="562">
        <f t="shared" si="43"/>
        <v>-131.40227599767792</v>
      </c>
      <c r="F145" s="562">
        <f t="shared" si="44"/>
        <v>-210.15543752287164</v>
      </c>
      <c r="G145" s="562">
        <f t="shared" si="45"/>
        <v>-288.90859904806553</v>
      </c>
      <c r="H145" s="562">
        <f t="shared" si="46"/>
        <v>-302.3840377096754</v>
      </c>
      <c r="I145" s="562">
        <f t="shared" si="47"/>
        <v>-315.85947637128533</v>
      </c>
      <c r="J145" s="562">
        <f t="shared" si="48"/>
        <v>-322.59719570209023</v>
      </c>
      <c r="K145" s="562">
        <f t="shared" si="49"/>
        <v>-342.81035369450512</v>
      </c>
      <c r="M145" s="539" t="s">
        <v>590</v>
      </c>
      <c r="N145" s="553" t="s">
        <v>566</v>
      </c>
      <c r="O145" s="875">
        <v>328.75411424651969</v>
      </c>
      <c r="P145" s="875">
        <v>357.86818092902763</v>
      </c>
      <c r="Q145" s="875">
        <v>328.78709597685344</v>
      </c>
      <c r="R145" s="875">
        <v>291.09614688657922</v>
      </c>
      <c r="S145" s="875">
        <v>253.40519779630495</v>
      </c>
      <c r="T145" s="875">
        <v>213.26605019096695</v>
      </c>
      <c r="U145" s="875">
        <v>173.12690258562895</v>
      </c>
      <c r="V145" s="875">
        <v>153.05732878295998</v>
      </c>
      <c r="W145" s="760">
        <v>92.848607374953005</v>
      </c>
      <c r="Y145" s="760">
        <v>328.75411424651969</v>
      </c>
      <c r="Z145" s="760">
        <v>328.6246465001019</v>
      </c>
      <c r="AA145" s="760">
        <v>328.49517875368406</v>
      </c>
      <c r="AB145" s="760">
        <v>287.15149354368936</v>
      </c>
      <c r="AC145" s="760">
        <v>245.80780833369477</v>
      </c>
      <c r="AD145" s="760">
        <v>207.56800809400931</v>
      </c>
      <c r="AE145" s="760">
        <v>169.32820785432386</v>
      </c>
      <c r="AF145" s="760">
        <v>150.20830773448114</v>
      </c>
      <c r="AG145" s="760">
        <v>92.848607374953005</v>
      </c>
      <c r="AH145" s="519"/>
    </row>
    <row r="146" spans="1:34" outlineLevel="1" x14ac:dyDescent="0.3">
      <c r="A146" s="1" t="s">
        <v>7</v>
      </c>
      <c r="B146" s="539" t="s">
        <v>562</v>
      </c>
      <c r="C146" s="553" t="s">
        <v>566</v>
      </c>
      <c r="D146" s="562">
        <f t="shared" si="42"/>
        <v>0</v>
      </c>
      <c r="E146" s="562">
        <f t="shared" si="43"/>
        <v>-24.669462184476842</v>
      </c>
      <c r="F146" s="562">
        <f t="shared" si="44"/>
        <v>-34.093058738835452</v>
      </c>
      <c r="G146" s="562">
        <f t="shared" si="45"/>
        <v>-43.516655293194091</v>
      </c>
      <c r="H146" s="562">
        <f t="shared" si="46"/>
        <v>-50.174997653390832</v>
      </c>
      <c r="I146" s="562">
        <f t="shared" si="47"/>
        <v>-56.833340013587588</v>
      </c>
      <c r="J146" s="562">
        <f t="shared" si="48"/>
        <v>-60.162511193685944</v>
      </c>
      <c r="K146" s="562">
        <f t="shared" si="49"/>
        <v>-70.150024733981041</v>
      </c>
      <c r="M146" s="539" t="s">
        <v>562</v>
      </c>
      <c r="N146" s="553" t="s">
        <v>566</v>
      </c>
      <c r="O146" s="875">
        <v>92.212805344245041</v>
      </c>
      <c r="P146" s="875">
        <v>97.21862290027066</v>
      </c>
      <c r="Q146" s="875">
        <v>95.639139253253674</v>
      </c>
      <c r="R146" s="875">
        <v>91.558511637560429</v>
      </c>
      <c r="S146" s="875">
        <v>87.477884021867183</v>
      </c>
      <c r="T146" s="875">
        <v>78.223443082308009</v>
      </c>
      <c r="U146" s="875">
        <v>68.96900214274882</v>
      </c>
      <c r="V146" s="875">
        <v>64.341781672969248</v>
      </c>
      <c r="W146" s="760">
        <v>50.460120263630479</v>
      </c>
      <c r="Y146" s="760">
        <v>92.212805344245041</v>
      </c>
      <c r="Z146" s="760">
        <v>93.562194856656305</v>
      </c>
      <c r="AA146" s="760">
        <v>94.911584369067569</v>
      </c>
      <c r="AB146" s="760">
        <v>87.69380582661968</v>
      </c>
      <c r="AC146" s="760">
        <v>80.476027284171778</v>
      </c>
      <c r="AD146" s="760">
        <v>71.276819856837221</v>
      </c>
      <c r="AE146" s="760">
        <v>62.077612429502643</v>
      </c>
      <c r="AF146" s="760">
        <v>57.478008715835365</v>
      </c>
      <c r="AG146" s="760">
        <v>43.679197574833509</v>
      </c>
      <c r="AH146" s="519"/>
    </row>
    <row r="147" spans="1:34" outlineLevel="1" x14ac:dyDescent="0.3">
      <c r="B147" s="539" t="s">
        <v>563</v>
      </c>
      <c r="C147" s="553" t="s">
        <v>566</v>
      </c>
      <c r="D147" s="562">
        <f t="shared" si="42"/>
        <v>0</v>
      </c>
      <c r="E147" s="562">
        <f t="shared" si="43"/>
        <v>-16.491229857361866</v>
      </c>
      <c r="F147" s="562">
        <f t="shared" si="44"/>
        <v>-25.278052673625901</v>
      </c>
      <c r="G147" s="562">
        <f t="shared" si="45"/>
        <v>-34.064875489889914</v>
      </c>
      <c r="H147" s="562">
        <f t="shared" si="46"/>
        <v>-40.405047900473079</v>
      </c>
      <c r="I147" s="562">
        <f t="shared" si="47"/>
        <v>-46.745220311056229</v>
      </c>
      <c r="J147" s="562">
        <f t="shared" si="48"/>
        <v>-49.915306516347812</v>
      </c>
      <c r="K147" s="562">
        <f t="shared" si="49"/>
        <v>-59.425565132222545</v>
      </c>
      <c r="M147" s="539" t="s">
        <v>563</v>
      </c>
      <c r="N147" s="553" t="s">
        <v>566</v>
      </c>
      <c r="O147" s="875">
        <v>53.456115408201015</v>
      </c>
      <c r="P147" s="875">
        <v>60.751233144044271</v>
      </c>
      <c r="Q147" s="875">
        <v>60.510145430703709</v>
      </c>
      <c r="R147" s="875">
        <v>61.512153581260783</v>
      </c>
      <c r="S147" s="875">
        <v>62.514161731817865</v>
      </c>
      <c r="T147" s="875">
        <v>56.129539058751732</v>
      </c>
      <c r="U147" s="875">
        <v>49.744916385685599</v>
      </c>
      <c r="V147" s="875">
        <v>46.552605049152533</v>
      </c>
      <c r="W147" s="760">
        <v>36.975671039553333</v>
      </c>
      <c r="Y147" s="760">
        <v>53.456115408201015</v>
      </c>
      <c r="Z147" s="760">
        <v>57.095142610811671</v>
      </c>
      <c r="AA147" s="760">
        <v>60.734169813422326</v>
      </c>
      <c r="AB147" s="760">
        <v>60.994032918814455</v>
      </c>
      <c r="AC147" s="760">
        <v>61.253896024206583</v>
      </c>
      <c r="AD147" s="760">
        <v>55.214672131752899</v>
      </c>
      <c r="AE147" s="760">
        <v>49.175448239299214</v>
      </c>
      <c r="AF147" s="760">
        <v>46.155836293072376</v>
      </c>
      <c r="AG147" s="760">
        <v>37.097000454391846</v>
      </c>
      <c r="AH147" s="519"/>
    </row>
    <row r="148" spans="1:34" outlineLevel="1" x14ac:dyDescent="0.3">
      <c r="B148" s="539" t="s">
        <v>564</v>
      </c>
      <c r="C148" s="553" t="s">
        <v>566</v>
      </c>
      <c r="D148" s="562">
        <f t="shared" si="42"/>
        <v>0</v>
      </c>
      <c r="E148" s="562">
        <f t="shared" si="43"/>
        <v>205.19499999999999</v>
      </c>
      <c r="F148" s="562">
        <f t="shared" si="44"/>
        <v>267.04250000000002</v>
      </c>
      <c r="G148" s="562">
        <f t="shared" si="45"/>
        <v>328.89</v>
      </c>
      <c r="H148" s="562">
        <f t="shared" si="46"/>
        <v>353.85250000000002</v>
      </c>
      <c r="I148" s="562">
        <f t="shared" si="47"/>
        <v>380.69374999999997</v>
      </c>
      <c r="J148" s="562">
        <f t="shared" si="48"/>
        <v>409.59840624999998</v>
      </c>
      <c r="K148" s="562">
        <f t="shared" si="49"/>
        <v>440.58669296874996</v>
      </c>
      <c r="M148" s="539" t="s">
        <v>564</v>
      </c>
      <c r="N148" s="553" t="s">
        <v>566</v>
      </c>
      <c r="O148" s="875">
        <v>3.5</v>
      </c>
      <c r="P148" s="875">
        <v>102.3</v>
      </c>
      <c r="Q148" s="875">
        <v>209.5</v>
      </c>
      <c r="R148" s="875">
        <v>271.75</v>
      </c>
      <c r="S148" s="875">
        <v>334</v>
      </c>
      <c r="T148" s="875">
        <v>359.05</v>
      </c>
      <c r="U148" s="875">
        <v>385.97874999999999</v>
      </c>
      <c r="V148" s="875">
        <v>414.92715625</v>
      </c>
      <c r="W148" s="760">
        <v>446.04669296874994</v>
      </c>
      <c r="Y148" s="760">
        <v>3.5</v>
      </c>
      <c r="Z148" s="760">
        <v>0</v>
      </c>
      <c r="AA148" s="760">
        <v>209.5</v>
      </c>
      <c r="AB148" s="760">
        <v>283.75</v>
      </c>
      <c r="AC148" s="760">
        <v>358</v>
      </c>
      <c r="AD148" s="760">
        <v>384.85</v>
      </c>
      <c r="AE148" s="760">
        <v>413.71375</v>
      </c>
      <c r="AF148" s="760">
        <v>444.74228125000002</v>
      </c>
      <c r="AG148" s="760">
        <v>478.09795234374997</v>
      </c>
      <c r="AH148" s="519"/>
    </row>
    <row r="149" spans="1:34" outlineLevel="1" x14ac:dyDescent="0.3">
      <c r="B149" s="539" t="s">
        <v>565</v>
      </c>
      <c r="C149" s="553" t="s">
        <v>566</v>
      </c>
      <c r="D149" s="562">
        <f t="shared" si="42"/>
        <v>0</v>
      </c>
      <c r="E149" s="562">
        <f t="shared" si="43"/>
        <v>73.792724002322188</v>
      </c>
      <c r="F149" s="562">
        <f t="shared" si="44"/>
        <v>56.887062477128381</v>
      </c>
      <c r="G149" s="562">
        <f t="shared" si="45"/>
        <v>39.981400951934461</v>
      </c>
      <c r="H149" s="562">
        <f t="shared" si="46"/>
        <v>51.468462290324624</v>
      </c>
      <c r="I149" s="562">
        <f t="shared" si="47"/>
        <v>64.834273628714641</v>
      </c>
      <c r="J149" s="562">
        <f t="shared" si="48"/>
        <v>87.001210547909693</v>
      </c>
      <c r="K149" s="562">
        <f t="shared" si="49"/>
        <v>97.776339274244776</v>
      </c>
      <c r="M149" s="539" t="s">
        <v>565</v>
      </c>
      <c r="N149" s="553" t="s">
        <v>566</v>
      </c>
      <c r="O149" s="875">
        <v>332.25411424651969</v>
      </c>
      <c r="P149" s="875">
        <v>409.01818092902761</v>
      </c>
      <c r="Q149" s="875">
        <v>538.28709597685349</v>
      </c>
      <c r="R149" s="875">
        <v>562.84614688657928</v>
      </c>
      <c r="S149" s="875">
        <v>587.40519779630495</v>
      </c>
      <c r="T149" s="875">
        <v>572.31605019096696</v>
      </c>
      <c r="U149" s="875">
        <v>559.10565258562895</v>
      </c>
      <c r="V149" s="875">
        <v>567.98448503295992</v>
      </c>
      <c r="W149" s="760">
        <v>538.89530034370296</v>
      </c>
      <c r="Y149" s="760">
        <v>332.25411424651969</v>
      </c>
      <c r="Z149" s="760">
        <v>328.6246465001019</v>
      </c>
      <c r="AA149" s="760">
        <v>537.99517875368406</v>
      </c>
      <c r="AB149" s="760">
        <v>570.90149354368941</v>
      </c>
      <c r="AC149" s="760">
        <v>603.80780833369465</v>
      </c>
      <c r="AD149" s="760">
        <v>592.41800809400922</v>
      </c>
      <c r="AE149" s="760">
        <v>583.04195785432387</v>
      </c>
      <c r="AF149" s="760">
        <v>594.95058898448121</v>
      </c>
      <c r="AG149" s="760">
        <v>570.94655971870304</v>
      </c>
      <c r="AH149" s="519"/>
    </row>
    <row r="150" spans="1:34" outlineLevel="1" x14ac:dyDescent="0.3">
      <c r="B150" s="542"/>
      <c r="C150" s="541" t="s">
        <v>293</v>
      </c>
      <c r="D150" s="540">
        <v>2015</v>
      </c>
      <c r="E150" s="540">
        <v>2020</v>
      </c>
      <c r="F150" s="540">
        <v>2025</v>
      </c>
      <c r="G150" s="540">
        <v>2030</v>
      </c>
      <c r="H150" s="540">
        <v>2035</v>
      </c>
      <c r="I150" s="540">
        <v>2040</v>
      </c>
      <c r="J150" s="540">
        <v>2045</v>
      </c>
      <c r="K150" s="540">
        <v>2050</v>
      </c>
      <c r="M150" s="566"/>
      <c r="N150" s="566"/>
      <c r="O150" s="540"/>
      <c r="P150" s="540"/>
      <c r="Q150" s="540"/>
      <c r="R150" s="540"/>
      <c r="S150" s="540"/>
      <c r="T150" s="540"/>
      <c r="U150" s="540"/>
      <c r="V150" s="540"/>
      <c r="W150" s="755"/>
      <c r="Y150" s="519"/>
      <c r="Z150" s="519"/>
      <c r="AA150" s="519"/>
      <c r="AB150" s="756"/>
      <c r="AC150" s="519"/>
      <c r="AD150" s="756"/>
      <c r="AE150" s="519"/>
      <c r="AF150" s="519"/>
      <c r="AG150" s="519"/>
      <c r="AH150" s="519"/>
    </row>
    <row r="151" spans="1:34" outlineLevel="1" x14ac:dyDescent="0.3">
      <c r="B151" s="556" t="s">
        <v>45</v>
      </c>
      <c r="C151" s="556" t="s">
        <v>566</v>
      </c>
      <c r="D151" s="562">
        <f t="shared" ref="D151:D179" si="50">P151-D31</f>
        <v>0</v>
      </c>
      <c r="E151" s="562">
        <f t="shared" ref="E151:E179" si="51">Q151-E31</f>
        <v>-2.9284742368984098</v>
      </c>
      <c r="F151" s="562">
        <f t="shared" ref="F151:F179" si="52">R151-F31</f>
        <v>-52.051080561955018</v>
      </c>
      <c r="G151" s="562">
        <f t="shared" ref="G151:G179" si="53">S151-G31</f>
        <v>-111.37777169760852</v>
      </c>
      <c r="H151" s="562">
        <f t="shared" ref="H151:H179" si="54">T151-H31</f>
        <v>-143.43980142816713</v>
      </c>
      <c r="I151" s="562">
        <f t="shared" ref="I151:I179" si="55">U151-I31</f>
        <v>-138.86114397923825</v>
      </c>
      <c r="J151" s="562">
        <f t="shared" ref="J151:J179" si="56">V151-J31</f>
        <v>-130.90142883800172</v>
      </c>
      <c r="K151" s="562">
        <f t="shared" ref="K151:K179" si="57">W151-K31</f>
        <v>-131.85371369676545</v>
      </c>
      <c r="M151" s="556" t="s">
        <v>45</v>
      </c>
      <c r="N151" s="538" t="s">
        <v>566</v>
      </c>
      <c r="O151" s="877"/>
      <c r="P151" s="877">
        <v>755.511772170462</v>
      </c>
      <c r="Q151" s="877">
        <v>736.24474500630765</v>
      </c>
      <c r="R151" s="877">
        <v>751.61149356281635</v>
      </c>
      <c r="S151" s="877">
        <v>707.26462653949716</v>
      </c>
      <c r="T151" s="877">
        <v>700.15611454776126</v>
      </c>
      <c r="U151" s="877">
        <v>702.90076922269213</v>
      </c>
      <c r="V151" s="877">
        <v>704.41792389762304</v>
      </c>
      <c r="W151" s="762">
        <v>706.71857857255384</v>
      </c>
    </row>
    <row r="152" spans="1:34" outlineLevel="1" x14ac:dyDescent="0.3">
      <c r="B152" s="554" t="s">
        <v>567</v>
      </c>
      <c r="C152" s="553" t="s">
        <v>566</v>
      </c>
      <c r="D152" s="562">
        <f t="shared" si="50"/>
        <v>0</v>
      </c>
      <c r="E152" s="562">
        <f t="shared" si="51"/>
        <v>-11.692279365103616</v>
      </c>
      <c r="F152" s="562">
        <f t="shared" si="52"/>
        <v>-17.373620305544776</v>
      </c>
      <c r="G152" s="562">
        <f t="shared" si="53"/>
        <v>-23.66821528735224</v>
      </c>
      <c r="H152" s="562">
        <f t="shared" si="54"/>
        <v>-25.605500146115759</v>
      </c>
      <c r="I152" s="562">
        <f t="shared" si="55"/>
        <v>-27.542785004879278</v>
      </c>
      <c r="J152" s="562">
        <f t="shared" si="56"/>
        <v>-29.480069863642797</v>
      </c>
      <c r="K152" s="562">
        <f t="shared" si="57"/>
        <v>-31.417354722406301</v>
      </c>
      <c r="M152" s="554" t="s">
        <v>567</v>
      </c>
      <c r="N152" s="538" t="s">
        <v>566</v>
      </c>
      <c r="O152" s="877"/>
      <c r="P152" s="877">
        <v>99.736849093538822</v>
      </c>
      <c r="Q152" s="877">
        <v>88.364670647333213</v>
      </c>
      <c r="R152" s="877">
        <v>90.093557665380402</v>
      </c>
      <c r="S152" s="877">
        <v>91.20919064206123</v>
      </c>
      <c r="T152" s="877">
        <v>92.239845316992074</v>
      </c>
      <c r="U152" s="877">
        <v>93.270499991922918</v>
      </c>
      <c r="V152" s="877">
        <v>94.301154666853762</v>
      </c>
      <c r="W152" s="762">
        <v>95.33180934178462</v>
      </c>
    </row>
    <row r="153" spans="1:34" outlineLevel="1" x14ac:dyDescent="0.3">
      <c r="B153" s="552" t="s">
        <v>568</v>
      </c>
      <c r="C153" s="553" t="s">
        <v>566</v>
      </c>
      <c r="D153" s="562">
        <f t="shared" si="50"/>
        <v>0</v>
      </c>
      <c r="E153" s="562">
        <f t="shared" si="51"/>
        <v>0</v>
      </c>
      <c r="F153" s="562">
        <f t="shared" si="52"/>
        <v>-1.5208839446532636</v>
      </c>
      <c r="G153" s="562">
        <f t="shared" si="53"/>
        <v>-1.5249776822505741</v>
      </c>
      <c r="H153" s="562">
        <f t="shared" si="54"/>
        <v>-1.4501270782085935</v>
      </c>
      <c r="I153" s="562">
        <f t="shared" si="55"/>
        <v>-1.3752764741666148</v>
      </c>
      <c r="J153" s="562">
        <f t="shared" si="56"/>
        <v>-1.3004258701246343</v>
      </c>
      <c r="K153" s="562">
        <f t="shared" si="57"/>
        <v>-1.2255752660826538</v>
      </c>
      <c r="M153" s="552" t="s">
        <v>568</v>
      </c>
      <c r="N153" s="537" t="s">
        <v>566</v>
      </c>
      <c r="O153" s="878"/>
      <c r="P153" s="878">
        <v>12.8</v>
      </c>
      <c r="Q153" s="879">
        <v>14.601778667555065</v>
      </c>
      <c r="R153" s="879">
        <v>14.162303945474802</v>
      </c>
      <c r="S153" s="879">
        <v>15.239619430450491</v>
      </c>
      <c r="T153" s="879">
        <v>15.747595331278999</v>
      </c>
      <c r="U153" s="879">
        <v>16.25557123210751</v>
      </c>
      <c r="V153" s="879">
        <v>16.763547132936022</v>
      </c>
      <c r="W153" s="757">
        <v>17.271523033764531</v>
      </c>
    </row>
    <row r="154" spans="1:34" outlineLevel="1" x14ac:dyDescent="0.3">
      <c r="B154" s="551" t="s">
        <v>569</v>
      </c>
      <c r="C154" s="553" t="s">
        <v>566</v>
      </c>
      <c r="D154" s="562">
        <f t="shared" si="50"/>
        <v>0</v>
      </c>
      <c r="E154" s="562">
        <f t="shared" si="51"/>
        <v>-11.69227936510363</v>
      </c>
      <c r="F154" s="562">
        <f t="shared" si="52"/>
        <v>-15.852736360891512</v>
      </c>
      <c r="G154" s="562">
        <f t="shared" si="53"/>
        <v>-22.14323760510166</v>
      </c>
      <c r="H154" s="562">
        <f t="shared" si="54"/>
        <v>-24.155373067907156</v>
      </c>
      <c r="I154" s="562">
        <f t="shared" si="55"/>
        <v>-26.167508530712666</v>
      </c>
      <c r="J154" s="562">
        <f t="shared" si="56"/>
        <v>-28.179643993518162</v>
      </c>
      <c r="K154" s="562">
        <f t="shared" si="57"/>
        <v>-30.191779456323651</v>
      </c>
      <c r="M154" s="551" t="s">
        <v>569</v>
      </c>
      <c r="N154" s="536" t="s">
        <v>566</v>
      </c>
      <c r="O154" s="878"/>
      <c r="P154" s="878">
        <v>70</v>
      </c>
      <c r="Q154" s="879">
        <v>54.363386035740703</v>
      </c>
      <c r="R154" s="879">
        <v>55.095018380164021</v>
      </c>
      <c r="S154" s="879">
        <v>53.696606476165044</v>
      </c>
      <c r="T154" s="879">
        <v>53.643847355965271</v>
      </c>
      <c r="U154" s="879">
        <v>53.591088235765497</v>
      </c>
      <c r="V154" s="879">
        <v>53.538329115565737</v>
      </c>
      <c r="W154" s="757">
        <v>53.485569995365971</v>
      </c>
    </row>
    <row r="155" spans="1:34" outlineLevel="1" x14ac:dyDescent="0.3">
      <c r="B155" s="551" t="s">
        <v>570</v>
      </c>
      <c r="C155" s="553" t="s">
        <v>566</v>
      </c>
      <c r="D155" s="562">
        <f t="shared" si="50"/>
        <v>0</v>
      </c>
      <c r="E155" s="562">
        <f t="shared" si="51"/>
        <v>0</v>
      </c>
      <c r="F155" s="562">
        <f t="shared" si="52"/>
        <v>0</v>
      </c>
      <c r="G155" s="562">
        <f t="shared" si="53"/>
        <v>0</v>
      </c>
      <c r="H155" s="562">
        <f t="shared" si="54"/>
        <v>0</v>
      </c>
      <c r="I155" s="562">
        <f t="shared" si="55"/>
        <v>0</v>
      </c>
      <c r="J155" s="562">
        <f t="shared" si="56"/>
        <v>0</v>
      </c>
      <c r="K155" s="562">
        <f t="shared" si="57"/>
        <v>0</v>
      </c>
      <c r="M155" s="551" t="s">
        <v>570</v>
      </c>
      <c r="N155" s="536" t="s">
        <v>566</v>
      </c>
      <c r="O155" s="878"/>
      <c r="P155" s="878">
        <v>16.936849093538822</v>
      </c>
      <c r="Q155" s="879">
        <v>19.399505944037443</v>
      </c>
      <c r="R155" s="879">
        <v>20.836235339741574</v>
      </c>
      <c r="S155" s="879">
        <v>22.272964735445701</v>
      </c>
      <c r="T155" s="879">
        <v>22.848402629747802</v>
      </c>
      <c r="U155" s="879">
        <v>23.423840524049908</v>
      </c>
      <c r="V155" s="879">
        <v>23.999278418352013</v>
      </c>
      <c r="W155" s="757">
        <v>24.574716312654115</v>
      </c>
    </row>
    <row r="156" spans="1:34" outlineLevel="1" x14ac:dyDescent="0.3">
      <c r="B156" s="554" t="s">
        <v>571</v>
      </c>
      <c r="C156" s="553" t="s">
        <v>566</v>
      </c>
      <c r="D156" s="562">
        <f t="shared" si="50"/>
        <v>0</v>
      </c>
      <c r="E156" s="562">
        <f t="shared" si="51"/>
        <v>5</v>
      </c>
      <c r="F156" s="562">
        <f t="shared" si="52"/>
        <v>-21</v>
      </c>
      <c r="G156" s="562">
        <f t="shared" si="53"/>
        <v>-21</v>
      </c>
      <c r="H156" s="562">
        <f t="shared" si="54"/>
        <v>-21</v>
      </c>
      <c r="I156" s="562">
        <f t="shared" si="55"/>
        <v>-21</v>
      </c>
      <c r="J156" s="562">
        <f t="shared" si="56"/>
        <v>-21</v>
      </c>
      <c r="K156" s="562">
        <f t="shared" si="57"/>
        <v>-21</v>
      </c>
      <c r="M156" s="554" t="s">
        <v>571</v>
      </c>
      <c r="N156" s="538" t="s">
        <v>566</v>
      </c>
      <c r="O156" s="877"/>
      <c r="P156" s="877">
        <v>0</v>
      </c>
      <c r="Q156" s="877">
        <v>5</v>
      </c>
      <c r="R156" s="877">
        <v>5</v>
      </c>
      <c r="S156" s="877">
        <v>5</v>
      </c>
      <c r="T156" s="877">
        <v>5</v>
      </c>
      <c r="U156" s="877">
        <v>5</v>
      </c>
      <c r="V156" s="877">
        <v>5</v>
      </c>
      <c r="W156" s="762">
        <v>5</v>
      </c>
    </row>
    <row r="157" spans="1:34" outlineLevel="1" x14ac:dyDescent="0.3">
      <c r="B157" s="550" t="s">
        <v>572</v>
      </c>
      <c r="C157" s="549" t="s">
        <v>566</v>
      </c>
      <c r="D157" s="562">
        <f t="shared" si="50"/>
        <v>0</v>
      </c>
      <c r="E157" s="562">
        <f t="shared" si="51"/>
        <v>5</v>
      </c>
      <c r="F157" s="562">
        <f t="shared" si="52"/>
        <v>-21</v>
      </c>
      <c r="G157" s="562">
        <f t="shared" si="53"/>
        <v>-21</v>
      </c>
      <c r="H157" s="562">
        <f t="shared" si="54"/>
        <v>-21</v>
      </c>
      <c r="I157" s="562">
        <f t="shared" si="55"/>
        <v>-21</v>
      </c>
      <c r="J157" s="562">
        <f t="shared" si="56"/>
        <v>-21</v>
      </c>
      <c r="K157" s="562">
        <f t="shared" si="57"/>
        <v>-21</v>
      </c>
      <c r="M157" s="550" t="s">
        <v>572</v>
      </c>
      <c r="N157" s="535" t="s">
        <v>566</v>
      </c>
      <c r="O157" s="880"/>
      <c r="P157" s="880">
        <v>0</v>
      </c>
      <c r="Q157" s="880">
        <v>5</v>
      </c>
      <c r="R157" s="880">
        <v>5</v>
      </c>
      <c r="S157" s="880">
        <v>5</v>
      </c>
      <c r="T157" s="880">
        <v>5</v>
      </c>
      <c r="U157" s="880">
        <v>5</v>
      </c>
      <c r="V157" s="880">
        <v>5</v>
      </c>
      <c r="W157" s="761">
        <v>5</v>
      </c>
    </row>
    <row r="158" spans="1:34" outlineLevel="1" x14ac:dyDescent="0.3">
      <c r="B158" s="550" t="s">
        <v>573</v>
      </c>
      <c r="C158" s="549" t="s">
        <v>566</v>
      </c>
      <c r="D158" s="562">
        <f t="shared" si="50"/>
        <v>0</v>
      </c>
      <c r="E158" s="562">
        <f t="shared" si="51"/>
        <v>0</v>
      </c>
      <c r="F158" s="562">
        <f t="shared" si="52"/>
        <v>0</v>
      </c>
      <c r="G158" s="562">
        <f t="shared" si="53"/>
        <v>0</v>
      </c>
      <c r="H158" s="562">
        <f t="shared" si="54"/>
        <v>0</v>
      </c>
      <c r="I158" s="562">
        <f t="shared" si="55"/>
        <v>0</v>
      </c>
      <c r="J158" s="562">
        <f t="shared" si="56"/>
        <v>0</v>
      </c>
      <c r="K158" s="562">
        <f t="shared" si="57"/>
        <v>0</v>
      </c>
      <c r="M158" s="550" t="s">
        <v>573</v>
      </c>
      <c r="N158" s="535" t="s">
        <v>566</v>
      </c>
      <c r="O158" s="880"/>
      <c r="P158" s="880">
        <v>0</v>
      </c>
      <c r="Q158" s="880">
        <v>0</v>
      </c>
      <c r="R158" s="880">
        <v>0</v>
      </c>
      <c r="S158" s="880">
        <v>0</v>
      </c>
      <c r="T158" s="880">
        <v>0</v>
      </c>
      <c r="U158" s="880">
        <v>0</v>
      </c>
      <c r="V158" s="880">
        <v>0</v>
      </c>
      <c r="W158" s="761">
        <v>0</v>
      </c>
    </row>
    <row r="159" spans="1:34" outlineLevel="1" x14ac:dyDescent="0.3">
      <c r="B159" s="554" t="s">
        <v>574</v>
      </c>
      <c r="C159" s="553"/>
      <c r="D159" s="562">
        <f t="shared" si="50"/>
        <v>0</v>
      </c>
      <c r="E159" s="562">
        <f t="shared" si="51"/>
        <v>3.7638051282050355</v>
      </c>
      <c r="F159" s="562">
        <f t="shared" si="52"/>
        <v>-13.677460256410313</v>
      </c>
      <c r="G159" s="562">
        <f t="shared" si="53"/>
        <v>-66.709556410256369</v>
      </c>
      <c r="H159" s="562">
        <f t="shared" si="54"/>
        <v>-96.834301282051229</v>
      </c>
      <c r="I159" s="562">
        <f t="shared" si="55"/>
        <v>-90.318358974358944</v>
      </c>
      <c r="J159" s="562">
        <f t="shared" si="56"/>
        <v>-80.421358974359009</v>
      </c>
      <c r="K159" s="562">
        <f t="shared" si="57"/>
        <v>-79.436358974359109</v>
      </c>
      <c r="M159" s="554" t="s">
        <v>574</v>
      </c>
      <c r="N159" s="538"/>
      <c r="O159" s="877"/>
      <c r="P159" s="877">
        <v>655.77492307692307</v>
      </c>
      <c r="Q159" s="877">
        <v>642.8800743589743</v>
      </c>
      <c r="R159" s="877">
        <v>656.5179358974359</v>
      </c>
      <c r="S159" s="877">
        <v>611.05543589743593</v>
      </c>
      <c r="T159" s="877">
        <v>602.91626923076922</v>
      </c>
      <c r="U159" s="877">
        <v>604.63026923076927</v>
      </c>
      <c r="V159" s="877">
        <v>605.11676923076925</v>
      </c>
      <c r="W159" s="762">
        <v>606.38676923076923</v>
      </c>
    </row>
    <row r="160" spans="1:34" outlineLevel="1" x14ac:dyDescent="0.3">
      <c r="B160" s="551" t="s">
        <v>575</v>
      </c>
      <c r="C160" s="553" t="s">
        <v>566</v>
      </c>
      <c r="D160" s="562">
        <f t="shared" si="50"/>
        <v>0</v>
      </c>
      <c r="E160" s="562">
        <f t="shared" si="51"/>
        <v>15.7061128205128</v>
      </c>
      <c r="F160" s="562">
        <f t="shared" si="52"/>
        <v>29.094174358974385</v>
      </c>
      <c r="G160" s="562">
        <f t="shared" si="53"/>
        <v>20.73755897435899</v>
      </c>
      <c r="H160" s="562">
        <f t="shared" si="54"/>
        <v>13.523871794871781</v>
      </c>
      <c r="I160" s="562">
        <f t="shared" si="55"/>
        <v>8.5951025641025751</v>
      </c>
      <c r="J160" s="562">
        <f t="shared" si="56"/>
        <v>8.9296025641025381</v>
      </c>
      <c r="K160" s="562">
        <f t="shared" si="57"/>
        <v>9.9146025641025233</v>
      </c>
      <c r="M160" s="551" t="s">
        <v>575</v>
      </c>
      <c r="N160" s="536" t="s">
        <v>566</v>
      </c>
      <c r="O160" s="881"/>
      <c r="P160" s="881">
        <v>135.76530769230772</v>
      </c>
      <c r="Q160" s="881">
        <v>161.8560358974359</v>
      </c>
      <c r="R160" s="881">
        <v>195.61408974358977</v>
      </c>
      <c r="S160" s="881">
        <v>197.96408974358977</v>
      </c>
      <c r="T160" s="881">
        <v>208.94992307692308</v>
      </c>
      <c r="U160" s="881">
        <v>210.66392307692308</v>
      </c>
      <c r="V160" s="881">
        <v>211.15042307692306</v>
      </c>
      <c r="W160" s="759">
        <v>212.42042307692307</v>
      </c>
    </row>
    <row r="161" spans="2:23" outlineLevel="1" x14ac:dyDescent="0.3">
      <c r="B161" s="551" t="s">
        <v>576</v>
      </c>
      <c r="C161" s="553" t="s">
        <v>566</v>
      </c>
      <c r="D161" s="562">
        <f t="shared" si="50"/>
        <v>0</v>
      </c>
      <c r="E161" s="562">
        <f t="shared" si="51"/>
        <v>26.307692307692378</v>
      </c>
      <c r="F161" s="562">
        <f t="shared" si="52"/>
        <v>19.384615384615358</v>
      </c>
      <c r="G161" s="562">
        <f t="shared" si="53"/>
        <v>-1.3846153846154152</v>
      </c>
      <c r="H161" s="562">
        <f t="shared" si="54"/>
        <v>-29.076923076923151</v>
      </c>
      <c r="I161" s="562">
        <f t="shared" si="55"/>
        <v>-41.538461538461604</v>
      </c>
      <c r="J161" s="562">
        <f t="shared" si="56"/>
        <v>-41.538461538461604</v>
      </c>
      <c r="K161" s="562">
        <f t="shared" si="57"/>
        <v>-41.538461538461604</v>
      </c>
      <c r="M161" s="551" t="s">
        <v>576</v>
      </c>
      <c r="N161" s="536" t="s">
        <v>566</v>
      </c>
      <c r="O161" s="881"/>
      <c r="P161" s="881">
        <v>271.38461538461542</v>
      </c>
      <c r="Q161" s="881">
        <v>318.46153846153851</v>
      </c>
      <c r="R161" s="881">
        <v>346.15384615384613</v>
      </c>
      <c r="S161" s="881">
        <v>346.15384615384613</v>
      </c>
      <c r="T161" s="881">
        <v>346.15384615384613</v>
      </c>
      <c r="U161" s="881">
        <v>346.15384615384613</v>
      </c>
      <c r="V161" s="881">
        <v>346.15384615384613</v>
      </c>
      <c r="W161" s="759">
        <v>346.15384615384613</v>
      </c>
    </row>
    <row r="162" spans="2:23" outlineLevel="1" x14ac:dyDescent="0.3">
      <c r="B162" s="551" t="s">
        <v>577</v>
      </c>
      <c r="C162" s="553" t="s">
        <v>566</v>
      </c>
      <c r="D162" s="562">
        <f t="shared" si="50"/>
        <v>0</v>
      </c>
      <c r="E162" s="562">
        <f t="shared" si="51"/>
        <v>-27</v>
      </c>
      <c r="F162" s="562">
        <f t="shared" si="52"/>
        <v>-43.875</v>
      </c>
      <c r="G162" s="562">
        <f t="shared" si="53"/>
        <v>-60.75</v>
      </c>
      <c r="H162" s="562">
        <f t="shared" si="54"/>
        <v>-57.375</v>
      </c>
      <c r="I162" s="562">
        <f t="shared" si="55"/>
        <v>-40.5</v>
      </c>
      <c r="J162" s="562">
        <f t="shared" si="56"/>
        <v>-33.75</v>
      </c>
      <c r="K162" s="562">
        <f t="shared" si="57"/>
        <v>-33.75</v>
      </c>
      <c r="M162" s="551" t="s">
        <v>577</v>
      </c>
      <c r="N162" s="536" t="s">
        <v>566</v>
      </c>
      <c r="O162" s="881"/>
      <c r="P162" s="881">
        <v>175.5</v>
      </c>
      <c r="Q162" s="881">
        <v>114.75</v>
      </c>
      <c r="R162" s="881">
        <v>81</v>
      </c>
      <c r="S162" s="881">
        <v>47.25</v>
      </c>
      <c r="T162" s="881">
        <v>33.75</v>
      </c>
      <c r="U162" s="881">
        <v>33.75</v>
      </c>
      <c r="V162" s="881">
        <v>33.75</v>
      </c>
      <c r="W162" s="759">
        <v>33.75</v>
      </c>
    </row>
    <row r="163" spans="2:23" outlineLevel="1" x14ac:dyDescent="0.3">
      <c r="B163" s="551" t="s">
        <v>578</v>
      </c>
      <c r="C163" s="553" t="s">
        <v>566</v>
      </c>
      <c r="D163" s="562">
        <f t="shared" si="50"/>
        <v>0</v>
      </c>
      <c r="E163" s="562">
        <f t="shared" si="51"/>
        <v>-11.25</v>
      </c>
      <c r="F163" s="562">
        <f t="shared" si="52"/>
        <v>-18.28125</v>
      </c>
      <c r="G163" s="562">
        <f t="shared" si="53"/>
        <v>-25.3125</v>
      </c>
      <c r="H163" s="562">
        <f t="shared" si="54"/>
        <v>-23.90625</v>
      </c>
      <c r="I163" s="562">
        <f t="shared" si="55"/>
        <v>-16.875</v>
      </c>
      <c r="J163" s="562">
        <f t="shared" si="56"/>
        <v>-14.0625</v>
      </c>
      <c r="K163" s="562">
        <f t="shared" si="57"/>
        <v>-14.0625</v>
      </c>
      <c r="M163" s="551" t="s">
        <v>578</v>
      </c>
      <c r="N163" s="536" t="s">
        <v>566</v>
      </c>
      <c r="O163" s="881"/>
      <c r="P163" s="881">
        <v>73.125</v>
      </c>
      <c r="Q163" s="881">
        <v>47.8125</v>
      </c>
      <c r="R163" s="881">
        <v>33.75</v>
      </c>
      <c r="S163" s="881">
        <v>19.6875</v>
      </c>
      <c r="T163" s="881">
        <v>14.0625</v>
      </c>
      <c r="U163" s="881">
        <v>14.0625</v>
      </c>
      <c r="V163" s="881">
        <v>14.0625</v>
      </c>
      <c r="W163" s="759">
        <v>14.0625</v>
      </c>
    </row>
    <row r="164" spans="2:23" outlineLevel="1" x14ac:dyDescent="0.3">
      <c r="B164" s="556" t="s">
        <v>579</v>
      </c>
      <c r="C164" s="556" t="s">
        <v>566</v>
      </c>
      <c r="D164" s="562">
        <f t="shared" si="50"/>
        <v>-0.56897399999996878</v>
      </c>
      <c r="E164" s="562">
        <f t="shared" si="51"/>
        <v>-6.9901887293281106</v>
      </c>
      <c r="F164" s="562">
        <f t="shared" si="52"/>
        <v>-48.55658610067519</v>
      </c>
      <c r="G164" s="562">
        <f t="shared" si="53"/>
        <v>-90.732019988189222</v>
      </c>
      <c r="H164" s="562">
        <f t="shared" si="54"/>
        <v>-103.29253915745255</v>
      </c>
      <c r="I164" s="562">
        <f t="shared" si="55"/>
        <v>-111.86593684837442</v>
      </c>
      <c r="J164" s="562">
        <f t="shared" si="56"/>
        <v>-116.58258376205799</v>
      </c>
      <c r="K164" s="562">
        <f t="shared" si="57"/>
        <v>-121.01761468470727</v>
      </c>
      <c r="M164" s="556" t="s">
        <v>579</v>
      </c>
      <c r="N164" s="538" t="s">
        <v>566</v>
      </c>
      <c r="O164" s="877"/>
      <c r="P164" s="877">
        <v>495.01153397364158</v>
      </c>
      <c r="Q164" s="877">
        <v>545.25517840261193</v>
      </c>
      <c r="R164" s="877">
        <v>553.16004134452135</v>
      </c>
      <c r="S164" s="877">
        <v>552.22793766149789</v>
      </c>
      <c r="T164" s="877">
        <v>559.94232852569098</v>
      </c>
      <c r="U164" s="877">
        <v>569.39916186822575</v>
      </c>
      <c r="V164" s="877">
        <v>579.22197858799882</v>
      </c>
      <c r="W164" s="762">
        <v>589.09623009880625</v>
      </c>
    </row>
    <row r="165" spans="2:23" outlineLevel="1" x14ac:dyDescent="0.3">
      <c r="B165" s="554" t="s">
        <v>613</v>
      </c>
      <c r="C165" s="553" t="s">
        <v>566</v>
      </c>
      <c r="D165" s="562">
        <f t="shared" si="50"/>
        <v>0</v>
      </c>
      <c r="E165" s="562">
        <f t="shared" si="51"/>
        <v>8.5165908142348883</v>
      </c>
      <c r="F165" s="562">
        <f t="shared" si="52"/>
        <v>-4.43628188519844</v>
      </c>
      <c r="G165" s="562">
        <f t="shared" si="53"/>
        <v>-27.662205347879222</v>
      </c>
      <c r="H165" s="562">
        <f t="shared" si="54"/>
        <v>-30.635506988684824</v>
      </c>
      <c r="I165" s="562">
        <f t="shared" si="55"/>
        <v>-33.608808629490568</v>
      </c>
      <c r="J165" s="562">
        <f t="shared" si="56"/>
        <v>-36.582110270296226</v>
      </c>
      <c r="K165" s="562">
        <f t="shared" si="57"/>
        <v>-39.555411911101885</v>
      </c>
      <c r="M165" s="554" t="s">
        <v>567</v>
      </c>
      <c r="N165" s="538" t="s">
        <v>566</v>
      </c>
      <c r="O165" s="877"/>
      <c r="P165" s="877">
        <v>205.60527364030824</v>
      </c>
      <c r="Q165" s="877">
        <v>215.20129123950832</v>
      </c>
      <c r="R165" s="877">
        <v>224.79730883870843</v>
      </c>
      <c r="S165" s="877">
        <v>224.12027567466103</v>
      </c>
      <c r="T165" s="877">
        <v>225.73039138715177</v>
      </c>
      <c r="U165" s="877">
        <v>227.34050709964242</v>
      </c>
      <c r="V165" s="877">
        <v>228.95062281213316</v>
      </c>
      <c r="W165" s="762">
        <v>230.5607385246239</v>
      </c>
    </row>
    <row r="166" spans="2:23" outlineLevel="1" x14ac:dyDescent="0.3">
      <c r="B166" s="551" t="s">
        <v>569</v>
      </c>
      <c r="C166" s="553" t="s">
        <v>566</v>
      </c>
      <c r="D166" s="562">
        <f t="shared" si="50"/>
        <v>0</v>
      </c>
      <c r="E166" s="562">
        <f t="shared" si="51"/>
        <v>12.536147425942573</v>
      </c>
      <c r="F166" s="562">
        <f t="shared" si="52"/>
        <v>0.88681192108799678</v>
      </c>
      <c r="G166" s="562">
        <f t="shared" si="53"/>
        <v>-22.32478346000218</v>
      </c>
      <c r="H166" s="562">
        <f t="shared" si="54"/>
        <v>-25.560062214954769</v>
      </c>
      <c r="I166" s="562">
        <f t="shared" si="55"/>
        <v>-28.795340969907443</v>
      </c>
      <c r="J166" s="562">
        <f t="shared" si="56"/>
        <v>-32.030619724860003</v>
      </c>
      <c r="K166" s="562">
        <f t="shared" si="57"/>
        <v>-35.26589847981262</v>
      </c>
      <c r="M166" s="551" t="s">
        <v>569</v>
      </c>
      <c r="N166" s="536" t="s">
        <v>566</v>
      </c>
      <c r="O166" s="877"/>
      <c r="P166" s="877">
        <v>161</v>
      </c>
      <c r="Q166" s="881">
        <v>168.11462251477332</v>
      </c>
      <c r="R166" s="881">
        <v>175.22924502954663</v>
      </c>
      <c r="S166" s="881">
        <v>170.78160766808432</v>
      </c>
      <c r="T166" s="881">
        <v>170.61380772767527</v>
      </c>
      <c r="U166" s="881">
        <v>170.44600778726615</v>
      </c>
      <c r="V166" s="881">
        <v>170.2782078468571</v>
      </c>
      <c r="W166" s="759">
        <v>170.11040790644805</v>
      </c>
    </row>
    <row r="167" spans="2:23" outlineLevel="1" x14ac:dyDescent="0.3">
      <c r="B167" s="551" t="s">
        <v>580</v>
      </c>
      <c r="C167" s="553" t="s">
        <v>566</v>
      </c>
      <c r="D167" s="562">
        <f t="shared" si="50"/>
        <v>0</v>
      </c>
      <c r="E167" s="562">
        <f t="shared" si="51"/>
        <v>-4.0195566117077064</v>
      </c>
      <c r="F167" s="562">
        <f t="shared" si="52"/>
        <v>-5.3230938062864226</v>
      </c>
      <c r="G167" s="562">
        <f t="shared" si="53"/>
        <v>-5.3374218878770066</v>
      </c>
      <c r="H167" s="562">
        <f t="shared" si="54"/>
        <v>-5.0754447737300765</v>
      </c>
      <c r="I167" s="562">
        <f t="shared" si="55"/>
        <v>-4.8134676595831536</v>
      </c>
      <c r="J167" s="562">
        <f t="shared" si="56"/>
        <v>-4.5514905454362165</v>
      </c>
      <c r="K167" s="562">
        <f t="shared" si="57"/>
        <v>-4.2895134312892935</v>
      </c>
      <c r="M167" s="551" t="s">
        <v>580</v>
      </c>
      <c r="N167" s="536" t="s">
        <v>566</v>
      </c>
      <c r="O167" s="877"/>
      <c r="P167" s="877">
        <v>44.605273640308226</v>
      </c>
      <c r="Q167" s="881">
        <v>47.086668724735013</v>
      </c>
      <c r="R167" s="881">
        <v>49.568063809161799</v>
      </c>
      <c r="S167" s="881">
        <v>53.338668006576711</v>
      </c>
      <c r="T167" s="881">
        <v>55.11658365947649</v>
      </c>
      <c r="U167" s="881">
        <v>56.894499312376269</v>
      </c>
      <c r="V167" s="881">
        <v>58.672414965276069</v>
      </c>
      <c r="W167" s="759">
        <v>60.45033061817584</v>
      </c>
    </row>
    <row r="168" spans="2:23" outlineLevel="1" x14ac:dyDescent="0.3">
      <c r="B168" s="554" t="s">
        <v>610</v>
      </c>
      <c r="C168" s="553" t="s">
        <v>566</v>
      </c>
      <c r="D168" s="562">
        <f t="shared" si="50"/>
        <v>0</v>
      </c>
      <c r="E168" s="562">
        <f t="shared" si="51"/>
        <v>6.2867466297703771</v>
      </c>
      <c r="F168" s="562">
        <f t="shared" si="52"/>
        <v>4.3795735711898303</v>
      </c>
      <c r="G168" s="562">
        <f t="shared" si="53"/>
        <v>5.7132519596900337</v>
      </c>
      <c r="H168" s="562">
        <f t="shared" si="54"/>
        <v>4.4833946978990156</v>
      </c>
      <c r="I168" s="562">
        <f t="shared" si="55"/>
        <v>3.2760999144495457</v>
      </c>
      <c r="J168" s="562">
        <f t="shared" si="56"/>
        <v>2.0903413082383224</v>
      </c>
      <c r="K168" s="562">
        <f t="shared" si="57"/>
        <v>0.92515389306143447</v>
      </c>
      <c r="M168" s="554" t="s">
        <v>571</v>
      </c>
      <c r="N168" s="538" t="s">
        <v>566</v>
      </c>
      <c r="O168" s="877"/>
      <c r="P168" s="877">
        <v>17.567250000000001</v>
      </c>
      <c r="Q168" s="877">
        <v>43.853996629770378</v>
      </c>
      <c r="R168" s="877">
        <v>45.354711505812794</v>
      </c>
      <c r="S168" s="877">
        <v>46.843748520170074</v>
      </c>
      <c r="T168" s="877">
        <v>45.908766871872601</v>
      </c>
      <c r="U168" s="877">
        <v>44.99634770191669</v>
      </c>
      <c r="V168" s="877">
        <v>44.105464709199012</v>
      </c>
      <c r="W168" s="762">
        <v>43.235152907515683</v>
      </c>
    </row>
    <row r="169" spans="2:23" outlineLevel="1" x14ac:dyDescent="0.3">
      <c r="B169" s="551" t="s">
        <v>572</v>
      </c>
      <c r="C169" s="553" t="s">
        <v>566</v>
      </c>
      <c r="D169" s="562">
        <f t="shared" si="50"/>
        <v>0</v>
      </c>
      <c r="E169" s="562">
        <f t="shared" si="51"/>
        <v>0</v>
      </c>
      <c r="F169" s="562">
        <f t="shared" si="52"/>
        <v>-3.3</v>
      </c>
      <c r="G169" s="562">
        <f t="shared" si="53"/>
        <v>-3.3474706912341046</v>
      </c>
      <c r="H169" s="562">
        <f t="shared" si="54"/>
        <v>-3.4006449821919582</v>
      </c>
      <c r="I169" s="562">
        <f t="shared" si="55"/>
        <v>-3.4538192731498119</v>
      </c>
      <c r="J169" s="562">
        <f t="shared" si="56"/>
        <v>-3.5069935641076659</v>
      </c>
      <c r="K169" s="562">
        <f t="shared" si="57"/>
        <v>-3.56016785506552</v>
      </c>
      <c r="M169" s="551" t="s">
        <v>593</v>
      </c>
      <c r="N169" s="536" t="s">
        <v>566</v>
      </c>
      <c r="O169" s="877"/>
      <c r="P169" s="877"/>
      <c r="Q169" s="879"/>
      <c r="R169" s="879"/>
      <c r="S169" s="879"/>
      <c r="T169" s="879"/>
      <c r="U169" s="879"/>
      <c r="V169" s="879"/>
      <c r="W169" s="757"/>
    </row>
    <row r="170" spans="2:23" outlineLevel="1" x14ac:dyDescent="0.3">
      <c r="B170" s="551" t="s">
        <v>581</v>
      </c>
      <c r="C170" s="553" t="s">
        <v>566</v>
      </c>
      <c r="D170" s="562">
        <f t="shared" si="50"/>
        <v>0</v>
      </c>
      <c r="E170" s="562">
        <f t="shared" si="51"/>
        <v>2.510197031897615</v>
      </c>
      <c r="F170" s="562">
        <f t="shared" si="52"/>
        <v>3.0795411313572227</v>
      </c>
      <c r="G170" s="562">
        <f t="shared" si="53"/>
        <v>3.6488852308168287</v>
      </c>
      <c r="H170" s="562">
        <f t="shared" si="54"/>
        <v>3.2049503713585334</v>
      </c>
      <c r="I170" s="562">
        <f t="shared" si="55"/>
        <v>2.76101551190024</v>
      </c>
      <c r="J170" s="562">
        <f t="shared" si="56"/>
        <v>2.3170806524419429</v>
      </c>
      <c r="K170" s="562">
        <f t="shared" si="57"/>
        <v>1.8731457929836495</v>
      </c>
      <c r="M170" s="551" t="s">
        <v>581</v>
      </c>
      <c r="N170" s="536" t="s">
        <v>566</v>
      </c>
      <c r="O170" s="878"/>
      <c r="P170" s="878">
        <v>15</v>
      </c>
      <c r="Q170" s="879">
        <v>17.510197031897615</v>
      </c>
      <c r="R170" s="879">
        <v>18.187429065980186</v>
      </c>
      <c r="S170" s="879">
        <v>18.864661100062758</v>
      </c>
      <c r="T170" s="879">
        <v>18.662427563140163</v>
      </c>
      <c r="U170" s="879">
        <v>18.460194026217568</v>
      </c>
      <c r="V170" s="879">
        <v>18.25796048929497</v>
      </c>
      <c r="W170" s="759">
        <v>18.055726952372378</v>
      </c>
    </row>
    <row r="171" spans="2:23" outlineLevel="1" x14ac:dyDescent="0.3">
      <c r="B171" s="551" t="s">
        <v>582</v>
      </c>
      <c r="C171" s="553" t="s">
        <v>566</v>
      </c>
      <c r="D171" s="562">
        <f t="shared" si="50"/>
        <v>0</v>
      </c>
      <c r="E171" s="562">
        <f t="shared" si="51"/>
        <v>3.7765495978727621</v>
      </c>
      <c r="F171" s="562">
        <f t="shared" si="52"/>
        <v>4.6000324398326065</v>
      </c>
      <c r="G171" s="562">
        <f t="shared" si="53"/>
        <v>5.4118374201073145</v>
      </c>
      <c r="H171" s="562">
        <f t="shared" si="54"/>
        <v>4.6790893087324328</v>
      </c>
      <c r="I171" s="562">
        <f t="shared" si="55"/>
        <v>3.9689036756991207</v>
      </c>
      <c r="J171" s="562">
        <f t="shared" si="56"/>
        <v>3.2802542199040445</v>
      </c>
      <c r="K171" s="562">
        <f t="shared" si="57"/>
        <v>2.6121759551433001</v>
      </c>
      <c r="M171" s="551" t="s">
        <v>582</v>
      </c>
      <c r="N171" s="536" t="s">
        <v>566</v>
      </c>
      <c r="O171" s="882"/>
      <c r="P171" s="882">
        <v>2.5672499999999996</v>
      </c>
      <c r="Q171" s="882">
        <v>26.343799597872763</v>
      </c>
      <c r="R171" s="882">
        <v>27.167282439832608</v>
      </c>
      <c r="S171" s="882">
        <v>27.979087420107316</v>
      </c>
      <c r="T171" s="882">
        <v>27.246339308732434</v>
      </c>
      <c r="U171" s="882">
        <v>26.536153675699122</v>
      </c>
      <c r="V171" s="882">
        <v>25.847504219904046</v>
      </c>
      <c r="W171" s="761">
        <v>25.179425955143302</v>
      </c>
    </row>
    <row r="172" spans="2:23" outlineLevel="1" x14ac:dyDescent="0.3">
      <c r="B172" s="554" t="s">
        <v>611</v>
      </c>
      <c r="C172" s="553"/>
      <c r="D172" s="562">
        <f t="shared" si="50"/>
        <v>-0.56897399999996878</v>
      </c>
      <c r="E172" s="562">
        <f t="shared" si="51"/>
        <v>-21.793526173333362</v>
      </c>
      <c r="F172" s="562">
        <f t="shared" si="52"/>
        <v>-48.49987778666673</v>
      </c>
      <c r="G172" s="562">
        <f t="shared" si="53"/>
        <v>-68.783066599999984</v>
      </c>
      <c r="H172" s="562">
        <f t="shared" si="54"/>
        <v>-77.140426866666758</v>
      </c>
      <c r="I172" s="562">
        <f t="shared" si="55"/>
        <v>-81.533228133333409</v>
      </c>
      <c r="J172" s="562">
        <f t="shared" si="56"/>
        <v>-82.090814799999976</v>
      </c>
      <c r="K172" s="562">
        <f t="shared" si="57"/>
        <v>-82.387356666666733</v>
      </c>
      <c r="M172" s="554" t="s">
        <v>574</v>
      </c>
      <c r="N172" s="538"/>
      <c r="O172" s="877"/>
      <c r="P172" s="877">
        <v>271.83901033333336</v>
      </c>
      <c r="Q172" s="877">
        <v>286.19989053333336</v>
      </c>
      <c r="R172" s="877">
        <v>283.00802100000004</v>
      </c>
      <c r="S172" s="877">
        <v>281.26391346666674</v>
      </c>
      <c r="T172" s="877">
        <v>288.30317026666665</v>
      </c>
      <c r="U172" s="877">
        <v>297.06230706666668</v>
      </c>
      <c r="V172" s="877">
        <v>306.16589106666669</v>
      </c>
      <c r="W172" s="762">
        <v>315.30033866666668</v>
      </c>
    </row>
    <row r="173" spans="2:23" outlineLevel="1" x14ac:dyDescent="0.3">
      <c r="B173" s="551" t="s">
        <v>583</v>
      </c>
      <c r="C173" s="553" t="s">
        <v>566</v>
      </c>
      <c r="D173" s="562">
        <f t="shared" si="50"/>
        <v>-0.22264200000000045</v>
      </c>
      <c r="E173" s="562">
        <f t="shared" si="51"/>
        <v>2.1150989999999972</v>
      </c>
      <c r="F173" s="562">
        <f t="shared" si="52"/>
        <v>1.5584939999999996</v>
      </c>
      <c r="G173" s="562">
        <f t="shared" si="53"/>
        <v>-0.11132100000000023</v>
      </c>
      <c r="H173" s="562">
        <f t="shared" si="54"/>
        <v>-2.3377410000000012</v>
      </c>
      <c r="I173" s="562">
        <f t="shared" si="55"/>
        <v>-3.3396299999999997</v>
      </c>
      <c r="J173" s="562">
        <f t="shared" si="56"/>
        <v>-3.3396299999999997</v>
      </c>
      <c r="K173" s="562">
        <f t="shared" si="57"/>
        <v>-3.3396299999999997</v>
      </c>
      <c r="M173" s="551" t="s">
        <v>583</v>
      </c>
      <c r="N173" s="536" t="s">
        <v>566</v>
      </c>
      <c r="O173" s="881"/>
      <c r="P173" s="881">
        <v>21.596274000000001</v>
      </c>
      <c r="Q173" s="881">
        <v>25.603829999999999</v>
      </c>
      <c r="R173" s="881">
        <v>27.830249999999999</v>
      </c>
      <c r="S173" s="881">
        <v>27.830249999999999</v>
      </c>
      <c r="T173" s="881">
        <v>27.830249999999999</v>
      </c>
      <c r="U173" s="881">
        <v>27.830249999999999</v>
      </c>
      <c r="V173" s="881">
        <v>27.830249999999999</v>
      </c>
      <c r="W173" s="759">
        <v>27.830249999999999</v>
      </c>
    </row>
    <row r="174" spans="2:23" outlineLevel="1" x14ac:dyDescent="0.3">
      <c r="B174" s="551" t="s">
        <v>584</v>
      </c>
      <c r="C174" s="553" t="s">
        <v>566</v>
      </c>
      <c r="D174" s="562">
        <f t="shared" si="50"/>
        <v>-0.34633199999998965</v>
      </c>
      <c r="E174" s="562">
        <f t="shared" si="51"/>
        <v>-24.441144000000008</v>
      </c>
      <c r="F174" s="562">
        <f t="shared" si="52"/>
        <v>-54.868884000000037</v>
      </c>
      <c r="G174" s="562">
        <f t="shared" si="53"/>
        <v>-78.369984000000017</v>
      </c>
      <c r="H174" s="562">
        <f t="shared" si="54"/>
        <v>-90.986364000000037</v>
      </c>
      <c r="I174" s="562">
        <f t="shared" si="55"/>
        <v>-101.22789600000004</v>
      </c>
      <c r="J174" s="562">
        <f t="shared" si="56"/>
        <v>-108.89667600000001</v>
      </c>
      <c r="K174" s="562">
        <f t="shared" si="57"/>
        <v>-116.31807600000002</v>
      </c>
      <c r="M174" s="551" t="s">
        <v>584</v>
      </c>
      <c r="N174" s="536" t="s">
        <v>566</v>
      </c>
      <c r="O174" s="881"/>
      <c r="P174" s="881">
        <v>250.13416400000003</v>
      </c>
      <c r="Q174" s="881">
        <v>259.93041200000005</v>
      </c>
      <c r="R174" s="881">
        <v>249.54045200000002</v>
      </c>
      <c r="S174" s="881">
        <v>242.11905200000004</v>
      </c>
      <c r="T174" s="881">
        <v>240.88215200000002</v>
      </c>
      <c r="U174" s="881">
        <v>240.88215200000002</v>
      </c>
      <c r="V174" s="881">
        <v>240.88215200000002</v>
      </c>
      <c r="W174" s="759">
        <v>240.88215200000002</v>
      </c>
    </row>
    <row r="175" spans="2:23" outlineLevel="1" x14ac:dyDescent="0.3">
      <c r="B175" s="551" t="s">
        <v>585</v>
      </c>
      <c r="C175" s="553" t="s">
        <v>566</v>
      </c>
      <c r="D175" s="562">
        <f t="shared" si="50"/>
        <v>0</v>
      </c>
      <c r="E175" s="562">
        <f t="shared" si="51"/>
        <v>0.53251882666666672</v>
      </c>
      <c r="F175" s="562">
        <f t="shared" si="52"/>
        <v>4.8105122133333351</v>
      </c>
      <c r="G175" s="562">
        <f t="shared" si="53"/>
        <v>9.6982384000000028</v>
      </c>
      <c r="H175" s="562">
        <f t="shared" si="54"/>
        <v>16.183678133333334</v>
      </c>
      <c r="I175" s="562">
        <f t="shared" si="55"/>
        <v>23.03429786666667</v>
      </c>
      <c r="J175" s="562">
        <f t="shared" si="56"/>
        <v>30.145491200000002</v>
      </c>
      <c r="K175" s="562">
        <f t="shared" si="57"/>
        <v>37.270349333333336</v>
      </c>
      <c r="M175" s="551" t="s">
        <v>585</v>
      </c>
      <c r="N175" s="536" t="s">
        <v>566</v>
      </c>
      <c r="O175" s="881"/>
      <c r="P175" s="881">
        <v>0.10857233333333335</v>
      </c>
      <c r="Q175" s="881">
        <v>0.6656485333333334</v>
      </c>
      <c r="R175" s="881">
        <v>5.6373190000000015</v>
      </c>
      <c r="S175" s="881">
        <v>11.314611466666669</v>
      </c>
      <c r="T175" s="881">
        <v>19.590768266666668</v>
      </c>
      <c r="U175" s="881">
        <v>28.349905066666672</v>
      </c>
      <c r="V175" s="881">
        <v>37.45348906666667</v>
      </c>
      <c r="W175" s="759">
        <v>46.587936666666671</v>
      </c>
    </row>
    <row r="176" spans="2:23" outlineLevel="1" x14ac:dyDescent="0.3">
      <c r="B176" s="556" t="s">
        <v>612</v>
      </c>
      <c r="C176" s="556" t="s">
        <v>566</v>
      </c>
      <c r="D176" s="562">
        <f t="shared" si="50"/>
        <v>0</v>
      </c>
      <c r="E176" s="562">
        <f t="shared" si="51"/>
        <v>3.8854253685863114</v>
      </c>
      <c r="F176" s="562">
        <f t="shared" si="52"/>
        <v>17.93488448009245</v>
      </c>
      <c r="G176" s="562">
        <f t="shared" si="53"/>
        <v>17.465468000221009</v>
      </c>
      <c r="H176" s="562">
        <f t="shared" si="54"/>
        <v>17.085554722427943</v>
      </c>
      <c r="I176" s="562">
        <f t="shared" si="55"/>
        <v>16.876332538517147</v>
      </c>
      <c r="J176" s="562">
        <f t="shared" si="56"/>
        <v>16.823943652675226</v>
      </c>
      <c r="K176" s="562">
        <f t="shared" si="57"/>
        <v>16.920841856965623</v>
      </c>
      <c r="M176" s="556" t="s">
        <v>586</v>
      </c>
      <c r="N176" s="538" t="s">
        <v>566</v>
      </c>
      <c r="O176" s="877"/>
      <c r="P176" s="877">
        <v>80.697777436650398</v>
      </c>
      <c r="Q176" s="877">
        <v>94.277388548689089</v>
      </c>
      <c r="R176" s="877">
        <v>107.60930688055463</v>
      </c>
      <c r="S176" s="877">
        <v>104.79280800132614</v>
      </c>
      <c r="T176" s="877">
        <v>102.5133283345676</v>
      </c>
      <c r="U176" s="877">
        <v>101.25799523110287</v>
      </c>
      <c r="V176" s="877">
        <v>100.94366191605138</v>
      </c>
      <c r="W176" s="762">
        <v>101.52505114179372</v>
      </c>
    </row>
    <row r="177" spans="2:23" outlineLevel="1" x14ac:dyDescent="0.3">
      <c r="B177" s="545" t="s">
        <v>587</v>
      </c>
      <c r="C177" s="553" t="s">
        <v>566</v>
      </c>
      <c r="D177" s="562">
        <f t="shared" si="50"/>
        <v>0</v>
      </c>
      <c r="E177" s="562">
        <f t="shared" si="51"/>
        <v>0.89663662351992102</v>
      </c>
      <c r="F177" s="562">
        <f t="shared" si="52"/>
        <v>4.3712382057526007</v>
      </c>
      <c r="G177" s="562">
        <f t="shared" si="53"/>
        <v>4.5705396493466104</v>
      </c>
      <c r="H177" s="562">
        <f t="shared" si="54"/>
        <v>4.6674378536370043</v>
      </c>
      <c r="I177" s="562">
        <f t="shared" si="55"/>
        <v>4.7643360579273981</v>
      </c>
      <c r="J177" s="562">
        <f t="shared" si="56"/>
        <v>4.8612342622177884</v>
      </c>
      <c r="K177" s="562">
        <f t="shared" si="57"/>
        <v>4.9581324665081823</v>
      </c>
      <c r="M177" s="545" t="s">
        <v>587</v>
      </c>
      <c r="N177" s="535" t="s">
        <v>566</v>
      </c>
      <c r="O177" s="877"/>
      <c r="P177" s="877">
        <v>16.808271672135472</v>
      </c>
      <c r="Q177" s="881">
        <v>21.756320434312869</v>
      </c>
      <c r="R177" s="881">
        <v>26.227429234515608</v>
      </c>
      <c r="S177" s="881">
        <v>27.423237896079673</v>
      </c>
      <c r="T177" s="881">
        <v>28.004627121822036</v>
      </c>
      <c r="U177" s="881">
        <v>28.586016347564392</v>
      </c>
      <c r="V177" s="881">
        <v>29.167405573306745</v>
      </c>
      <c r="W177" s="759">
        <v>29.748794799049094</v>
      </c>
    </row>
    <row r="178" spans="2:23" outlineLevel="1" x14ac:dyDescent="0.3">
      <c r="B178" s="545" t="s">
        <v>588</v>
      </c>
      <c r="C178" s="553" t="s">
        <v>566</v>
      </c>
      <c r="D178" s="562">
        <f t="shared" si="50"/>
        <v>0</v>
      </c>
      <c r="E178" s="562">
        <f t="shared" si="51"/>
        <v>1.1207957793999022</v>
      </c>
      <c r="F178" s="562">
        <f t="shared" si="52"/>
        <v>5.0863673528774385</v>
      </c>
      <c r="G178" s="562">
        <f t="shared" si="53"/>
        <v>4.8355981315779033</v>
      </c>
      <c r="H178" s="562">
        <f t="shared" si="54"/>
        <v>4.6567938257965977</v>
      </c>
      <c r="I178" s="562">
        <f t="shared" si="55"/>
        <v>4.5419986802211554</v>
      </c>
      <c r="J178" s="562">
        <f t="shared" si="56"/>
        <v>4.4860160214215377</v>
      </c>
      <c r="K178" s="562">
        <f t="shared" si="57"/>
        <v>4.4860160214215377</v>
      </c>
      <c r="M178" s="545" t="s">
        <v>588</v>
      </c>
      <c r="N178" s="535" t="s">
        <v>566</v>
      </c>
      <c r="O178" s="877"/>
      <c r="P178" s="877">
        <v>19.609650284158047</v>
      </c>
      <c r="Q178" s="879">
        <v>27.195400542891086</v>
      </c>
      <c r="R178" s="879">
        <v>30.518204117264631</v>
      </c>
      <c r="S178" s="879">
        <v>29.013588789467427</v>
      </c>
      <c r="T178" s="879">
        <v>27.940762954779586</v>
      </c>
      <c r="U178" s="879">
        <v>27.251992081326932</v>
      </c>
      <c r="V178" s="879">
        <v>26.916096128529237</v>
      </c>
      <c r="W178" s="759">
        <v>26.916096128529237</v>
      </c>
    </row>
    <row r="179" spans="2:23" outlineLevel="1" x14ac:dyDescent="0.3">
      <c r="B179" s="544" t="s">
        <v>589</v>
      </c>
      <c r="C179" s="553" t="s">
        <v>566</v>
      </c>
      <c r="D179" s="562">
        <f t="shared" si="50"/>
        <v>0</v>
      </c>
      <c r="E179" s="562">
        <f t="shared" si="51"/>
        <v>1.8679929656665024</v>
      </c>
      <c r="F179" s="562">
        <f t="shared" si="52"/>
        <v>8.4772789214623927</v>
      </c>
      <c r="G179" s="562">
        <f t="shared" si="53"/>
        <v>8.0593302192965055</v>
      </c>
      <c r="H179" s="562">
        <f t="shared" si="54"/>
        <v>7.7613230429943272</v>
      </c>
      <c r="I179" s="562">
        <f t="shared" si="55"/>
        <v>7.5699978003685899</v>
      </c>
      <c r="J179" s="562">
        <f t="shared" si="56"/>
        <v>7.4766933690358997</v>
      </c>
      <c r="K179" s="562">
        <f t="shared" si="57"/>
        <v>7.4766933690358997</v>
      </c>
      <c r="M179" s="544" t="s">
        <v>589</v>
      </c>
      <c r="N179" s="536" t="s">
        <v>566</v>
      </c>
      <c r="O179" s="877"/>
      <c r="P179" s="877">
        <v>44.279855480356886</v>
      </c>
      <c r="Q179" s="881">
        <v>45.325667571485141</v>
      </c>
      <c r="R179" s="881">
        <v>50.863673528774378</v>
      </c>
      <c r="S179" s="879">
        <v>48.35598131577904</v>
      </c>
      <c r="T179" s="879">
        <v>46.56793825796597</v>
      </c>
      <c r="U179" s="879">
        <v>45.419986802211547</v>
      </c>
      <c r="V179" s="879">
        <v>44.860160214215391</v>
      </c>
      <c r="W179" s="759">
        <v>44.860160214215391</v>
      </c>
    </row>
    <row r="180" spans="2:23" outlineLevel="1" x14ac:dyDescent="0.3">
      <c r="B180" s="495" t="s">
        <v>468</v>
      </c>
      <c r="C180" s="494" t="s">
        <v>566</v>
      </c>
      <c r="D180" s="493">
        <f>-D144-D145-D146-D147-D148-D159-D172</f>
        <v>-18.073035406927659</v>
      </c>
      <c r="E180" s="493">
        <f t="shared" ref="E180:K180" si="58">-E144-E145-E146-E147-E148-E159-E172</f>
        <v>149.3330263339966</v>
      </c>
      <c r="F180" s="493">
        <f t="shared" si="58"/>
        <v>304.9733303009362</v>
      </c>
      <c r="G180" s="493">
        <f t="shared" si="58"/>
        <v>489.78130223710639</v>
      </c>
      <c r="H180" s="493">
        <f t="shared" si="58"/>
        <v>589.14442241011852</v>
      </c>
      <c r="I180" s="493">
        <f t="shared" si="58"/>
        <v>646.02354640364331</v>
      </c>
      <c r="J180" s="493">
        <f t="shared" si="58"/>
        <v>650.70123433758533</v>
      </c>
      <c r="K180" s="493">
        <f t="shared" si="58"/>
        <v>747.78976203732771</v>
      </c>
      <c r="M180" s="569" t="s">
        <v>594</v>
      </c>
      <c r="N180" s="534" t="s">
        <v>566</v>
      </c>
      <c r="O180" s="568"/>
      <c r="P180" s="568"/>
      <c r="Q180" s="568"/>
      <c r="R180" s="568"/>
      <c r="S180" s="568"/>
      <c r="T180" s="568"/>
      <c r="U180" s="568"/>
      <c r="V180" s="568"/>
      <c r="W180" s="568"/>
    </row>
    <row r="181" spans="2:23" outlineLevel="1" x14ac:dyDescent="0.3">
      <c r="B181" s="495" t="s">
        <v>617</v>
      </c>
      <c r="C181" s="494"/>
      <c r="D181" s="493">
        <f>-D152-D165</f>
        <v>0</v>
      </c>
      <c r="E181" s="493">
        <f t="shared" ref="E181:K181" si="59">-E152-E165</f>
        <v>3.1756885508687276</v>
      </c>
      <c r="F181" s="493">
        <f t="shared" si="59"/>
        <v>21.809902190743216</v>
      </c>
      <c r="G181" s="493">
        <f t="shared" si="59"/>
        <v>51.330420635231462</v>
      </c>
      <c r="H181" s="493">
        <f t="shared" si="59"/>
        <v>56.241007134800583</v>
      </c>
      <c r="I181" s="493">
        <f t="shared" si="59"/>
        <v>61.151593634369846</v>
      </c>
      <c r="J181" s="493">
        <f t="shared" si="59"/>
        <v>66.062180133939023</v>
      </c>
      <c r="K181" s="493">
        <f t="shared" si="59"/>
        <v>70.972766633508186</v>
      </c>
      <c r="M181" s="569" t="s">
        <v>595</v>
      </c>
      <c r="N181" s="534" t="s">
        <v>566</v>
      </c>
      <c r="O181" s="568"/>
      <c r="P181" s="568"/>
      <c r="Q181" s="568"/>
      <c r="R181" s="568"/>
      <c r="S181" s="568"/>
      <c r="T181" s="568"/>
      <c r="U181" s="568"/>
      <c r="V181" s="568"/>
      <c r="W181" s="568"/>
    </row>
    <row r="182" spans="2:23" outlineLevel="1" x14ac:dyDescent="0.3">
      <c r="M182" s="492"/>
      <c r="N182" s="491"/>
      <c r="O182" s="490"/>
      <c r="P182" s="490"/>
      <c r="Q182" s="490"/>
      <c r="R182" s="490"/>
      <c r="S182" s="490"/>
      <c r="T182" s="490"/>
      <c r="U182" s="490"/>
      <c r="V182" s="490"/>
      <c r="W182" s="490"/>
    </row>
    <row r="183" spans="2:23" x14ac:dyDescent="0.3">
      <c r="B183" s="262" t="s">
        <v>724</v>
      </c>
      <c r="C183" s="181"/>
    </row>
    <row r="184" spans="2:23" x14ac:dyDescent="0.3">
      <c r="B184" s="679" t="s">
        <v>657</v>
      </c>
      <c r="C184" s="541" t="s">
        <v>293</v>
      </c>
      <c r="D184" s="540">
        <v>2015</v>
      </c>
      <c r="E184" s="540">
        <v>2020</v>
      </c>
      <c r="F184" s="540">
        <v>2025</v>
      </c>
      <c r="G184" s="540">
        <v>2030</v>
      </c>
      <c r="H184" s="540">
        <v>2035</v>
      </c>
      <c r="I184" s="540">
        <v>2040</v>
      </c>
      <c r="J184" s="540">
        <v>2045</v>
      </c>
      <c r="K184" s="540">
        <v>2050</v>
      </c>
    </row>
    <row r="185" spans="2:23" x14ac:dyDescent="0.3">
      <c r="B185" s="183"/>
      <c r="C185" s="253" t="s">
        <v>318</v>
      </c>
      <c r="D185" s="489">
        <v>2</v>
      </c>
      <c r="E185" s="489">
        <v>3</v>
      </c>
      <c r="F185" s="489">
        <v>4</v>
      </c>
      <c r="G185" s="489">
        <v>5</v>
      </c>
      <c r="H185" s="489">
        <v>6</v>
      </c>
      <c r="I185" s="489">
        <v>7</v>
      </c>
      <c r="J185" s="489">
        <v>8</v>
      </c>
      <c r="K185" s="489">
        <v>9</v>
      </c>
      <c r="M185" s="519"/>
    </row>
    <row r="186" spans="2:23" x14ac:dyDescent="0.3">
      <c r="B186" s="191" t="s">
        <v>231</v>
      </c>
      <c r="C186" s="183">
        <v>1</v>
      </c>
      <c r="D186" s="562">
        <f t="shared" ref="D186:K186" si="60">SUMPRODUCT(D$76:D$118,$N$17:$N$59)</f>
        <v>0</v>
      </c>
      <c r="E186" s="562">
        <f t="shared" si="60"/>
        <v>0</v>
      </c>
      <c r="F186" s="562">
        <f t="shared" si="60"/>
        <v>0</v>
      </c>
      <c r="G186" s="562">
        <f t="shared" si="60"/>
        <v>0</v>
      </c>
      <c r="H186" s="562">
        <f t="shared" si="60"/>
        <v>0</v>
      </c>
      <c r="I186" s="562">
        <f t="shared" si="60"/>
        <v>0</v>
      </c>
      <c r="J186" s="562">
        <f t="shared" si="60"/>
        <v>0</v>
      </c>
      <c r="K186" s="562">
        <f t="shared" si="60"/>
        <v>0</v>
      </c>
      <c r="M186" s="498"/>
    </row>
    <row r="187" spans="2:23" x14ac:dyDescent="0.3">
      <c r="B187" s="191" t="s">
        <v>209</v>
      </c>
      <c r="C187" s="183">
        <v>2</v>
      </c>
      <c r="D187" s="562">
        <f t="shared" ref="D187:K187" si="61">SUMPRODUCT(D$76:D$118,$O$17:$O$59)</f>
        <v>0</v>
      </c>
      <c r="E187" s="562">
        <f t="shared" si="61"/>
        <v>0</v>
      </c>
      <c r="F187" s="562">
        <f t="shared" si="61"/>
        <v>0</v>
      </c>
      <c r="G187" s="562">
        <f t="shared" si="61"/>
        <v>0</v>
      </c>
      <c r="H187" s="562">
        <f t="shared" si="61"/>
        <v>0</v>
      </c>
      <c r="I187" s="562">
        <f t="shared" si="61"/>
        <v>0</v>
      </c>
      <c r="J187" s="562">
        <f t="shared" si="61"/>
        <v>0</v>
      </c>
      <c r="K187" s="562">
        <f t="shared" si="61"/>
        <v>0</v>
      </c>
      <c r="M187" s="498"/>
    </row>
    <row r="188" spans="2:23" x14ac:dyDescent="0.3">
      <c r="B188" s="191" t="s">
        <v>133</v>
      </c>
      <c r="C188" s="183">
        <v>23</v>
      </c>
      <c r="D188" s="562">
        <f t="shared" ref="D188:K188" si="62">SUMPRODUCT(D$76:D$118,$P$17:$P$59)</f>
        <v>0</v>
      </c>
      <c r="E188" s="562">
        <f t="shared" si="62"/>
        <v>0</v>
      </c>
      <c r="F188" s="562">
        <f t="shared" si="62"/>
        <v>0</v>
      </c>
      <c r="G188" s="562">
        <f t="shared" si="62"/>
        <v>0</v>
      </c>
      <c r="H188" s="562">
        <f t="shared" si="62"/>
        <v>0</v>
      </c>
      <c r="I188" s="562">
        <f t="shared" si="62"/>
        <v>0</v>
      </c>
      <c r="J188" s="562">
        <f t="shared" si="62"/>
        <v>0</v>
      </c>
      <c r="K188" s="562">
        <f t="shared" si="62"/>
        <v>0</v>
      </c>
      <c r="M188" s="498"/>
    </row>
    <row r="189" spans="2:23" x14ac:dyDescent="0.3">
      <c r="B189" s="191" t="s">
        <v>285</v>
      </c>
      <c r="C189" s="183">
        <v>24</v>
      </c>
      <c r="D189" s="562">
        <f t="shared" ref="D189:K189" si="63">SUMPRODUCT(D$76:D$118,$Q$17:$Q$59)</f>
        <v>0</v>
      </c>
      <c r="E189" s="562">
        <f t="shared" si="63"/>
        <v>-0.60266220907056312</v>
      </c>
      <c r="F189" s="562">
        <f t="shared" si="63"/>
        <v>1.2879801536822129</v>
      </c>
      <c r="G189" s="562">
        <f t="shared" si="63"/>
        <v>3.1786225164349879</v>
      </c>
      <c r="H189" s="562">
        <f t="shared" si="63"/>
        <v>-5.2918296625326278</v>
      </c>
      <c r="I189" s="562">
        <f t="shared" si="63"/>
        <v>-13.762281841500243</v>
      </c>
      <c r="J189" s="562">
        <f t="shared" si="63"/>
        <v>-17.99750793098405</v>
      </c>
      <c r="K189" s="562">
        <f t="shared" si="63"/>
        <v>-30.703186199435478</v>
      </c>
      <c r="M189" s="498"/>
    </row>
    <row r="190" spans="2:23" x14ac:dyDescent="0.3">
      <c r="B190" s="191" t="s">
        <v>315</v>
      </c>
      <c r="C190" s="183">
        <v>26</v>
      </c>
      <c r="D190" s="562">
        <f t="shared" ref="D190:K190" si="64">SUMPRODUCT(D$76:D$118,$R$17:$R$59)</f>
        <v>0</v>
      </c>
      <c r="E190" s="562">
        <f t="shared" si="64"/>
        <v>0</v>
      </c>
      <c r="F190" s="562">
        <f t="shared" si="64"/>
        <v>0</v>
      </c>
      <c r="G190" s="562">
        <f t="shared" si="64"/>
        <v>0</v>
      </c>
      <c r="H190" s="562">
        <f t="shared" si="64"/>
        <v>0</v>
      </c>
      <c r="I190" s="562">
        <f t="shared" si="64"/>
        <v>0</v>
      </c>
      <c r="J190" s="562">
        <f t="shared" si="64"/>
        <v>0</v>
      </c>
      <c r="K190" s="562">
        <f t="shared" si="64"/>
        <v>0</v>
      </c>
      <c r="M190" s="498"/>
    </row>
    <row r="191" spans="2:23" x14ac:dyDescent="0.3">
      <c r="B191" s="191" t="s">
        <v>38</v>
      </c>
      <c r="C191" s="183">
        <v>29</v>
      </c>
      <c r="D191" s="562">
        <f t="shared" ref="D191:K191" si="65">SUMPRODUCT(D$76:D$118,$S$17:$S$59)</f>
        <v>0</v>
      </c>
      <c r="E191" s="562">
        <f t="shared" si="65"/>
        <v>-4.0195566117076851</v>
      </c>
      <c r="F191" s="562">
        <f t="shared" si="65"/>
        <v>-16.990619099630145</v>
      </c>
      <c r="G191" s="562">
        <f t="shared" si="65"/>
        <v>-23.846498760386034</v>
      </c>
      <c r="H191" s="562">
        <f t="shared" si="65"/>
        <v>-25.270062007742055</v>
      </c>
      <c r="I191" s="562">
        <f t="shared" si="65"/>
        <v>-26.719952058692556</v>
      </c>
      <c r="J191" s="562">
        <f t="shared" si="65"/>
        <v>-28.194275176247558</v>
      </c>
      <c r="K191" s="562">
        <f t="shared" si="65"/>
        <v>-29.691314997269458</v>
      </c>
      <c r="M191" s="498"/>
    </row>
    <row r="192" spans="2:23" x14ac:dyDescent="0.3">
      <c r="B192" s="191" t="s">
        <v>136</v>
      </c>
      <c r="C192" s="183">
        <v>30</v>
      </c>
      <c r="D192" s="562">
        <f t="shared" ref="D192:K192" si="66">SUMPRODUCT(D$76:D$118,$T$17:$T$59)</f>
        <v>-8.9056800000003031E-2</v>
      </c>
      <c r="E192" s="562">
        <f t="shared" si="66"/>
        <v>-1.3748022817435954</v>
      </c>
      <c r="F192" s="562">
        <f t="shared" si="66"/>
        <v>-1.6424863657436028</v>
      </c>
      <c r="G192" s="562">
        <f t="shared" si="66"/>
        <v>-2.0541351097436014</v>
      </c>
      <c r="H192" s="562">
        <f t="shared" si="66"/>
        <v>-2.1893909497435953</v>
      </c>
      <c r="I192" s="562">
        <f t="shared" si="66"/>
        <v>-2.4712841897436255</v>
      </c>
      <c r="J192" s="562">
        <f t="shared" si="66"/>
        <v>-2.7563123197435853</v>
      </c>
      <c r="K192" s="562">
        <f t="shared" si="66"/>
        <v>-3.0308224997436066</v>
      </c>
      <c r="M192" s="498"/>
    </row>
    <row r="193" spans="1:13" x14ac:dyDescent="0.3">
      <c r="B193" s="191" t="s">
        <v>360</v>
      </c>
      <c r="C193" s="183">
        <v>31</v>
      </c>
      <c r="D193" s="562">
        <f t="shared" ref="D193:K193" si="67">SUMPRODUCT(D$76:D$118,$U$17:$U$59)</f>
        <v>0</v>
      </c>
      <c r="E193" s="562">
        <f t="shared" si="67"/>
        <v>-2.2387561020445119</v>
      </c>
      <c r="F193" s="562">
        <f t="shared" si="67"/>
        <v>-2.6449688639646354</v>
      </c>
      <c r="G193" s="562">
        <f t="shared" si="67"/>
        <v>-3.0511816258847517</v>
      </c>
      <c r="H193" s="562">
        <f t="shared" si="67"/>
        <v>-2.8820293905798806</v>
      </c>
      <c r="I193" s="562">
        <f t="shared" si="67"/>
        <v>-2.7128771552750024</v>
      </c>
      <c r="J193" s="562">
        <f t="shared" si="67"/>
        <v>-2.6283010376225704</v>
      </c>
      <c r="K193" s="562">
        <f t="shared" si="67"/>
        <v>-2.3745726846652566</v>
      </c>
      <c r="M193" s="498"/>
    </row>
    <row r="194" spans="1:13" x14ac:dyDescent="0.3">
      <c r="B194" s="191" t="s">
        <v>361</v>
      </c>
      <c r="C194" s="183">
        <v>32</v>
      </c>
      <c r="D194" s="562">
        <f t="shared" ref="D194:K194" si="68">SUMPRODUCT(D$76:D$118,$V$17:$V$59)</f>
        <v>0</v>
      </c>
      <c r="E194" s="562">
        <f t="shared" si="68"/>
        <v>-5.8207658653157308</v>
      </c>
      <c r="F194" s="562">
        <f t="shared" si="68"/>
        <v>-6.8769190463080525</v>
      </c>
      <c r="G194" s="562">
        <f t="shared" si="68"/>
        <v>-7.9330722273003547</v>
      </c>
      <c r="H194" s="562">
        <f t="shared" si="68"/>
        <v>-7.4932764155076894</v>
      </c>
      <c r="I194" s="562">
        <f t="shared" si="68"/>
        <v>-7.0534806037150064</v>
      </c>
      <c r="J194" s="562">
        <f t="shared" si="68"/>
        <v>-6.8335826978186835</v>
      </c>
      <c r="K194" s="562">
        <f t="shared" si="68"/>
        <v>-6.173888980129667</v>
      </c>
      <c r="M194" s="498"/>
    </row>
    <row r="195" spans="1:13" x14ac:dyDescent="0.3">
      <c r="B195" s="191" t="s">
        <v>362</v>
      </c>
      <c r="C195" s="183">
        <v>33</v>
      </c>
      <c r="D195" s="562">
        <f t="shared" ref="D195:K195" si="69">SUMPRODUCT(D$76:D$118,$W$17:$W$59)</f>
        <v>0</v>
      </c>
      <c r="E195" s="562">
        <f t="shared" si="69"/>
        <v>-0.89550244081780483</v>
      </c>
      <c r="F195" s="562">
        <f t="shared" si="69"/>
        <v>-1.0579875455858543</v>
      </c>
      <c r="G195" s="562">
        <f t="shared" si="69"/>
        <v>-1.2204726503539007</v>
      </c>
      <c r="H195" s="562">
        <f t="shared" si="69"/>
        <v>-1.1528117562319522</v>
      </c>
      <c r="I195" s="562">
        <f t="shared" si="69"/>
        <v>-1.085150862110001</v>
      </c>
      <c r="J195" s="562">
        <f t="shared" si="69"/>
        <v>-1.0513204150490283</v>
      </c>
      <c r="K195" s="562">
        <f t="shared" si="69"/>
        <v>-0.94982907386610271</v>
      </c>
      <c r="M195" s="498"/>
    </row>
    <row r="196" spans="1:13" x14ac:dyDescent="0.3">
      <c r="B196" s="191" t="s">
        <v>363</v>
      </c>
      <c r="C196" s="183">
        <v>55</v>
      </c>
      <c r="D196" s="562">
        <f t="shared" ref="D196:K196" si="70">SUMPRODUCT(D$76:D$118,$X$17:$X$59)</f>
        <v>0</v>
      </c>
      <c r="E196" s="562">
        <f t="shared" si="70"/>
        <v>0</v>
      </c>
      <c r="F196" s="562">
        <f t="shared" si="70"/>
        <v>0</v>
      </c>
      <c r="G196" s="562">
        <f t="shared" si="70"/>
        <v>0</v>
      </c>
      <c r="H196" s="562">
        <f t="shared" si="70"/>
        <v>0</v>
      </c>
      <c r="I196" s="562">
        <f t="shared" si="70"/>
        <v>0</v>
      </c>
      <c r="J196" s="562">
        <f t="shared" si="70"/>
        <v>0</v>
      </c>
      <c r="K196" s="562">
        <f t="shared" si="70"/>
        <v>0</v>
      </c>
      <c r="M196" s="498"/>
    </row>
    <row r="197" spans="1:13" x14ac:dyDescent="0.3">
      <c r="B197" s="259" t="s">
        <v>204</v>
      </c>
      <c r="C197" s="251">
        <v>101</v>
      </c>
      <c r="D197" s="562">
        <f t="shared" ref="D197:K197" si="71">SUMPRODUCT(D$76:D$118,$Y$17:$Y$59)</f>
        <v>0</v>
      </c>
      <c r="E197" s="562">
        <f t="shared" si="71"/>
        <v>0</v>
      </c>
      <c r="F197" s="562">
        <f t="shared" si="71"/>
        <v>0</v>
      </c>
      <c r="G197" s="562">
        <f t="shared" si="71"/>
        <v>0</v>
      </c>
      <c r="H197" s="562">
        <f t="shared" si="71"/>
        <v>0</v>
      </c>
      <c r="I197" s="562">
        <f t="shared" si="71"/>
        <v>0</v>
      </c>
      <c r="J197" s="562">
        <f t="shared" si="71"/>
        <v>0</v>
      </c>
      <c r="K197" s="562">
        <f t="shared" si="71"/>
        <v>0</v>
      </c>
      <c r="M197" s="498"/>
    </row>
    <row r="198" spans="1:13" x14ac:dyDescent="0.3">
      <c r="B198" s="259" t="s">
        <v>364</v>
      </c>
      <c r="C198" s="251">
        <v>102</v>
      </c>
      <c r="D198" s="562">
        <f t="shared" ref="D198:K198" si="72">SUMPRODUCT(D$76:D$118,$Z$17:$Z$59)</f>
        <v>0</v>
      </c>
      <c r="E198" s="562">
        <f t="shared" si="72"/>
        <v>-3.9710236771377652</v>
      </c>
      <c r="F198" s="562">
        <f t="shared" si="72"/>
        <v>10.763454372664327</v>
      </c>
      <c r="G198" s="562">
        <f t="shared" si="72"/>
        <v>10.73234509669966</v>
      </c>
      <c r="H198" s="562">
        <f t="shared" si="72"/>
        <v>10.584781422180185</v>
      </c>
      <c r="I198" s="562">
        <f t="shared" si="72"/>
        <v>10.522563294601838</v>
      </c>
      <c r="J198" s="562">
        <f t="shared" si="72"/>
        <v>10.5387618160579</v>
      </c>
      <c r="K198" s="562">
        <f t="shared" si="72"/>
        <v>10.629603882580156</v>
      </c>
      <c r="M198" s="498"/>
    </row>
    <row r="199" spans="1:13" x14ac:dyDescent="0.3">
      <c r="B199" s="259" t="s">
        <v>662</v>
      </c>
      <c r="C199" s="251">
        <v>103</v>
      </c>
      <c r="D199" s="562">
        <f>-SUMPRODUCT(D$76:D$118,$AA$17:$AA$59)</f>
        <v>0.13358520000000454</v>
      </c>
      <c r="E199" s="562">
        <f t="shared" ref="E199:K199" si="73">-SUMPRODUCT(E$76:E$118,$AA$17:$AA$59)</f>
        <v>132.39613359225177</v>
      </c>
      <c r="F199" s="562">
        <f t="shared" si="73"/>
        <v>203.90885208747503</v>
      </c>
      <c r="G199" s="562">
        <f t="shared" si="73"/>
        <v>276.31727798936492</v>
      </c>
      <c r="H199" s="562">
        <f t="shared" si="73"/>
        <v>277.00560815138334</v>
      </c>
      <c r="I199" s="562">
        <f t="shared" si="73"/>
        <v>278.59458191340161</v>
      </c>
      <c r="J199" s="562">
        <f t="shared" si="73"/>
        <v>279.62183168441084</v>
      </c>
      <c r="K199" s="562">
        <f t="shared" si="73"/>
        <v>281.85467280743848</v>
      </c>
      <c r="L199" s="3" t="s">
        <v>663</v>
      </c>
      <c r="M199" s="498"/>
    </row>
    <row r="200" spans="1:13" x14ac:dyDescent="0.3">
      <c r="B200" s="260" t="s">
        <v>661</v>
      </c>
      <c r="C200" s="252">
        <v>104</v>
      </c>
      <c r="D200" s="562">
        <f>SUMPRODUCT(D$76:D$118,$AB$17:$AB$59)+D120+D84</f>
        <v>0</v>
      </c>
      <c r="E200" s="562">
        <f t="shared" ref="E200:K200" si="74">SUMPRODUCT(E$76:E$118,$AB$17:$AB$59)+E120+E84</f>
        <v>28.807432248711905</v>
      </c>
      <c r="F200" s="562">
        <f t="shared" si="74"/>
        <v>45.050349950967217</v>
      </c>
      <c r="G200" s="562">
        <f t="shared" si="74"/>
        <v>51.697414882281066</v>
      </c>
      <c r="H200" s="562">
        <f t="shared" si="74"/>
        <v>72.795907339365414</v>
      </c>
      <c r="I200" s="562">
        <f>SUMPRODUCT(I$76:I$118,$AB$17:$AB$59)+I120+I84</f>
        <v>94.910164100044085</v>
      </c>
      <c r="J200" s="562">
        <f t="shared" si="74"/>
        <v>114.87694213219874</v>
      </c>
      <c r="K200" s="562">
        <f t="shared" si="74"/>
        <v>142.48096979401481</v>
      </c>
      <c r="M200" s="519"/>
    </row>
    <row r="201" spans="1:13" x14ac:dyDescent="0.3">
      <c r="B201" s="260" t="s">
        <v>468</v>
      </c>
      <c r="C201" s="252">
        <v>105</v>
      </c>
      <c r="D201" s="562">
        <f>D119</f>
        <v>-18.41936740692762</v>
      </c>
      <c r="E201" s="562">
        <f t="shared" ref="E201:K201" si="75">E119</f>
        <v>98.835636010638581</v>
      </c>
      <c r="F201" s="562">
        <f t="shared" si="75"/>
        <v>112.55936458376402</v>
      </c>
      <c r="G201" s="562">
        <f t="shared" si="75"/>
        <v>127.32276522355559</v>
      </c>
      <c r="H201" s="562">
        <f t="shared" si="75"/>
        <v>110.02370098850176</v>
      </c>
      <c r="I201" s="562">
        <f t="shared" si="75"/>
        <v>92.782480253448114</v>
      </c>
      <c r="J201" s="562">
        <f t="shared" si="75"/>
        <v>76.384100223421228</v>
      </c>
      <c r="K201" s="562">
        <f t="shared" si="75"/>
        <v>55.107224647403172</v>
      </c>
    </row>
    <row r="202" spans="1:13" x14ac:dyDescent="0.3">
      <c r="B202" s="183" t="s">
        <v>321</v>
      </c>
      <c r="C202" s="253"/>
      <c r="D202" s="562"/>
      <c r="E202" s="562"/>
      <c r="F202" s="562"/>
      <c r="G202" s="562"/>
      <c r="H202" s="562"/>
      <c r="I202" s="562"/>
      <c r="J202" s="562"/>
      <c r="K202" s="562"/>
    </row>
    <row r="203" spans="1:13" x14ac:dyDescent="0.3">
      <c r="B203" s="191" t="s">
        <v>650</v>
      </c>
      <c r="C203" s="253" t="s">
        <v>75</v>
      </c>
      <c r="D203" s="562">
        <f>D72</f>
        <v>-2570.7648582056499</v>
      </c>
      <c r="E203" s="562">
        <f t="shared" ref="E203:K203" si="76">E72</f>
        <v>-5158.3743484126317</v>
      </c>
      <c r="F203" s="562">
        <f t="shared" si="76"/>
        <v>-6463.3106548946889</v>
      </c>
      <c r="G203" s="562">
        <f t="shared" si="76"/>
        <v>-7768.2469613767389</v>
      </c>
      <c r="H203" s="562">
        <f t="shared" si="76"/>
        <v>-7013.2366802792967</v>
      </c>
      <c r="I203" s="562">
        <f t="shared" si="76"/>
        <v>-6258.2263991818618</v>
      </c>
      <c r="J203" s="562">
        <f t="shared" si="76"/>
        <v>-5880.7212586331516</v>
      </c>
      <c r="K203" s="562">
        <f t="shared" si="76"/>
        <v>-4748.2058369870138</v>
      </c>
    </row>
    <row r="204" spans="1:13" x14ac:dyDescent="0.3">
      <c r="B204" s="279" t="s">
        <v>323</v>
      </c>
      <c r="C204" s="253" t="s">
        <v>75</v>
      </c>
      <c r="D204" s="562">
        <f>D66+D67+D68</f>
        <v>-2458.9819359131066</v>
      </c>
      <c r="E204" s="562">
        <f t="shared" ref="E204:K204" si="77">E66+E67+E68</f>
        <v>-4917.9638718262149</v>
      </c>
      <c r="F204" s="562">
        <f t="shared" si="77"/>
        <v>-7366.6519327419792</v>
      </c>
      <c r="G204" s="562">
        <f t="shared" si="77"/>
        <v>-9815.3399936577462</v>
      </c>
      <c r="H204" s="562">
        <f t="shared" si="77"/>
        <v>-9380.1295454993815</v>
      </c>
      <c r="I204" s="562">
        <f t="shared" si="77"/>
        <v>-8944.9190973410186</v>
      </c>
      <c r="J204" s="562">
        <f t="shared" si="77"/>
        <v>-8727.3138732618354</v>
      </c>
      <c r="K204" s="562">
        <f t="shared" si="77"/>
        <v>-8074.4982010242893</v>
      </c>
    </row>
    <row r="205" spans="1:13" x14ac:dyDescent="0.3">
      <c r="B205" s="279" t="s">
        <v>324</v>
      </c>
      <c r="C205" s="253" t="s">
        <v>75</v>
      </c>
      <c r="D205" s="562">
        <f>D69+D70+D71</f>
        <v>-111.78292229254168</v>
      </c>
      <c r="E205" s="562">
        <f t="shared" ref="E205:K205" si="78">E69+E70+E71</f>
        <v>-223.56584458508337</v>
      </c>
      <c r="F205" s="562">
        <f t="shared" si="78"/>
        <v>864.91449144174749</v>
      </c>
      <c r="G205" s="562">
        <f t="shared" si="78"/>
        <v>1953.394827468579</v>
      </c>
      <c r="H205" s="562">
        <f t="shared" si="78"/>
        <v>2227.0240779016153</v>
      </c>
      <c r="I205" s="562">
        <f t="shared" si="78"/>
        <v>2500.6533283346516</v>
      </c>
      <c r="J205" s="562">
        <f t="shared" si="78"/>
        <v>2637.46795355117</v>
      </c>
      <c r="K205" s="562">
        <f t="shared" si="78"/>
        <v>3047.9118292007242</v>
      </c>
    </row>
    <row r="206" spans="1:13" x14ac:dyDescent="0.3">
      <c r="B206" s="280" t="s">
        <v>325</v>
      </c>
      <c r="C206" s="253" t="s">
        <v>75</v>
      </c>
      <c r="D206" s="562">
        <f>D69+D70+D71</f>
        <v>-111.78292229254168</v>
      </c>
      <c r="E206" s="562">
        <f t="shared" ref="E206:K206" si="79">E69+E70+E71</f>
        <v>-223.56584458508337</v>
      </c>
      <c r="F206" s="562">
        <f t="shared" si="79"/>
        <v>864.91449144174749</v>
      </c>
      <c r="G206" s="562">
        <f t="shared" si="79"/>
        <v>1953.394827468579</v>
      </c>
      <c r="H206" s="562">
        <f t="shared" si="79"/>
        <v>2227.0240779016153</v>
      </c>
      <c r="I206" s="562">
        <f t="shared" si="79"/>
        <v>2500.6533283346516</v>
      </c>
      <c r="J206" s="562">
        <f t="shared" si="79"/>
        <v>2637.46795355117</v>
      </c>
      <c r="K206" s="562">
        <f t="shared" si="79"/>
        <v>3047.9118292007242</v>
      </c>
    </row>
    <row r="207" spans="1:13" x14ac:dyDescent="0.3">
      <c r="B207" s="280" t="s">
        <v>541</v>
      </c>
      <c r="C207" s="253" t="s">
        <v>75</v>
      </c>
      <c r="D207" s="562"/>
      <c r="E207" s="562"/>
      <c r="F207" s="562"/>
      <c r="G207" s="562"/>
      <c r="H207" s="562"/>
      <c r="I207" s="562"/>
      <c r="J207" s="562"/>
      <c r="K207" s="562"/>
    </row>
    <row r="208" spans="1:13" x14ac:dyDescent="0.3">
      <c r="A208" s="1" t="s">
        <v>7</v>
      </c>
      <c r="B208" s="191" t="s">
        <v>326</v>
      </c>
      <c r="C208" s="253" t="s">
        <v>306</v>
      </c>
      <c r="D208" s="562"/>
      <c r="E208" s="562"/>
      <c r="F208" s="562"/>
      <c r="G208" s="562"/>
      <c r="H208" s="562"/>
      <c r="I208" s="562"/>
      <c r="J208" s="562"/>
      <c r="K208" s="562"/>
    </row>
    <row r="209" spans="2:11" x14ac:dyDescent="0.3">
      <c r="B209" s="307" t="s">
        <v>387</v>
      </c>
      <c r="C209" s="308" t="s">
        <v>388</v>
      </c>
      <c r="D209" s="562">
        <f>D73/1000</f>
        <v>-179.28040643996698</v>
      </c>
      <c r="E209" s="562">
        <f t="shared" ref="E209:J209" si="80">E73/1000</f>
        <v>-358.56081287993493</v>
      </c>
      <c r="F209" s="562">
        <f t="shared" si="80"/>
        <v>-489.29671773480345</v>
      </c>
      <c r="G209" s="562">
        <f t="shared" si="80"/>
        <v>-727.94371066966983</v>
      </c>
      <c r="H209" s="562">
        <f t="shared" si="80"/>
        <v>-695.5214066172764</v>
      </c>
      <c r="I209" s="562">
        <f t="shared" si="80"/>
        <v>-663.09910256488342</v>
      </c>
      <c r="J209" s="562">
        <f t="shared" si="80"/>
        <v>-705.25135461378977</v>
      </c>
      <c r="K209" s="562">
        <f>K73/1000</f>
        <v>-598.25449446009702</v>
      </c>
    </row>
    <row r="210" spans="2:11" x14ac:dyDescent="0.3">
      <c r="B210" s="3"/>
      <c r="C210" s="3"/>
    </row>
    <row r="211" spans="2:11" x14ac:dyDescent="0.3">
      <c r="B211" s="680" t="s">
        <v>658</v>
      </c>
      <c r="C211" s="180"/>
      <c r="D211" s="540">
        <v>2015</v>
      </c>
      <c r="E211" s="540">
        <v>2020</v>
      </c>
      <c r="F211" s="540">
        <v>2025</v>
      </c>
      <c r="G211" s="540">
        <v>2030</v>
      </c>
      <c r="H211" s="540">
        <v>2035</v>
      </c>
      <c r="I211" s="540">
        <v>2040</v>
      </c>
      <c r="J211" s="540">
        <v>2045</v>
      </c>
      <c r="K211" s="540">
        <v>2050</v>
      </c>
    </row>
    <row r="212" spans="2:11" x14ac:dyDescent="0.3">
      <c r="B212" s="183"/>
      <c r="C212" s="253" t="s">
        <v>318</v>
      </c>
      <c r="D212" s="489">
        <v>2</v>
      </c>
      <c r="E212" s="489">
        <v>3</v>
      </c>
      <c r="F212" s="489">
        <v>4</v>
      </c>
      <c r="G212" s="489">
        <v>5</v>
      </c>
      <c r="H212" s="489">
        <v>6</v>
      </c>
      <c r="I212" s="489">
        <v>7</v>
      </c>
      <c r="J212" s="489">
        <v>8</v>
      </c>
      <c r="K212" s="489">
        <v>9</v>
      </c>
    </row>
    <row r="213" spans="2:11" x14ac:dyDescent="0.3">
      <c r="B213" s="191" t="s">
        <v>231</v>
      </c>
      <c r="C213" s="183">
        <v>1</v>
      </c>
      <c r="D213" s="562">
        <f>SUMPRODUCT(D$137:D$179,$N$17:$N$59)</f>
        <v>0</v>
      </c>
      <c r="E213" s="562">
        <f t="shared" ref="E213:K213" si="81">SUMPRODUCT(E$137:E$179,$N$17:$N$59)</f>
        <v>0</v>
      </c>
      <c r="F213" s="562">
        <f t="shared" si="81"/>
        <v>0</v>
      </c>
      <c r="G213" s="562">
        <f t="shared" si="81"/>
        <v>0</v>
      </c>
      <c r="H213" s="562">
        <f t="shared" si="81"/>
        <v>0</v>
      </c>
      <c r="I213" s="562">
        <f t="shared" si="81"/>
        <v>0</v>
      </c>
      <c r="J213" s="562">
        <f t="shared" si="81"/>
        <v>0</v>
      </c>
      <c r="K213" s="562">
        <f t="shared" si="81"/>
        <v>0</v>
      </c>
    </row>
    <row r="214" spans="2:11" x14ac:dyDescent="0.3">
      <c r="B214" s="191" t="s">
        <v>209</v>
      </c>
      <c r="C214" s="183">
        <v>2</v>
      </c>
      <c r="D214" s="562">
        <f>SUMPRODUCT(D$137:D$179,$O$17:$O$59)</f>
        <v>0</v>
      </c>
      <c r="E214" s="562">
        <f t="shared" ref="E214:K214" si="82">SUMPRODUCT(E$137:E$179,$O$17:$O$59)</f>
        <v>0</v>
      </c>
      <c r="F214" s="562">
        <f t="shared" si="82"/>
        <v>0</v>
      </c>
      <c r="G214" s="562">
        <f t="shared" si="82"/>
        <v>0</v>
      </c>
      <c r="H214" s="562">
        <f t="shared" si="82"/>
        <v>0</v>
      </c>
      <c r="I214" s="562">
        <f t="shared" si="82"/>
        <v>0</v>
      </c>
      <c r="J214" s="562">
        <f t="shared" si="82"/>
        <v>0</v>
      </c>
      <c r="K214" s="562">
        <f t="shared" si="82"/>
        <v>0</v>
      </c>
    </row>
    <row r="215" spans="2:11" x14ac:dyDescent="0.3">
      <c r="B215" s="191" t="s">
        <v>133</v>
      </c>
      <c r="C215" s="183">
        <v>23</v>
      </c>
      <c r="D215" s="562">
        <f>SUMPRODUCT(D$137:D$179,$P$17:$P$59)</f>
        <v>0</v>
      </c>
      <c r="E215" s="562">
        <f t="shared" ref="E215:K215" si="83">SUMPRODUCT(E$137:E$179,$P$17:$P$59)</f>
        <v>0</v>
      </c>
      <c r="F215" s="562">
        <f t="shared" si="83"/>
        <v>0</v>
      </c>
      <c r="G215" s="562">
        <f t="shared" si="83"/>
        <v>0</v>
      </c>
      <c r="H215" s="562">
        <f t="shared" si="83"/>
        <v>0</v>
      </c>
      <c r="I215" s="562">
        <f t="shared" si="83"/>
        <v>0</v>
      </c>
      <c r="J215" s="562">
        <f t="shared" si="83"/>
        <v>0</v>
      </c>
      <c r="K215" s="562">
        <f t="shared" si="83"/>
        <v>0</v>
      </c>
    </row>
    <row r="216" spans="2:11" x14ac:dyDescent="0.3">
      <c r="B216" s="191" t="s">
        <v>285</v>
      </c>
      <c r="C216" s="183">
        <v>24</v>
      </c>
      <c r="D216" s="562">
        <f>SUMPRODUCT(D$137:D$179,$Q$17:$Q$59)</f>
        <v>0</v>
      </c>
      <c r="E216" s="562">
        <f t="shared" ref="E216:K216" si="84">SUMPRODUCT(E$137:E$179,$Q$17:$Q$59)</f>
        <v>0.97696132426695925</v>
      </c>
      <c r="F216" s="562">
        <f t="shared" si="84"/>
        <v>12.468583413732834</v>
      </c>
      <c r="G216" s="562">
        <f t="shared" si="84"/>
        <v>23.960205503198711</v>
      </c>
      <c r="H216" s="562">
        <f t="shared" si="84"/>
        <v>27.992368006869523</v>
      </c>
      <c r="I216" s="562">
        <f t="shared" si="84"/>
        <v>32.024530510540345</v>
      </c>
      <c r="J216" s="562">
        <f t="shared" si="84"/>
        <v>34.040611762375747</v>
      </c>
      <c r="K216" s="562">
        <f t="shared" si="84"/>
        <v>40.088855517881967</v>
      </c>
    </row>
    <row r="217" spans="2:11" x14ac:dyDescent="0.3">
      <c r="B217" s="191" t="s">
        <v>315</v>
      </c>
      <c r="C217" s="183">
        <v>26</v>
      </c>
      <c r="D217" s="562">
        <f>SUMPRODUCT(D$137:D$179,$R$17:$R$59)</f>
        <v>0</v>
      </c>
      <c r="E217" s="562">
        <f t="shared" ref="E217:K217" si="85">SUMPRODUCT(E$137:E$179,$R$17:$R$59)</f>
        <v>0</v>
      </c>
      <c r="F217" s="562">
        <f t="shared" si="85"/>
        <v>0</v>
      </c>
      <c r="G217" s="562">
        <f t="shared" si="85"/>
        <v>0</v>
      </c>
      <c r="H217" s="562">
        <f t="shared" si="85"/>
        <v>0</v>
      </c>
      <c r="I217" s="562">
        <f t="shared" si="85"/>
        <v>0</v>
      </c>
      <c r="J217" s="562">
        <f t="shared" si="85"/>
        <v>0</v>
      </c>
      <c r="K217" s="562">
        <f t="shared" si="85"/>
        <v>0</v>
      </c>
    </row>
    <row r="218" spans="2:11" x14ac:dyDescent="0.3">
      <c r="B218" s="191" t="s">
        <v>38</v>
      </c>
      <c r="C218" s="183">
        <v>29</v>
      </c>
      <c r="D218" s="562">
        <f>SUMPRODUCT(D$137:D$179,$S$17:$S$59)</f>
        <v>0</v>
      </c>
      <c r="E218" s="562">
        <f t="shared" ref="E218:K218" si="86">SUMPRODUCT(E$137:E$179,$S$17:$S$59)</f>
        <v>6.3610580789016495</v>
      </c>
      <c r="F218" s="562">
        <f t="shared" si="86"/>
        <v>-31.080328619553384</v>
      </c>
      <c r="G218" s="562">
        <f t="shared" si="86"/>
        <v>-59.267168675541434</v>
      </c>
      <c r="H218" s="562">
        <f t="shared" si="86"/>
        <v>-65.407612436901573</v>
      </c>
      <c r="I218" s="562">
        <f t="shared" si="86"/>
        <v>-71.525493719920306</v>
      </c>
      <c r="J218" s="562">
        <f t="shared" si="86"/>
        <v>-77.621838825700706</v>
      </c>
      <c r="K218" s="562">
        <f t="shared" si="86"/>
        <v>-83.697612740446743</v>
      </c>
    </row>
    <row r="219" spans="2:11" x14ac:dyDescent="0.3">
      <c r="B219" s="191" t="s">
        <v>136</v>
      </c>
      <c r="C219" s="183">
        <v>30</v>
      </c>
      <c r="D219" s="562">
        <f>SUMPRODUCT(D$137:D$179,$T$17:$T$59)</f>
        <v>-0.22758959999998751</v>
      </c>
      <c r="E219" s="562">
        <f t="shared" ref="E219:K219" si="87">SUMPRODUCT(E$137:E$179,$T$17:$T$59)</f>
        <v>-8.1528397001025681</v>
      </c>
      <c r="F219" s="562">
        <f t="shared" si="87"/>
        <v>-21.45157015312823</v>
      </c>
      <c r="G219" s="562">
        <f t="shared" si="87"/>
        <v>-37.519660101538463</v>
      </c>
      <c r="H219" s="562">
        <f t="shared" si="87"/>
        <v>-45.38131593897441</v>
      </c>
      <c r="I219" s="562">
        <f t="shared" si="87"/>
        <v>-46.161045099487218</v>
      </c>
      <c r="J219" s="562">
        <f t="shared" si="87"/>
        <v>-44.899529766153854</v>
      </c>
      <c r="K219" s="562">
        <f t="shared" si="87"/>
        <v>-44.870396512820562</v>
      </c>
    </row>
    <row r="220" spans="2:11" x14ac:dyDescent="0.3">
      <c r="B220" s="191" t="s">
        <v>360</v>
      </c>
      <c r="C220" s="183">
        <v>31</v>
      </c>
      <c r="D220" s="562">
        <f>SUMPRODUCT(D$137:D$179,$U$17:$U$59)</f>
        <v>0</v>
      </c>
      <c r="E220" s="562">
        <f t="shared" ref="E220:K220" si="88">SUMPRODUCT(E$137:E$179,$U$17:$U$59)</f>
        <v>-4.1228074643404664</v>
      </c>
      <c r="F220" s="562">
        <f t="shared" si="88"/>
        <v>-6.3195131684064751</v>
      </c>
      <c r="G220" s="562">
        <f t="shared" si="88"/>
        <v>-8.5162188724724786</v>
      </c>
      <c r="H220" s="562">
        <f t="shared" si="88"/>
        <v>-10.10126197511827</v>
      </c>
      <c r="I220" s="562">
        <f t="shared" si="88"/>
        <v>-11.686305077764057</v>
      </c>
      <c r="J220" s="562">
        <f t="shared" si="88"/>
        <v>-12.478826629086953</v>
      </c>
      <c r="K220" s="562">
        <f t="shared" si="88"/>
        <v>-14.856391283055636</v>
      </c>
    </row>
    <row r="221" spans="2:11" x14ac:dyDescent="0.3">
      <c r="B221" s="191" t="s">
        <v>361</v>
      </c>
      <c r="C221" s="183">
        <v>32</v>
      </c>
      <c r="D221" s="562">
        <f>SUMPRODUCT(D$137:D$179,$V$17:$V$59)</f>
        <v>0</v>
      </c>
      <c r="E221" s="562">
        <f t="shared" ref="E221:K221" si="89">SUMPRODUCT(E$137:E$179,$V$17:$V$59)</f>
        <v>-10.719299407285213</v>
      </c>
      <c r="F221" s="562">
        <f t="shared" si="89"/>
        <v>-16.430734237856836</v>
      </c>
      <c r="G221" s="562">
        <f t="shared" si="89"/>
        <v>-22.142169068428444</v>
      </c>
      <c r="H221" s="562">
        <f t="shared" si="89"/>
        <v>-26.263281135307501</v>
      </c>
      <c r="I221" s="562">
        <f t="shared" si="89"/>
        <v>-30.384393202186551</v>
      </c>
      <c r="J221" s="562">
        <f t="shared" si="89"/>
        <v>-32.444949235626076</v>
      </c>
      <c r="K221" s="562">
        <f t="shared" si="89"/>
        <v>-38.626617335944658</v>
      </c>
    </row>
    <row r="222" spans="2:11" x14ac:dyDescent="0.3">
      <c r="B222" s="191" t="s">
        <v>362</v>
      </c>
      <c r="C222" s="183">
        <v>33</v>
      </c>
      <c r="D222" s="562">
        <f>SUMPRODUCT(D$137:D$179,$W$17:$W$59)</f>
        <v>0</v>
      </c>
      <c r="E222" s="562">
        <f t="shared" ref="E222:K222" si="90">SUMPRODUCT(E$137:E$179,$W$17:$W$59)</f>
        <v>-1.6491229857361867</v>
      </c>
      <c r="F222" s="562">
        <f t="shared" si="90"/>
        <v>-2.5278052673625901</v>
      </c>
      <c r="G222" s="562">
        <f t="shared" si="90"/>
        <v>-3.4064875489889914</v>
      </c>
      <c r="H222" s="562">
        <f t="shared" si="90"/>
        <v>-4.0405047900473079</v>
      </c>
      <c r="I222" s="562">
        <f t="shared" si="90"/>
        <v>-4.6745220311056235</v>
      </c>
      <c r="J222" s="562">
        <f t="shared" si="90"/>
        <v>-4.9915306516347817</v>
      </c>
      <c r="K222" s="562">
        <f t="shared" si="90"/>
        <v>-5.9425565132222546</v>
      </c>
    </row>
    <row r="223" spans="2:11" x14ac:dyDescent="0.3">
      <c r="B223" s="191" t="s">
        <v>363</v>
      </c>
      <c r="C223" s="183">
        <v>55</v>
      </c>
      <c r="D223" s="562">
        <f>SUMPRODUCT(D$137:D$179,$X$17:$X$59)</f>
        <v>0</v>
      </c>
      <c r="E223" s="562">
        <f t="shared" ref="E223:K223" si="91">SUMPRODUCT(E$137:E$179,$X$17:$X$59)</f>
        <v>0</v>
      </c>
      <c r="F223" s="562">
        <f t="shared" si="91"/>
        <v>0</v>
      </c>
      <c r="G223" s="562">
        <f t="shared" si="91"/>
        <v>0</v>
      </c>
      <c r="H223" s="562">
        <f t="shared" si="91"/>
        <v>0</v>
      </c>
      <c r="I223" s="562">
        <f t="shared" si="91"/>
        <v>0</v>
      </c>
      <c r="J223" s="562">
        <f t="shared" si="91"/>
        <v>0</v>
      </c>
      <c r="K223" s="562">
        <f t="shared" si="91"/>
        <v>0</v>
      </c>
    </row>
    <row r="224" spans="2:11" x14ac:dyDescent="0.3">
      <c r="B224" s="259" t="s">
        <v>204</v>
      </c>
      <c r="C224" s="251">
        <v>101</v>
      </c>
      <c r="D224" s="562">
        <f>SUMPRODUCT(D$137:D$179,$Y$17:$Y$59)</f>
        <v>0</v>
      </c>
      <c r="E224" s="562">
        <f t="shared" ref="E224:K224" si="92">SUMPRODUCT(E$137:E$179,$Y$17:$Y$59)</f>
        <v>0</v>
      </c>
      <c r="F224" s="562">
        <f t="shared" si="92"/>
        <v>0</v>
      </c>
      <c r="G224" s="562">
        <f t="shared" si="92"/>
        <v>0</v>
      </c>
      <c r="H224" s="562">
        <f t="shared" si="92"/>
        <v>0</v>
      </c>
      <c r="I224" s="562">
        <f t="shared" si="92"/>
        <v>0</v>
      </c>
      <c r="J224" s="562">
        <f t="shared" si="92"/>
        <v>0</v>
      </c>
      <c r="K224" s="562">
        <f t="shared" si="92"/>
        <v>0</v>
      </c>
    </row>
    <row r="225" spans="1:12" x14ac:dyDescent="0.3">
      <c r="B225" s="259" t="s">
        <v>364</v>
      </c>
      <c r="C225" s="251">
        <v>102</v>
      </c>
      <c r="D225" s="562">
        <f>SUMPRODUCT(D$137:D$179,$Z$17:$Z$59)</f>
        <v>0</v>
      </c>
      <c r="E225" s="562">
        <f t="shared" ref="E225:K225" si="93">SUMPRODUCT(E$137:E$179,$Z$17:$Z$59)</f>
        <v>3.8854253685863114</v>
      </c>
      <c r="F225" s="562">
        <f t="shared" si="93"/>
        <v>17.93488448009245</v>
      </c>
      <c r="G225" s="562">
        <f t="shared" si="93"/>
        <v>17.465468000221009</v>
      </c>
      <c r="H225" s="562">
        <f t="shared" si="93"/>
        <v>17.085554722427943</v>
      </c>
      <c r="I225" s="562">
        <f t="shared" si="93"/>
        <v>16.876332538517147</v>
      </c>
      <c r="J225" s="562">
        <f t="shared" si="93"/>
        <v>16.823943652675226</v>
      </c>
      <c r="K225" s="562">
        <f t="shared" si="93"/>
        <v>16.920841856965623</v>
      </c>
    </row>
    <row r="226" spans="1:12" x14ac:dyDescent="0.3">
      <c r="B226" s="259" t="s">
        <v>457</v>
      </c>
      <c r="C226" s="251">
        <v>103</v>
      </c>
      <c r="D226" s="562">
        <f>-SUMPRODUCT(D$137:D$179,$AA$17:$AA$59)</f>
        <v>0.34138439999998127</v>
      </c>
      <c r="E226" s="562">
        <f t="shared" ref="E226:K226" si="94">-SUMPRODUCT(E$137:E$179,$AA$17:$AA$59)</f>
        <v>228.79030046623501</v>
      </c>
      <c r="F226" s="562">
        <f t="shared" si="94"/>
        <v>424.86039694400262</v>
      </c>
      <c r="G226" s="562">
        <f t="shared" si="94"/>
        <v>638.22880189561636</v>
      </c>
      <c r="H226" s="562">
        <f t="shared" si="94"/>
        <v>722.94222714159707</v>
      </c>
      <c r="I226" s="562">
        <f t="shared" si="94"/>
        <v>774.13233288501374</v>
      </c>
      <c r="J226" s="562">
        <f t="shared" si="94"/>
        <v>793.10092285749124</v>
      </c>
      <c r="K226" s="562">
        <f t="shared" si="94"/>
        <v>873.58106189492389</v>
      </c>
      <c r="L226" s="3" t="s">
        <v>663</v>
      </c>
    </row>
    <row r="227" spans="1:12" x14ac:dyDescent="0.3">
      <c r="B227" s="260" t="s">
        <v>661</v>
      </c>
      <c r="C227" s="252">
        <v>104</v>
      </c>
      <c r="D227" s="562">
        <f>SUMPRODUCT(D$137:D$179,$AB$17:$AB$59)+D181+D145</f>
        <v>0</v>
      </c>
      <c r="E227" s="562">
        <f t="shared" ref="E227:K227" si="95">SUMPRODUCT(E$137:E$179,$AB$17:$AB$59)+E181+E145</f>
        <v>76.968412553190802</v>
      </c>
      <c r="F227" s="562">
        <f t="shared" si="95"/>
        <v>78.696964667871612</v>
      </c>
      <c r="G227" s="562">
        <f t="shared" si="95"/>
        <v>91.311821587165923</v>
      </c>
      <c r="H227" s="562">
        <f t="shared" si="95"/>
        <v>107.70946942512518</v>
      </c>
      <c r="I227" s="562">
        <f t="shared" si="95"/>
        <v>125.98586726308446</v>
      </c>
      <c r="J227" s="562">
        <f t="shared" si="95"/>
        <v>153.06339068184877</v>
      </c>
      <c r="K227" s="562">
        <f t="shared" si="95"/>
        <v>168.74910590775301</v>
      </c>
    </row>
    <row r="228" spans="1:12" x14ac:dyDescent="0.3">
      <c r="B228" s="260" t="s">
        <v>468</v>
      </c>
      <c r="C228" s="252">
        <v>105</v>
      </c>
      <c r="D228" s="562">
        <f>D180</f>
        <v>-18.073035406927659</v>
      </c>
      <c r="E228" s="562">
        <f t="shared" ref="E228:K228" si="96">E180</f>
        <v>149.3330263339966</v>
      </c>
      <c r="F228" s="562">
        <f t="shared" si="96"/>
        <v>304.9733303009362</v>
      </c>
      <c r="G228" s="562">
        <f t="shared" si="96"/>
        <v>489.78130223710639</v>
      </c>
      <c r="H228" s="562">
        <f t="shared" si="96"/>
        <v>589.14442241011852</v>
      </c>
      <c r="I228" s="562">
        <f t="shared" si="96"/>
        <v>646.02354640364331</v>
      </c>
      <c r="J228" s="562">
        <f t="shared" si="96"/>
        <v>650.70123433758533</v>
      </c>
      <c r="K228" s="562">
        <f t="shared" si="96"/>
        <v>747.78976203732771</v>
      </c>
    </row>
    <row r="229" spans="1:12" x14ac:dyDescent="0.3">
      <c r="B229" s="183" t="s">
        <v>321</v>
      </c>
      <c r="C229" s="253" t="s">
        <v>293</v>
      </c>
      <c r="D229" s="562"/>
      <c r="E229" s="562"/>
      <c r="F229" s="562"/>
      <c r="G229" s="562"/>
      <c r="H229" s="562"/>
      <c r="I229" s="562"/>
      <c r="J229" s="562"/>
      <c r="K229" s="562"/>
    </row>
    <row r="230" spans="1:12" x14ac:dyDescent="0.3">
      <c r="B230" s="191" t="s">
        <v>650</v>
      </c>
      <c r="C230" s="253" t="s">
        <v>75</v>
      </c>
      <c r="D230" s="562">
        <f>D133</f>
        <v>-2570.7648582056463</v>
      </c>
      <c r="E230" s="562">
        <f t="shared" ref="E230:K230" si="97">E133</f>
        <v>-9375.3731450271844</v>
      </c>
      <c r="F230" s="562">
        <f t="shared" si="97"/>
        <v>-13993.682116952703</v>
      </c>
      <c r="G230" s="562">
        <f t="shared" si="97"/>
        <v>-18611.991088878211</v>
      </c>
      <c r="H230" s="562">
        <f t="shared" si="97"/>
        <v>-19910.996563860848</v>
      </c>
      <c r="I230" s="562">
        <f t="shared" si="97"/>
        <v>-21210.002038843468</v>
      </c>
      <c r="J230" s="562">
        <f t="shared" si="97"/>
        <v>-21859.504776334776</v>
      </c>
      <c r="K230" s="562">
        <f t="shared" si="97"/>
        <v>-23808.012988808732</v>
      </c>
    </row>
    <row r="231" spans="1:12" x14ac:dyDescent="0.3">
      <c r="B231" s="279" t="s">
        <v>323</v>
      </c>
      <c r="C231" s="253" t="s">
        <v>75</v>
      </c>
      <c r="D231" s="562">
        <f>D126+D127+D128+D129</f>
        <v>-2458.9819359131066</v>
      </c>
      <c r="E231" s="562">
        <f t="shared" ref="E231:K231" si="98">E126+E127+E128+E129</f>
        <v>-9095.0846066604026</v>
      </c>
      <c r="F231" s="562">
        <f t="shared" si="98"/>
        <v>-15543.489310103734</v>
      </c>
      <c r="G231" s="562">
        <f t="shared" si="98"/>
        <v>-21991.894013547069</v>
      </c>
      <c r="H231" s="562">
        <f t="shared" si="98"/>
        <v>-23008.987998864261</v>
      </c>
      <c r="I231" s="562">
        <f t="shared" si="98"/>
        <v>-24026.081984181452</v>
      </c>
      <c r="J231" s="562">
        <f t="shared" si="98"/>
        <v>-24534.628976840046</v>
      </c>
      <c r="K231" s="562">
        <f t="shared" si="98"/>
        <v>-26060.269954815834</v>
      </c>
    </row>
    <row r="232" spans="1:12" x14ac:dyDescent="0.3">
      <c r="B232" s="279" t="s">
        <v>324</v>
      </c>
      <c r="C232" s="253" t="s">
        <v>75</v>
      </c>
      <c r="D232" s="562">
        <f>D130+D131+D132</f>
        <v>-111.78292229254168</v>
      </c>
      <c r="E232" s="562">
        <f t="shared" ref="E232:K232" si="99">E130+E131+E132</f>
        <v>-280.28853836678741</v>
      </c>
      <c r="F232" s="562">
        <f t="shared" si="99"/>
        <v>1549.8071931510353</v>
      </c>
      <c r="G232" s="562">
        <f t="shared" si="99"/>
        <v>3379.9029246688578</v>
      </c>
      <c r="H232" s="562">
        <f t="shared" si="99"/>
        <v>3097.9914350034196</v>
      </c>
      <c r="I232" s="562">
        <f t="shared" si="99"/>
        <v>2816.0799453379805</v>
      </c>
      <c r="J232" s="562">
        <f t="shared" si="99"/>
        <v>2675.1242005052609</v>
      </c>
      <c r="K232" s="562">
        <f t="shared" si="99"/>
        <v>2252.2569660071022</v>
      </c>
    </row>
    <row r="233" spans="1:12" x14ac:dyDescent="0.3">
      <c r="B233" s="280" t="s">
        <v>325</v>
      </c>
      <c r="C233" s="253" t="s">
        <v>75</v>
      </c>
      <c r="D233" s="562">
        <f>D130+D131+D132</f>
        <v>-111.78292229254168</v>
      </c>
      <c r="E233" s="562">
        <f t="shared" ref="E233:K233" si="100">E130+E131+E132</f>
        <v>-280.28853836678741</v>
      </c>
      <c r="F233" s="562">
        <f t="shared" si="100"/>
        <v>1549.8071931510353</v>
      </c>
      <c r="G233" s="562">
        <f t="shared" si="100"/>
        <v>3379.9029246688578</v>
      </c>
      <c r="H233" s="562">
        <f t="shared" si="100"/>
        <v>3097.9914350034196</v>
      </c>
      <c r="I233" s="562">
        <f t="shared" si="100"/>
        <v>2816.0799453379805</v>
      </c>
      <c r="J233" s="562">
        <f t="shared" si="100"/>
        <v>2675.1242005052609</v>
      </c>
      <c r="K233" s="562">
        <f t="shared" si="100"/>
        <v>2252.2569660071022</v>
      </c>
    </row>
    <row r="234" spans="1:12" x14ac:dyDescent="0.3">
      <c r="B234" s="280" t="s">
        <v>541</v>
      </c>
      <c r="C234" s="253" t="s">
        <v>75</v>
      </c>
      <c r="D234" s="562"/>
      <c r="E234" s="562"/>
      <c r="F234" s="562"/>
      <c r="G234" s="562"/>
      <c r="H234" s="562"/>
      <c r="I234" s="562"/>
      <c r="J234" s="562"/>
      <c r="K234" s="562"/>
    </row>
    <row r="235" spans="1:12" x14ac:dyDescent="0.3">
      <c r="B235" s="191" t="s">
        <v>326</v>
      </c>
      <c r="C235" s="253" t="s">
        <v>306</v>
      </c>
      <c r="D235" s="562"/>
      <c r="E235" s="562"/>
      <c r="F235" s="562"/>
      <c r="G235" s="562"/>
      <c r="H235" s="562"/>
      <c r="I235" s="562"/>
      <c r="J235" s="562"/>
      <c r="K235" s="562"/>
    </row>
    <row r="236" spans="1:12" x14ac:dyDescent="0.3">
      <c r="A236" s="1" t="s">
        <v>7</v>
      </c>
      <c r="B236" s="307" t="s">
        <v>387</v>
      </c>
      <c r="C236" s="308" t="s">
        <v>388</v>
      </c>
      <c r="D236" s="562">
        <f>D134/1000</f>
        <v>-198.27625302048168</v>
      </c>
      <c r="E236" s="562">
        <f t="shared" ref="E236:K236" si="101">E134/1000</f>
        <v>-666.98847824637733</v>
      </c>
      <c r="F236" s="562">
        <f t="shared" si="101"/>
        <v>-1106.3401744805794</v>
      </c>
      <c r="G236" s="562">
        <f t="shared" si="101"/>
        <v>-1653.6029587947785</v>
      </c>
      <c r="H236" s="562">
        <f t="shared" si="101"/>
        <v>-1730.1401768325195</v>
      </c>
      <c r="I236" s="562">
        <f t="shared" si="101"/>
        <v>-1806.677394870261</v>
      </c>
      <c r="J236" s="562">
        <f t="shared" si="101"/>
        <v>-1957.7891690093018</v>
      </c>
      <c r="K236" s="562">
        <f t="shared" si="101"/>
        <v>-1959.7518309457432</v>
      </c>
    </row>
    <row r="238" spans="1:12" x14ac:dyDescent="0.3">
      <c r="B238" s="7"/>
      <c r="C238" s="3"/>
    </row>
    <row r="239" spans="1:12" x14ac:dyDescent="0.3">
      <c r="B239" s="271"/>
      <c r="C239" s="268"/>
    </row>
    <row r="240" spans="1:12" x14ac:dyDescent="0.3">
      <c r="B240" s="271"/>
      <c r="C240" s="269"/>
    </row>
    <row r="241" spans="2:3" x14ac:dyDescent="0.3">
      <c r="B241" s="7"/>
      <c r="C241" s="3"/>
    </row>
    <row r="242" spans="2:3" x14ac:dyDescent="0.3">
      <c r="B242" s="271"/>
      <c r="C242" s="268"/>
    </row>
    <row r="243" spans="2:3" x14ac:dyDescent="0.3">
      <c r="B243" s="271"/>
      <c r="C243" s="272"/>
    </row>
  </sheetData>
  <hyperlinks>
    <hyperlink ref="A1" location="Tiitel!A1" display="Tiitel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Tiitel</vt:lpstr>
      <vt:lpstr>TULEMUSED</vt:lpstr>
      <vt:lpstr>ARVUTUS</vt:lpstr>
      <vt:lpstr>VALDKONNAD</vt:lpstr>
      <vt:lpstr>Elekter</vt:lpstr>
      <vt:lpstr>Elektrivõrgud</vt:lpstr>
      <vt:lpstr>Soojus</vt:lpstr>
      <vt:lpstr>Hooned</vt:lpstr>
      <vt:lpstr>Transport</vt:lpstr>
      <vt:lpstr>Kütused</vt:lpstr>
      <vt:lpstr>Põlevkivi</vt:lpstr>
      <vt:lpstr>I-O 2010</vt:lpstr>
      <vt:lpstr>PROGNOOS</vt:lpstr>
      <vt:lpstr>ABITABELID</vt:lpstr>
      <vt:lpstr>JUHEND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Olavi</dc:creator>
  <cp:lastModifiedBy>Jaanus Uiga</cp:lastModifiedBy>
  <cp:lastPrinted>2013-11-28T13:55:26Z</cp:lastPrinted>
  <dcterms:created xsi:type="dcterms:W3CDTF">2013-12-14T17:45:21Z</dcterms:created>
  <dcterms:modified xsi:type="dcterms:W3CDTF">2014-11-18T09:30:50Z</dcterms:modified>
</cp:coreProperties>
</file>