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anus\Dropbox\Töö Arengufond\ENMAK2030\Stsenaariumid\Elektristsenaariumid\Elektrivõrkude stsenaariumite tulemused\"/>
    </mc:Choice>
  </mc:AlternateContent>
  <bookViews>
    <workbookView xWindow="2064" yWindow="132" windowWidth="20112" windowHeight="7968" activeTab="3"/>
  </bookViews>
  <sheets>
    <sheet name="Investeeringud 2030" sheetId="1" r:id="rId1"/>
    <sheet name="Investeering 2050" sheetId="3" r:id="rId2"/>
    <sheet name="Välismõjud" sheetId="4" r:id="rId3"/>
    <sheet name="Elektrivõrgu kadu ja katkestusk" sheetId="6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X28" i="1" l="1"/>
  <c r="X26" i="1"/>
  <c r="X25" i="1"/>
  <c r="X29" i="1" s="1"/>
  <c r="X24" i="1"/>
  <c r="X23" i="1"/>
  <c r="X19" i="1"/>
  <c r="X10" i="1"/>
  <c r="X17" i="1"/>
  <c r="X16" i="1"/>
  <c r="X15" i="1"/>
  <c r="X14" i="1"/>
  <c r="X20" i="1" s="1"/>
  <c r="X8" i="1"/>
  <c r="X7" i="1"/>
  <c r="X6" i="1"/>
  <c r="X11" i="1" s="1"/>
  <c r="L45" i="6"/>
  <c r="K45" i="6"/>
  <c r="J45" i="6"/>
  <c r="I45" i="6"/>
  <c r="H45" i="6"/>
  <c r="H46" i="6" s="1"/>
  <c r="G45" i="6"/>
  <c r="F45" i="6"/>
  <c r="E45" i="6"/>
  <c r="L31" i="6"/>
  <c r="K31" i="6"/>
  <c r="J31" i="6"/>
  <c r="I31" i="6"/>
  <c r="H31" i="6"/>
  <c r="G31" i="6"/>
  <c r="F31" i="6"/>
  <c r="E31" i="6"/>
  <c r="H32" i="6" s="1"/>
  <c r="L17" i="6"/>
  <c r="K17" i="6"/>
  <c r="J17" i="6"/>
  <c r="I17" i="6"/>
  <c r="H17" i="6"/>
  <c r="G17" i="6"/>
  <c r="F17" i="6"/>
  <c r="E17" i="6"/>
  <c r="H18" i="6" s="1"/>
  <c r="L9" i="6"/>
  <c r="L37" i="6" s="1"/>
  <c r="L42" i="6" s="1"/>
  <c r="L8" i="6"/>
  <c r="L36" i="6" s="1"/>
  <c r="K8" i="6"/>
  <c r="K36" i="6" s="1"/>
  <c r="J8" i="6"/>
  <c r="I8" i="6"/>
  <c r="I36" i="6" s="1"/>
  <c r="H8" i="6"/>
  <c r="H36" i="6" s="1"/>
  <c r="G8" i="6"/>
  <c r="G36" i="6" s="1"/>
  <c r="F8" i="6"/>
  <c r="E8" i="6"/>
  <c r="E9" i="6" s="1"/>
  <c r="L48" i="6"/>
  <c r="L39" i="6" s="1"/>
  <c r="L40" i="6" s="1"/>
  <c r="K48" i="6"/>
  <c r="K39" i="6" s="1"/>
  <c r="K40" i="6" s="1"/>
  <c r="J48" i="6"/>
  <c r="J11" i="6" s="1"/>
  <c r="J12" i="6" s="1"/>
  <c r="I48" i="6"/>
  <c r="I39" i="6" s="1"/>
  <c r="I40" i="6" s="1"/>
  <c r="H48" i="6"/>
  <c r="H39" i="6" s="1"/>
  <c r="H40" i="6" s="1"/>
  <c r="G48" i="6"/>
  <c r="G39" i="6" s="1"/>
  <c r="G40" i="6" s="1"/>
  <c r="F48" i="6"/>
  <c r="E48" i="6"/>
  <c r="E25" i="6" s="1"/>
  <c r="E26" i="6" s="1"/>
  <c r="M3" i="4"/>
  <c r="J3" i="4"/>
  <c r="G4" i="4"/>
  <c r="J4" i="4"/>
  <c r="M4" i="4"/>
  <c r="T7" i="4"/>
  <c r="M8" i="4" s="1"/>
  <c r="M9" i="4" s="1"/>
  <c r="S29" i="4"/>
  <c r="S32" i="4" s="1"/>
  <c r="S34" i="4" s="1"/>
  <c r="U20" i="4"/>
  <c r="G13" i="4"/>
  <c r="G14" i="4" s="1"/>
  <c r="G8" i="4" l="1"/>
  <c r="J8" i="4"/>
  <c r="J9" i="4" s="1"/>
  <c r="H9" i="6"/>
  <c r="E37" i="6"/>
  <c r="E23" i="6"/>
  <c r="E11" i="6"/>
  <c r="E12" i="6" s="1"/>
  <c r="E39" i="6"/>
  <c r="E40" i="6" s="1"/>
  <c r="S35" i="4"/>
  <c r="I11" i="6"/>
  <c r="I12" i="6" s="1"/>
  <c r="I9" i="6"/>
  <c r="E22" i="6"/>
  <c r="E36" i="6"/>
  <c r="G9" i="4"/>
  <c r="I22" i="6"/>
  <c r="I25" i="6"/>
  <c r="I26" i="6" s="1"/>
  <c r="F39" i="6"/>
  <c r="F40" i="6" s="1"/>
  <c r="F25" i="6"/>
  <c r="F26" i="6" s="1"/>
  <c r="J39" i="6"/>
  <c r="J40" i="6" s="1"/>
  <c r="J25" i="6"/>
  <c r="J26" i="6" s="1"/>
  <c r="F9" i="6"/>
  <c r="F36" i="6"/>
  <c r="F22" i="6"/>
  <c r="J9" i="6"/>
  <c r="J36" i="6"/>
  <c r="J22" i="6"/>
  <c r="F11" i="6"/>
  <c r="F12" i="6" s="1"/>
  <c r="H37" i="6"/>
  <c r="H42" i="6" s="1"/>
  <c r="H23" i="6"/>
  <c r="G11" i="6"/>
  <c r="G12" i="6" s="1"/>
  <c r="K11" i="6"/>
  <c r="K12" i="6" s="1"/>
  <c r="G9" i="6"/>
  <c r="K9" i="6"/>
  <c r="G22" i="6"/>
  <c r="K22" i="6"/>
  <c r="G25" i="6"/>
  <c r="G26" i="6" s="1"/>
  <c r="K25" i="6"/>
  <c r="K26" i="6" s="1"/>
  <c r="H11" i="6"/>
  <c r="H12" i="6" s="1"/>
  <c r="L11" i="6"/>
  <c r="L12" i="6" s="1"/>
  <c r="L14" i="6" s="1"/>
  <c r="H22" i="6"/>
  <c r="L22" i="6"/>
  <c r="L23" i="6"/>
  <c r="H25" i="6"/>
  <c r="H26" i="6" s="1"/>
  <c r="L25" i="6"/>
  <c r="L26" i="6" s="1"/>
  <c r="E42" i="6" l="1"/>
  <c r="H41" i="6"/>
  <c r="E14" i="6"/>
  <c r="H13" i="6"/>
  <c r="L28" i="6"/>
  <c r="H14" i="6"/>
  <c r="E28" i="6"/>
  <c r="H27" i="6"/>
  <c r="J37" i="6"/>
  <c r="J42" i="6" s="1"/>
  <c r="J23" i="6"/>
  <c r="J28" i="6" s="1"/>
  <c r="J14" i="6"/>
  <c r="K37" i="6"/>
  <c r="K42" i="6" s="1"/>
  <c r="K23" i="6"/>
  <c r="K28" i="6" s="1"/>
  <c r="K14" i="6"/>
  <c r="G37" i="6"/>
  <c r="G42" i="6" s="1"/>
  <c r="G23" i="6"/>
  <c r="G28" i="6" s="1"/>
  <c r="G14" i="6"/>
  <c r="H28" i="6"/>
  <c r="F37" i="6"/>
  <c r="F42" i="6" s="1"/>
  <c r="F23" i="6"/>
  <c r="F28" i="6" s="1"/>
  <c r="F14" i="6"/>
  <c r="M18" i="4"/>
  <c r="G18" i="4"/>
  <c r="J18" i="4"/>
  <c r="I14" i="6"/>
  <c r="I37" i="6"/>
  <c r="I42" i="6" s="1"/>
  <c r="I23" i="6"/>
  <c r="I28" i="6" s="1"/>
</calcChain>
</file>

<file path=xl/sharedStrings.xml><?xml version="1.0" encoding="utf-8"?>
<sst xmlns="http://schemas.openxmlformats.org/spreadsheetml/2006/main" count="210" uniqueCount="93">
  <si>
    <t>Elektrivõrgu investeeringud.</t>
  </si>
  <si>
    <t>Elering investeeringud:</t>
  </si>
  <si>
    <t>Liinid</t>
  </si>
  <si>
    <t>Alajaamad</t>
  </si>
  <si>
    <t>M€</t>
  </si>
  <si>
    <t>Uued liitumised</t>
  </si>
  <si>
    <t>Jaotusvõrkude investeeringud</t>
  </si>
  <si>
    <t>Mittesekkuv</t>
  </si>
  <si>
    <t>Reaalne</t>
  </si>
  <si>
    <t>Eleringi investeeringud:</t>
  </si>
  <si>
    <t>Panustav</t>
  </si>
  <si>
    <t>Jaotusvõrgu investeeringud</t>
  </si>
  <si>
    <t>Investeeringud 2050</t>
  </si>
  <si>
    <t>Eleringi võrk</t>
  </si>
  <si>
    <t>Eleringi liitumised</t>
  </si>
  <si>
    <t>Jaotusvõrk</t>
  </si>
  <si>
    <t>Välismõjud</t>
  </si>
  <si>
    <t>Tööhõive</t>
  </si>
  <si>
    <t>Väliskaubanduse bilansi muutus</t>
  </si>
  <si>
    <t>Võrgutariifi muutus</t>
  </si>
  <si>
    <t>s/kWh</t>
  </si>
  <si>
    <t>%</t>
  </si>
  <si>
    <t>Eraldusautomaatika*</t>
  </si>
  <si>
    <t>Kesk-Euroopaga liitumine*</t>
  </si>
  <si>
    <t>* Ei käsitle stsenaariumite hindamisel</t>
  </si>
  <si>
    <t>Impordi osakaal investeeringus 60%</t>
  </si>
  <si>
    <t>M€/a</t>
  </si>
  <si>
    <t>in./a</t>
  </si>
  <si>
    <t>*</t>
  </si>
  <si>
    <t>Impordi osa investeeringus 60%</t>
  </si>
  <si>
    <t>(kasv)</t>
  </si>
  <si>
    <t xml:space="preserve">Võrgukadu </t>
  </si>
  <si>
    <t>TWh</t>
  </si>
  <si>
    <t>Võrgukadu põhivõrk</t>
  </si>
  <si>
    <t>Võrgukadu</t>
  </si>
  <si>
    <t xml:space="preserve">Kadu </t>
  </si>
  <si>
    <t>Milj.€</t>
  </si>
  <si>
    <t>Kadu 2012.a.</t>
  </si>
  <si>
    <t>Põhivõrk</t>
  </si>
  <si>
    <t>Kokku</t>
  </si>
  <si>
    <t>Sääst kao vähenemisest</t>
  </si>
  <si>
    <t>Katkestuskahjude vähenemine</t>
  </si>
  <si>
    <t xml:space="preserve">Reaalne </t>
  </si>
  <si>
    <t>SAIDI 2012</t>
  </si>
  <si>
    <t>Mittesekkuv SAIDI</t>
  </si>
  <si>
    <t>Sekkuv</t>
  </si>
  <si>
    <t>Avariiline</t>
  </si>
  <si>
    <t>Plaaniline</t>
  </si>
  <si>
    <t>min.</t>
  </si>
  <si>
    <t>SAIDI</t>
  </si>
  <si>
    <t>Katkestuskulude vähenemist arvestame ainult Elektrilevi andmetel</t>
  </si>
  <si>
    <t>Teiste võrguettevõtjate SAIDI on juba täna soovitud tasemel.</t>
  </si>
  <si>
    <t>SAIDI ühiku katkestuskulu M€</t>
  </si>
  <si>
    <t>Tab 6.9 näitajad on ainult mitteplaaniliste katkestuste kohta.</t>
  </si>
  <si>
    <t>Plaanilise katkestuse kahju M€ SAIDI ühiku kohta</t>
  </si>
  <si>
    <t>Plaaniliste katkestuste kahju Elektrilevi tarbijatele 2012.a. M€</t>
  </si>
  <si>
    <t>Plaaniline SAIDI ühik st. katkestusminuti maksumus tarbimiskoha kohta</t>
  </si>
  <si>
    <t>147 tuhat EUR</t>
  </si>
  <si>
    <t>86 tuhat EUR</t>
  </si>
  <si>
    <t>Avariililine SAIDI ühik</t>
  </si>
  <si>
    <t>Kaoenergia maksumus on elektribörsi hind aastal 2030</t>
  </si>
  <si>
    <t>*Ühe töötaja kohta aastane inv. real. 300 000 € (ehitusettevõtjate hinnang)</t>
  </si>
  <si>
    <t>Elektri andmine elektrisüsteemi TWh 2030</t>
  </si>
  <si>
    <t>Võrgukadu on puhas tehniline kadu. Kommertskadu kaob seoses kaugloetavate arvestitega</t>
  </si>
  <si>
    <t>Tariif langeb investeeringute vähenemise arvel tasemelt 100 M€ tasemele 50M€</t>
  </si>
  <si>
    <t>Statistika andmed</t>
  </si>
  <si>
    <t>Eleringi kadu 2,75%</t>
  </si>
  <si>
    <t>(Elektritootmise stsenaariumi eeldus)</t>
  </si>
  <si>
    <t>Investeeringu tase 2012.a. 100 M€</t>
  </si>
  <si>
    <t>**Muutub tööde iseloom(ehitus-hooldus)</t>
  </si>
  <si>
    <t>**ei muutu</t>
  </si>
  <si>
    <t>Eksperthinnang</t>
  </si>
  <si>
    <t>Katkestuskahjud 2012.a.</t>
  </si>
  <si>
    <t>Elektrivõrgu kadu ja katkestuskahjud 2015-2050</t>
  </si>
  <si>
    <t>Mittesekkuv stsenaarium</t>
  </si>
  <si>
    <t>Võrgukadu jaotusvõrk</t>
  </si>
  <si>
    <t>MEUR</t>
  </si>
  <si>
    <t>Võrgukadu kokku</t>
  </si>
  <si>
    <t>Reaalne stsenaarium</t>
  </si>
  <si>
    <t>min</t>
  </si>
  <si>
    <t>Panustav stsenaarium</t>
  </si>
  <si>
    <t>SAIDI avariiline</t>
  </si>
  <si>
    <t>SAIDI plaaniline</t>
  </si>
  <si>
    <t>Võrgukaod kokku</t>
  </si>
  <si>
    <t>Põhivõrku antav energia</t>
  </si>
  <si>
    <t>Jaotusvõrku antav energia</t>
  </si>
  <si>
    <t>Elektri börsihind</t>
  </si>
  <si>
    <t>€/MWh</t>
  </si>
  <si>
    <t>M€/min</t>
  </si>
  <si>
    <t xml:space="preserve">Katkestuskahju </t>
  </si>
  <si>
    <t>Kõik kokku</t>
  </si>
  <si>
    <t>kõik kokku</t>
  </si>
  <si>
    <t>Kahju vähenemine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</si>
</sst>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Symbol"/>
      <family val="1"/>
      <charset val="2"/>
    </font>
    <font>
      <sz val="12"/>
      <color rgb="FF00000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6"/>
    </xf>
    <xf numFmtId="0" fontId="4" fillId="0" borderId="0" xfId="0" applyFont="1" applyAlignment="1">
      <alignment horizontal="left" indent="6"/>
    </xf>
    <xf numFmtId="0" fontId="6" fillId="0" borderId="0" xfId="0" applyFont="1" applyAlignment="1">
      <alignment horizontal="left" indent="8"/>
    </xf>
    <xf numFmtId="0" fontId="3" fillId="0" borderId="0" xfId="0" applyFont="1" applyAlignment="1">
      <alignment horizontal="left" indent="6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/>
    <xf numFmtId="10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bit%20Vali/Documents/Arengufond/Tootmine/Copy%20of%20Scenario%20Comparison%20(2)%2009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- General"/>
      <sheetName val="Assumptions - Scenario"/>
      <sheetName val="Technology catalogue"/>
      <sheetName val="Electricity generation"/>
      <sheetName val="El installed capacity"/>
      <sheetName val="Emissions"/>
      <sheetName val="Electricity prices"/>
      <sheetName val="Electricity new invest"/>
      <sheetName val="Heat generation from CH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2012</v>
          </cell>
          <cell r="D2" t="str">
            <v>2020</v>
          </cell>
          <cell r="E2" t="str">
            <v>2022</v>
          </cell>
          <cell r="F2" t="str">
            <v>2024</v>
          </cell>
          <cell r="G2" t="str">
            <v>2026</v>
          </cell>
          <cell r="H2" t="str">
            <v>2028</v>
          </cell>
          <cell r="I2" t="str">
            <v>2030</v>
          </cell>
          <cell r="J2" t="str">
            <v>2035</v>
          </cell>
          <cell r="K2" t="str">
            <v>2040</v>
          </cell>
          <cell r="L2" t="str">
            <v>2045</v>
          </cell>
          <cell r="M2" t="str">
            <v>2050</v>
          </cell>
        </row>
        <row r="3">
          <cell r="B3" t="str">
            <v>Liberal</v>
          </cell>
          <cell r="C3">
            <v>78.906140216265555</v>
          </cell>
          <cell r="D3">
            <v>64.434016999616105</v>
          </cell>
          <cell r="E3">
            <v>66.027507117731943</v>
          </cell>
          <cell r="F3">
            <v>66.743587782399004</v>
          </cell>
          <cell r="G3">
            <v>67.86237175445271</v>
          </cell>
          <cell r="H3">
            <v>68.385894247299518</v>
          </cell>
          <cell r="I3">
            <v>66.600601591702087</v>
          </cell>
          <cell r="J3">
            <v>69.690489794265559</v>
          </cell>
          <cell r="K3">
            <v>73.250980820419755</v>
          </cell>
          <cell r="L3">
            <v>74.909241305303198</v>
          </cell>
          <cell r="M3">
            <v>72.986752512670378</v>
          </cell>
        </row>
        <row r="4">
          <cell r="B4" t="str">
            <v>Liberal+</v>
          </cell>
          <cell r="C4">
            <v>78.906224877072574</v>
          </cell>
          <cell r="D4">
            <v>64.434016999616105</v>
          </cell>
          <cell r="E4">
            <v>66.010423249810458</v>
          </cell>
          <cell r="F4">
            <v>66.738087802492984</v>
          </cell>
          <cell r="G4">
            <v>67.859824656067872</v>
          </cell>
          <cell r="H4">
            <v>68.393708399277187</v>
          </cell>
          <cell r="I4">
            <v>66.618143027450486</v>
          </cell>
          <cell r="J4">
            <v>69.760063055620591</v>
          </cell>
          <cell r="K4">
            <v>73.253824656425351</v>
          </cell>
          <cell r="L4">
            <v>74.060359673481472</v>
          </cell>
          <cell r="M4">
            <v>72.387104035036401</v>
          </cell>
        </row>
        <row r="5">
          <cell r="B5" t="str">
            <v>RE Focus</v>
          </cell>
          <cell r="C5">
            <v>78.906224877072574</v>
          </cell>
          <cell r="D5">
            <v>64.435033490446273</v>
          </cell>
          <cell r="E5">
            <v>65.994488576210017</v>
          </cell>
          <cell r="F5">
            <v>66.652159097731058</v>
          </cell>
          <cell r="G5">
            <v>67.846834693108349</v>
          </cell>
          <cell r="H5">
            <v>68.374142511441732</v>
          </cell>
          <cell r="I5">
            <v>66.411730204208311</v>
          </cell>
          <cell r="J5">
            <v>69.684579906205684</v>
          </cell>
          <cell r="K5">
            <v>73.193281396031111</v>
          </cell>
          <cell r="L5">
            <v>73.553933928436464</v>
          </cell>
          <cell r="M5">
            <v>69.343579079269475</v>
          </cell>
        </row>
        <row r="6">
          <cell r="B6" t="str">
            <v>Retort</v>
          </cell>
          <cell r="C6">
            <v>78.906140216265555</v>
          </cell>
          <cell r="D6">
            <v>63.849174368878565</v>
          </cell>
          <cell r="E6">
            <v>65.69982126743713</v>
          </cell>
          <cell r="F6">
            <v>66.104458952103741</v>
          </cell>
          <cell r="G6">
            <v>67.579425524359351</v>
          </cell>
          <cell r="H6">
            <v>67.996063941834336</v>
          </cell>
          <cell r="I6">
            <v>66.126143269647883</v>
          </cell>
          <cell r="J6">
            <v>68.935780238135237</v>
          </cell>
          <cell r="K6">
            <v>71.32586036853651</v>
          </cell>
          <cell r="L6">
            <v>72.620222390401537</v>
          </cell>
          <cell r="M6">
            <v>71.792472582765711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>
      <selection activeCell="H11" sqref="H11"/>
    </sheetView>
  </sheetViews>
  <sheetFormatPr defaultRowHeight="14.4" x14ac:dyDescent="0.3"/>
  <sheetData>
    <row r="1" spans="1:24" x14ac:dyDescent="0.3">
      <c r="A1" t="s">
        <v>0</v>
      </c>
    </row>
    <row r="3" spans="1:24" x14ac:dyDescent="0.3">
      <c r="A3" s="1" t="s">
        <v>7</v>
      </c>
    </row>
    <row r="4" spans="1:24" x14ac:dyDescent="0.3">
      <c r="A4" t="s">
        <v>1</v>
      </c>
      <c r="F4">
        <v>2015</v>
      </c>
      <c r="G4">
        <v>2016</v>
      </c>
      <c r="H4">
        <v>2017</v>
      </c>
      <c r="I4">
        <v>2018</v>
      </c>
      <c r="J4">
        <v>2019</v>
      </c>
      <c r="K4">
        <v>2020</v>
      </c>
      <c r="L4">
        <v>2021</v>
      </c>
      <c r="M4">
        <v>2022</v>
      </c>
      <c r="N4">
        <v>2023</v>
      </c>
      <c r="O4">
        <v>2024</v>
      </c>
      <c r="P4">
        <v>2025</v>
      </c>
      <c r="Q4">
        <v>2026</v>
      </c>
      <c r="R4">
        <v>2027</v>
      </c>
      <c r="S4">
        <v>2028</v>
      </c>
      <c r="T4">
        <v>2029</v>
      </c>
      <c r="U4">
        <v>2030</v>
      </c>
    </row>
    <row r="6" spans="1:24" x14ac:dyDescent="0.3">
      <c r="A6" t="s">
        <v>2</v>
      </c>
      <c r="E6" t="s">
        <v>4</v>
      </c>
      <c r="F6">
        <v>7</v>
      </c>
      <c r="G6">
        <v>10</v>
      </c>
      <c r="H6">
        <v>20</v>
      </c>
      <c r="I6">
        <v>32</v>
      </c>
      <c r="J6">
        <v>31</v>
      </c>
      <c r="K6">
        <v>32</v>
      </c>
      <c r="L6">
        <v>16</v>
      </c>
      <c r="M6">
        <v>24</v>
      </c>
      <c r="N6">
        <v>18</v>
      </c>
      <c r="O6">
        <v>14</v>
      </c>
      <c r="P6">
        <v>18</v>
      </c>
      <c r="Q6">
        <v>16</v>
      </c>
      <c r="R6">
        <v>16</v>
      </c>
      <c r="S6">
        <v>16</v>
      </c>
      <c r="T6">
        <v>16</v>
      </c>
      <c r="U6">
        <v>16</v>
      </c>
      <c r="W6" t="s">
        <v>39</v>
      </c>
      <c r="X6">
        <f>SUM(F6:U6)</f>
        <v>302</v>
      </c>
    </row>
    <row r="7" spans="1:24" x14ac:dyDescent="0.3">
      <c r="A7" t="s">
        <v>3</v>
      </c>
      <c r="E7" t="s">
        <v>4</v>
      </c>
      <c r="F7">
        <v>14</v>
      </c>
      <c r="G7">
        <v>15</v>
      </c>
      <c r="H7">
        <v>12</v>
      </c>
      <c r="I7">
        <v>13</v>
      </c>
      <c r="J7">
        <v>9</v>
      </c>
      <c r="K7">
        <v>5</v>
      </c>
      <c r="L7">
        <v>7</v>
      </c>
      <c r="M7">
        <v>7</v>
      </c>
      <c r="N7">
        <v>5</v>
      </c>
      <c r="O7">
        <v>7</v>
      </c>
      <c r="P7">
        <v>6</v>
      </c>
      <c r="Q7">
        <v>6</v>
      </c>
      <c r="R7">
        <v>6</v>
      </c>
      <c r="S7">
        <v>6</v>
      </c>
      <c r="T7">
        <v>6</v>
      </c>
      <c r="U7">
        <v>6</v>
      </c>
      <c r="W7" t="s">
        <v>39</v>
      </c>
      <c r="X7">
        <f>SUM(F7:U7)</f>
        <v>130</v>
      </c>
    </row>
    <row r="8" spans="1:24" x14ac:dyDescent="0.3">
      <c r="A8" t="s">
        <v>5</v>
      </c>
      <c r="E8" t="s">
        <v>4</v>
      </c>
      <c r="I8">
        <v>4</v>
      </c>
      <c r="J8">
        <v>4</v>
      </c>
      <c r="O8">
        <v>3</v>
      </c>
      <c r="P8">
        <v>3</v>
      </c>
      <c r="W8" t="s">
        <v>39</v>
      </c>
      <c r="X8">
        <f>SUM(F8:U8)</f>
        <v>14</v>
      </c>
    </row>
    <row r="10" spans="1:24" x14ac:dyDescent="0.3">
      <c r="A10" t="s">
        <v>6</v>
      </c>
      <c r="E10" t="s">
        <v>4</v>
      </c>
      <c r="F10">
        <v>50</v>
      </c>
      <c r="G10">
        <v>50</v>
      </c>
      <c r="H10">
        <v>50</v>
      </c>
      <c r="I10">
        <v>50</v>
      </c>
      <c r="J10">
        <v>50</v>
      </c>
      <c r="K10">
        <v>50</v>
      </c>
      <c r="L10">
        <v>50</v>
      </c>
      <c r="M10">
        <v>50</v>
      </c>
      <c r="N10">
        <v>50</v>
      </c>
      <c r="O10">
        <v>50</v>
      </c>
      <c r="P10">
        <v>50</v>
      </c>
      <c r="Q10">
        <v>50</v>
      </c>
      <c r="R10">
        <v>50</v>
      </c>
      <c r="S10">
        <v>50</v>
      </c>
      <c r="T10">
        <v>50</v>
      </c>
      <c r="U10">
        <v>50</v>
      </c>
      <c r="W10" t="s">
        <v>39</v>
      </c>
      <c r="X10">
        <f>SUM(F10:U10)</f>
        <v>800</v>
      </c>
    </row>
    <row r="11" spans="1:24" x14ac:dyDescent="0.3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t="s">
        <v>90</v>
      </c>
      <c r="X11">
        <f>SUM(X6:X10)</f>
        <v>1246</v>
      </c>
    </row>
    <row r="12" spans="1:24" x14ac:dyDescent="0.3">
      <c r="A12" s="1" t="s">
        <v>8</v>
      </c>
    </row>
    <row r="13" spans="1:24" x14ac:dyDescent="0.3">
      <c r="A13" t="s">
        <v>9</v>
      </c>
    </row>
    <row r="14" spans="1:24" x14ac:dyDescent="0.3">
      <c r="A14" t="s">
        <v>2</v>
      </c>
      <c r="E14" t="s">
        <v>4</v>
      </c>
      <c r="F14">
        <v>7</v>
      </c>
      <c r="G14">
        <v>10</v>
      </c>
      <c r="H14">
        <v>20</v>
      </c>
      <c r="I14">
        <v>32</v>
      </c>
      <c r="J14">
        <v>31</v>
      </c>
      <c r="K14">
        <v>32</v>
      </c>
      <c r="L14">
        <v>16</v>
      </c>
      <c r="M14">
        <v>24</v>
      </c>
      <c r="N14">
        <v>18</v>
      </c>
      <c r="O14">
        <v>14</v>
      </c>
      <c r="P14">
        <v>18</v>
      </c>
      <c r="Q14">
        <v>16</v>
      </c>
      <c r="R14">
        <v>16</v>
      </c>
      <c r="S14">
        <v>16</v>
      </c>
      <c r="T14">
        <v>16</v>
      </c>
      <c r="U14">
        <v>16</v>
      </c>
      <c r="W14" t="s">
        <v>39</v>
      </c>
      <c r="X14">
        <f>SUM(F14:U14)</f>
        <v>302</v>
      </c>
    </row>
    <row r="15" spans="1:24" x14ac:dyDescent="0.3">
      <c r="A15" t="s">
        <v>3</v>
      </c>
      <c r="E15" t="s">
        <v>4</v>
      </c>
      <c r="F15">
        <v>14</v>
      </c>
      <c r="G15">
        <v>15</v>
      </c>
      <c r="H15">
        <v>12</v>
      </c>
      <c r="I15">
        <v>13</v>
      </c>
      <c r="J15">
        <v>9</v>
      </c>
      <c r="K15">
        <v>5</v>
      </c>
      <c r="L15">
        <v>7</v>
      </c>
      <c r="M15">
        <v>7</v>
      </c>
      <c r="N15">
        <v>5</v>
      </c>
      <c r="O15">
        <v>7</v>
      </c>
      <c r="P15">
        <v>6</v>
      </c>
      <c r="Q15">
        <v>6</v>
      </c>
      <c r="R15">
        <v>6</v>
      </c>
      <c r="S15">
        <v>6</v>
      </c>
      <c r="T15">
        <v>6</v>
      </c>
      <c r="U15">
        <v>6</v>
      </c>
      <c r="W15" t="s">
        <v>39</v>
      </c>
      <c r="X15">
        <f>SUM(F15:U15)</f>
        <v>130</v>
      </c>
    </row>
    <row r="16" spans="1:24" x14ac:dyDescent="0.3">
      <c r="A16" t="s">
        <v>5</v>
      </c>
      <c r="E16" t="s">
        <v>4</v>
      </c>
      <c r="I16">
        <v>4</v>
      </c>
      <c r="J16">
        <v>4</v>
      </c>
      <c r="O16">
        <v>3</v>
      </c>
      <c r="P16">
        <v>3</v>
      </c>
      <c r="W16" t="s">
        <v>39</v>
      </c>
      <c r="X16">
        <f>SUM(F16:U16)</f>
        <v>14</v>
      </c>
    </row>
    <row r="17" spans="1:24" x14ac:dyDescent="0.3">
      <c r="A17" s="12" t="s">
        <v>22</v>
      </c>
      <c r="B17" s="12"/>
      <c r="E17" t="s">
        <v>4</v>
      </c>
      <c r="S17">
        <v>5</v>
      </c>
      <c r="T17">
        <v>5</v>
      </c>
      <c r="W17" t="s">
        <v>39</v>
      </c>
      <c r="X17">
        <f>SUM(F17:U17)</f>
        <v>10</v>
      </c>
    </row>
    <row r="19" spans="1:24" x14ac:dyDescent="0.3">
      <c r="A19" t="s">
        <v>11</v>
      </c>
      <c r="E19" t="s">
        <v>4</v>
      </c>
      <c r="F19">
        <v>140</v>
      </c>
      <c r="G19">
        <v>140</v>
      </c>
      <c r="H19">
        <v>140</v>
      </c>
      <c r="I19">
        <v>140</v>
      </c>
      <c r="J19">
        <v>140</v>
      </c>
      <c r="K19">
        <v>140</v>
      </c>
      <c r="L19">
        <v>140</v>
      </c>
      <c r="M19">
        <v>140</v>
      </c>
      <c r="N19">
        <v>140</v>
      </c>
      <c r="O19">
        <v>140</v>
      </c>
      <c r="P19">
        <v>140</v>
      </c>
      <c r="Q19">
        <v>140</v>
      </c>
      <c r="R19">
        <v>140</v>
      </c>
      <c r="S19">
        <v>140</v>
      </c>
      <c r="T19">
        <v>140</v>
      </c>
      <c r="U19">
        <v>140</v>
      </c>
      <c r="W19" t="s">
        <v>39</v>
      </c>
      <c r="X19">
        <f>SUM(F19:U19)</f>
        <v>2240</v>
      </c>
    </row>
    <row r="20" spans="1:24" x14ac:dyDescent="0.3">
      <c r="W20" t="s">
        <v>90</v>
      </c>
      <c r="X20">
        <f>SUM(X14:X19)</f>
        <v>2696</v>
      </c>
    </row>
    <row r="21" spans="1:24" x14ac:dyDescent="0.3">
      <c r="A21" s="1" t="s">
        <v>10</v>
      </c>
    </row>
    <row r="22" spans="1:24" x14ac:dyDescent="0.3">
      <c r="A22" t="s">
        <v>9</v>
      </c>
    </row>
    <row r="23" spans="1:24" x14ac:dyDescent="0.3">
      <c r="A23" s="2" t="s">
        <v>2</v>
      </c>
      <c r="E23" t="s">
        <v>4</v>
      </c>
      <c r="F23">
        <v>7</v>
      </c>
      <c r="G23">
        <v>10</v>
      </c>
      <c r="H23">
        <v>20</v>
      </c>
      <c r="I23">
        <v>32</v>
      </c>
      <c r="J23">
        <v>31</v>
      </c>
      <c r="K23">
        <v>32</v>
      </c>
      <c r="L23">
        <v>16</v>
      </c>
      <c r="M23">
        <v>24</v>
      </c>
      <c r="N23">
        <v>18</v>
      </c>
      <c r="O23">
        <v>14</v>
      </c>
      <c r="P23">
        <v>18</v>
      </c>
      <c r="Q23">
        <v>16</v>
      </c>
      <c r="R23">
        <v>16</v>
      </c>
      <c r="S23">
        <v>16</v>
      </c>
      <c r="T23">
        <v>16</v>
      </c>
      <c r="U23">
        <v>16</v>
      </c>
      <c r="W23" t="s">
        <v>39</v>
      </c>
      <c r="X23">
        <f>SUM(F23:U23)</f>
        <v>302</v>
      </c>
    </row>
    <row r="24" spans="1:24" x14ac:dyDescent="0.3">
      <c r="A24" t="s">
        <v>3</v>
      </c>
      <c r="E24" t="s">
        <v>4</v>
      </c>
      <c r="F24">
        <v>14</v>
      </c>
      <c r="G24">
        <v>15</v>
      </c>
      <c r="H24">
        <v>12</v>
      </c>
      <c r="I24">
        <v>13</v>
      </c>
      <c r="J24">
        <v>9</v>
      </c>
      <c r="K24">
        <v>5</v>
      </c>
      <c r="L24">
        <v>7</v>
      </c>
      <c r="M24">
        <v>7</v>
      </c>
      <c r="N24">
        <v>5</v>
      </c>
      <c r="O24">
        <v>7</v>
      </c>
      <c r="P24">
        <v>6</v>
      </c>
      <c r="Q24">
        <v>6</v>
      </c>
      <c r="R24">
        <v>6</v>
      </c>
      <c r="S24">
        <v>6</v>
      </c>
      <c r="T24">
        <v>6</v>
      </c>
      <c r="U24">
        <v>6</v>
      </c>
      <c r="W24" t="s">
        <v>39</v>
      </c>
      <c r="X24">
        <f>SUM(F24:U24)</f>
        <v>130</v>
      </c>
    </row>
    <row r="25" spans="1:24" x14ac:dyDescent="0.3">
      <c r="A25" t="s">
        <v>5</v>
      </c>
      <c r="E25" t="s">
        <v>4</v>
      </c>
      <c r="I25">
        <v>4</v>
      </c>
      <c r="J25">
        <v>4</v>
      </c>
      <c r="O25">
        <v>3</v>
      </c>
      <c r="P25">
        <v>3</v>
      </c>
      <c r="W25" t="s">
        <v>39</v>
      </c>
      <c r="X25">
        <f>SUM(F25:U25)</f>
        <v>14</v>
      </c>
    </row>
    <row r="26" spans="1:24" x14ac:dyDescent="0.3">
      <c r="A26" s="12" t="s">
        <v>23</v>
      </c>
      <c r="B26" s="12"/>
      <c r="C26" s="12"/>
      <c r="E26" t="s">
        <v>4</v>
      </c>
      <c r="M26">
        <v>20</v>
      </c>
      <c r="N26">
        <v>20</v>
      </c>
      <c r="O26">
        <v>20</v>
      </c>
      <c r="P26">
        <v>20</v>
      </c>
      <c r="Q26">
        <v>20</v>
      </c>
      <c r="R26">
        <v>20</v>
      </c>
      <c r="S26">
        <v>20</v>
      </c>
      <c r="T26">
        <v>20</v>
      </c>
      <c r="U26">
        <v>40</v>
      </c>
      <c r="W26" t="s">
        <v>39</v>
      </c>
      <c r="X26">
        <f>SUM(F26:U26)</f>
        <v>200</v>
      </c>
    </row>
    <row r="28" spans="1:24" x14ac:dyDescent="0.3">
      <c r="A28" t="s">
        <v>11</v>
      </c>
      <c r="E28" t="s">
        <v>4</v>
      </c>
      <c r="F28">
        <v>253</v>
      </c>
      <c r="G28">
        <v>253</v>
      </c>
      <c r="H28">
        <v>253</v>
      </c>
      <c r="I28">
        <v>253</v>
      </c>
      <c r="J28">
        <v>253</v>
      </c>
      <c r="K28">
        <v>253</v>
      </c>
      <c r="L28">
        <v>253</v>
      </c>
      <c r="M28">
        <v>253</v>
      </c>
      <c r="N28">
        <v>253</v>
      </c>
      <c r="O28">
        <v>253</v>
      </c>
      <c r="P28">
        <v>253</v>
      </c>
      <c r="Q28">
        <v>253</v>
      </c>
      <c r="R28">
        <v>253</v>
      </c>
      <c r="S28">
        <v>253</v>
      </c>
      <c r="T28">
        <v>253</v>
      </c>
      <c r="U28">
        <v>253</v>
      </c>
      <c r="W28" t="s">
        <v>39</v>
      </c>
      <c r="X28">
        <f>SUM(F28:U28)</f>
        <v>4048</v>
      </c>
    </row>
    <row r="29" spans="1:24" x14ac:dyDescent="0.3">
      <c r="W29" t="s">
        <v>91</v>
      </c>
      <c r="X29">
        <f>SUM(X23:X28)</f>
        <v>4694</v>
      </c>
    </row>
    <row r="30" spans="1:24" x14ac:dyDescent="0.3">
      <c r="A30" s="12" t="s">
        <v>24</v>
      </c>
    </row>
    <row r="32" spans="1:24" x14ac:dyDescent="0.3">
      <c r="B32" t="s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F22" sqref="F22"/>
    </sheetView>
  </sheetViews>
  <sheetFormatPr defaultRowHeight="14.4" x14ac:dyDescent="0.3"/>
  <sheetData>
    <row r="1" spans="1:24" x14ac:dyDescent="0.3">
      <c r="A1" t="s">
        <v>12</v>
      </c>
    </row>
    <row r="3" spans="1:24" x14ac:dyDescent="0.3">
      <c r="E3">
        <v>2031</v>
      </c>
      <c r="F3">
        <v>2032</v>
      </c>
      <c r="G3">
        <v>2033</v>
      </c>
      <c r="H3">
        <v>2034</v>
      </c>
      <c r="I3">
        <v>2035</v>
      </c>
      <c r="J3">
        <v>2036</v>
      </c>
      <c r="K3">
        <v>2037</v>
      </c>
      <c r="L3">
        <v>2038</v>
      </c>
      <c r="M3">
        <v>2039</v>
      </c>
      <c r="N3">
        <v>2040</v>
      </c>
      <c r="O3">
        <v>2041</v>
      </c>
      <c r="P3">
        <v>2042</v>
      </c>
      <c r="Q3">
        <v>2043</v>
      </c>
      <c r="R3">
        <v>2044</v>
      </c>
      <c r="S3">
        <v>2045</v>
      </c>
      <c r="T3">
        <v>2046</v>
      </c>
      <c r="U3">
        <v>2047</v>
      </c>
      <c r="V3">
        <v>2048</v>
      </c>
      <c r="W3">
        <v>2049</v>
      </c>
      <c r="X3">
        <v>2050</v>
      </c>
    </row>
    <row r="5" spans="1:24" x14ac:dyDescent="0.3">
      <c r="A5" s="1" t="s">
        <v>7</v>
      </c>
    </row>
    <row r="7" spans="1:24" x14ac:dyDescent="0.3">
      <c r="A7" t="s">
        <v>13</v>
      </c>
      <c r="E7">
        <v>22</v>
      </c>
      <c r="F7">
        <v>22</v>
      </c>
      <c r="G7">
        <v>22</v>
      </c>
      <c r="H7">
        <v>22</v>
      </c>
      <c r="I7">
        <v>22</v>
      </c>
      <c r="J7">
        <v>22</v>
      </c>
      <c r="K7">
        <v>22</v>
      </c>
      <c r="L7">
        <v>22</v>
      </c>
      <c r="M7">
        <v>22</v>
      </c>
      <c r="N7">
        <v>22</v>
      </c>
      <c r="O7">
        <v>22</v>
      </c>
      <c r="P7">
        <v>22</v>
      </c>
      <c r="Q7">
        <v>22</v>
      </c>
      <c r="R7">
        <v>22</v>
      </c>
      <c r="S7">
        <v>22</v>
      </c>
      <c r="T7">
        <v>22</v>
      </c>
      <c r="U7">
        <v>22</v>
      </c>
      <c r="V7">
        <v>22</v>
      </c>
      <c r="W7">
        <v>22</v>
      </c>
      <c r="X7">
        <v>22</v>
      </c>
    </row>
    <row r="8" spans="1:24" x14ac:dyDescent="0.3">
      <c r="A8" t="s">
        <v>14</v>
      </c>
      <c r="L8">
        <v>10</v>
      </c>
      <c r="M8">
        <v>10</v>
      </c>
      <c r="R8">
        <v>10</v>
      </c>
      <c r="W8">
        <v>3</v>
      </c>
    </row>
    <row r="10" spans="1:24" x14ac:dyDescent="0.3">
      <c r="A10" t="s">
        <v>15</v>
      </c>
      <c r="E10">
        <v>50</v>
      </c>
      <c r="F10">
        <v>50</v>
      </c>
      <c r="G10">
        <v>50</v>
      </c>
      <c r="H10">
        <v>50</v>
      </c>
      <c r="I10">
        <v>50</v>
      </c>
      <c r="J10">
        <v>50</v>
      </c>
      <c r="K10">
        <v>50</v>
      </c>
      <c r="L10">
        <v>50</v>
      </c>
      <c r="M10">
        <v>50</v>
      </c>
      <c r="N10">
        <v>50</v>
      </c>
      <c r="O10">
        <v>50</v>
      </c>
      <c r="P10">
        <v>50</v>
      </c>
      <c r="Q10">
        <v>50</v>
      </c>
      <c r="R10">
        <v>50</v>
      </c>
      <c r="S10">
        <v>50</v>
      </c>
      <c r="T10">
        <v>50</v>
      </c>
      <c r="U10">
        <v>50</v>
      </c>
      <c r="V10">
        <v>50</v>
      </c>
      <c r="W10">
        <v>50</v>
      </c>
      <c r="X10">
        <v>50</v>
      </c>
    </row>
    <row r="12" spans="1:24" x14ac:dyDescent="0.3">
      <c r="A12" s="1" t="s">
        <v>8</v>
      </c>
    </row>
    <row r="14" spans="1:24" x14ac:dyDescent="0.3">
      <c r="A14" t="s">
        <v>13</v>
      </c>
      <c r="E14">
        <v>22</v>
      </c>
      <c r="F14">
        <v>22</v>
      </c>
      <c r="G14">
        <v>22</v>
      </c>
      <c r="H14">
        <v>22</v>
      </c>
      <c r="I14">
        <v>22</v>
      </c>
      <c r="J14">
        <v>22</v>
      </c>
      <c r="K14">
        <v>22</v>
      </c>
      <c r="L14">
        <v>22</v>
      </c>
      <c r="M14">
        <v>22</v>
      </c>
      <c r="N14">
        <v>22</v>
      </c>
      <c r="O14">
        <v>22</v>
      </c>
      <c r="P14">
        <v>22</v>
      </c>
      <c r="Q14">
        <v>22</v>
      </c>
      <c r="R14">
        <v>22</v>
      </c>
      <c r="S14">
        <v>22</v>
      </c>
      <c r="T14">
        <v>22</v>
      </c>
      <c r="U14">
        <v>22</v>
      </c>
      <c r="V14">
        <v>22</v>
      </c>
      <c r="W14">
        <v>22</v>
      </c>
      <c r="X14">
        <v>22</v>
      </c>
    </row>
    <row r="15" spans="1:24" x14ac:dyDescent="0.3">
      <c r="A15" t="s">
        <v>14</v>
      </c>
      <c r="L15">
        <v>10</v>
      </c>
      <c r="M15">
        <v>10</v>
      </c>
      <c r="R15">
        <v>10</v>
      </c>
      <c r="W15">
        <v>3</v>
      </c>
    </row>
    <row r="17" spans="1:24" x14ac:dyDescent="0.3">
      <c r="A17" t="s">
        <v>15</v>
      </c>
      <c r="E17">
        <v>140</v>
      </c>
      <c r="F17">
        <v>140</v>
      </c>
      <c r="G17">
        <v>140</v>
      </c>
      <c r="H17">
        <v>140</v>
      </c>
      <c r="I17">
        <v>140</v>
      </c>
      <c r="J17">
        <v>140</v>
      </c>
      <c r="K17">
        <v>50</v>
      </c>
      <c r="L17">
        <v>50</v>
      </c>
      <c r="M17">
        <v>50</v>
      </c>
      <c r="N17">
        <v>50</v>
      </c>
      <c r="O17">
        <v>50</v>
      </c>
      <c r="P17">
        <v>50</v>
      </c>
      <c r="Q17">
        <v>50</v>
      </c>
      <c r="R17">
        <v>50</v>
      </c>
      <c r="S17">
        <v>50</v>
      </c>
      <c r="T17">
        <v>50</v>
      </c>
      <c r="U17">
        <v>50</v>
      </c>
      <c r="V17">
        <v>50</v>
      </c>
      <c r="W17">
        <v>50</v>
      </c>
      <c r="X17">
        <v>50</v>
      </c>
    </row>
    <row r="19" spans="1:24" x14ac:dyDescent="0.3">
      <c r="A19" s="1" t="s">
        <v>10</v>
      </c>
    </row>
    <row r="21" spans="1:24" x14ac:dyDescent="0.3">
      <c r="A21" t="s">
        <v>13</v>
      </c>
      <c r="E21">
        <v>22</v>
      </c>
      <c r="F21">
        <v>22</v>
      </c>
      <c r="G21">
        <v>22</v>
      </c>
      <c r="H21">
        <v>22</v>
      </c>
      <c r="I21">
        <v>22</v>
      </c>
      <c r="J21">
        <v>22</v>
      </c>
      <c r="K21">
        <v>22</v>
      </c>
      <c r="L21">
        <v>22</v>
      </c>
      <c r="M21">
        <v>22</v>
      </c>
      <c r="N21">
        <v>22</v>
      </c>
      <c r="O21">
        <v>22</v>
      </c>
      <c r="P21">
        <v>22</v>
      </c>
      <c r="Q21">
        <v>22</v>
      </c>
      <c r="R21">
        <v>22</v>
      </c>
      <c r="S21">
        <v>22</v>
      </c>
      <c r="T21">
        <v>22</v>
      </c>
      <c r="U21">
        <v>22</v>
      </c>
      <c r="V21">
        <v>22</v>
      </c>
      <c r="W21">
        <v>22</v>
      </c>
      <c r="X21">
        <v>22</v>
      </c>
    </row>
    <row r="22" spans="1:24" x14ac:dyDescent="0.3">
      <c r="A22" t="s">
        <v>14</v>
      </c>
      <c r="L22">
        <v>10</v>
      </c>
      <c r="M22">
        <v>10</v>
      </c>
      <c r="R22">
        <v>10</v>
      </c>
      <c r="W22">
        <v>3</v>
      </c>
    </row>
    <row r="24" spans="1:24" x14ac:dyDescent="0.3">
      <c r="A24" t="s">
        <v>15</v>
      </c>
      <c r="E24">
        <v>50</v>
      </c>
      <c r="F24">
        <v>50</v>
      </c>
      <c r="G24">
        <v>50</v>
      </c>
      <c r="H24">
        <v>50</v>
      </c>
      <c r="I24">
        <v>50</v>
      </c>
      <c r="J24">
        <v>50</v>
      </c>
      <c r="K24">
        <v>50</v>
      </c>
      <c r="L24">
        <v>50</v>
      </c>
      <c r="M24">
        <v>50</v>
      </c>
      <c r="N24">
        <v>50</v>
      </c>
      <c r="O24">
        <v>50</v>
      </c>
      <c r="P24">
        <v>50</v>
      </c>
      <c r="Q24">
        <v>50</v>
      </c>
      <c r="R24">
        <v>50</v>
      </c>
      <c r="S24">
        <v>50</v>
      </c>
      <c r="T24">
        <v>50</v>
      </c>
      <c r="U24">
        <v>50</v>
      </c>
      <c r="V24">
        <v>50</v>
      </c>
      <c r="W24">
        <v>50</v>
      </c>
      <c r="X24">
        <v>50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opLeftCell="A25" workbookViewId="0">
      <selection activeCell="F34" sqref="F34"/>
    </sheetView>
  </sheetViews>
  <sheetFormatPr defaultRowHeight="14.4" x14ac:dyDescent="0.3"/>
  <cols>
    <col min="20" max="20" width="11" bestFit="1" customWidth="1"/>
  </cols>
  <sheetData>
    <row r="1" spans="1:21" ht="15.6" x14ac:dyDescent="0.3">
      <c r="A1" s="3" t="s">
        <v>16</v>
      </c>
      <c r="G1" t="s">
        <v>7</v>
      </c>
      <c r="J1" t="s">
        <v>8</v>
      </c>
      <c r="M1" t="s">
        <v>10</v>
      </c>
    </row>
    <row r="2" spans="1:21" ht="15.6" x14ac:dyDescent="0.3">
      <c r="A2" s="8"/>
      <c r="G2">
        <v>2030</v>
      </c>
      <c r="J2">
        <v>2030</v>
      </c>
      <c r="M2">
        <v>2030</v>
      </c>
    </row>
    <row r="3" spans="1:21" ht="15.6" x14ac:dyDescent="0.3">
      <c r="A3" s="6" t="s">
        <v>17</v>
      </c>
      <c r="D3" t="s">
        <v>28</v>
      </c>
      <c r="F3" t="s">
        <v>27</v>
      </c>
      <c r="G3" t="s">
        <v>70</v>
      </c>
      <c r="J3" s="15">
        <f>(140-100)/0.3</f>
        <v>133.33333333333334</v>
      </c>
      <c r="M3">
        <f>(253-100)/0.3</f>
        <v>510</v>
      </c>
      <c r="O3" t="s">
        <v>69</v>
      </c>
      <c r="T3" t="s">
        <v>71</v>
      </c>
    </row>
    <row r="4" spans="1:21" ht="15.6" x14ac:dyDescent="0.3">
      <c r="A4" s="6"/>
      <c r="B4" t="s">
        <v>18</v>
      </c>
      <c r="F4" t="s">
        <v>26</v>
      </c>
      <c r="G4">
        <f>+(100-50)*0.6</f>
        <v>30</v>
      </c>
      <c r="J4">
        <f>-(140-100)*0.6</f>
        <v>-24</v>
      </c>
      <c r="M4" s="15">
        <f>-(253-100)*0.6</f>
        <v>-91.8</v>
      </c>
      <c r="O4" t="s">
        <v>68</v>
      </c>
    </row>
    <row r="5" spans="1:21" ht="15.6" x14ac:dyDescent="0.3">
      <c r="A5" s="6"/>
      <c r="B5" t="s">
        <v>19</v>
      </c>
      <c r="D5" t="s">
        <v>30</v>
      </c>
      <c r="F5" t="s">
        <v>20</v>
      </c>
      <c r="G5">
        <v>-0.6</v>
      </c>
      <c r="H5" s="1"/>
      <c r="J5">
        <v>0.5</v>
      </c>
      <c r="M5">
        <v>1.9</v>
      </c>
      <c r="O5" t="s">
        <v>64</v>
      </c>
    </row>
    <row r="6" spans="1:21" ht="15.6" x14ac:dyDescent="0.3">
      <c r="A6" s="6"/>
      <c r="B6" t="s">
        <v>34</v>
      </c>
      <c r="D6" t="s">
        <v>15</v>
      </c>
      <c r="F6" t="s">
        <v>21</v>
      </c>
      <c r="G6">
        <v>6.5</v>
      </c>
      <c r="J6">
        <v>6</v>
      </c>
      <c r="M6">
        <v>5</v>
      </c>
      <c r="O6" t="s">
        <v>63</v>
      </c>
    </row>
    <row r="7" spans="1:21" ht="15.6" x14ac:dyDescent="0.3">
      <c r="A7" s="6"/>
      <c r="B7" t="s">
        <v>31</v>
      </c>
      <c r="D7" t="s">
        <v>15</v>
      </c>
      <c r="F7" t="s">
        <v>32</v>
      </c>
      <c r="G7" s="17">
        <v>0.63</v>
      </c>
      <c r="J7" s="17">
        <v>0.57999999999999996</v>
      </c>
      <c r="M7" s="17">
        <v>0.48</v>
      </c>
      <c r="O7" t="s">
        <v>62</v>
      </c>
      <c r="T7">
        <f>8.89+1.08</f>
        <v>9.9700000000000006</v>
      </c>
      <c r="U7" t="s">
        <v>67</v>
      </c>
    </row>
    <row r="8" spans="1:21" ht="15.6" x14ac:dyDescent="0.3">
      <c r="A8" s="6"/>
      <c r="B8" t="s">
        <v>33</v>
      </c>
      <c r="D8" s="13">
        <v>2.75E-2</v>
      </c>
      <c r="F8" t="s">
        <v>32</v>
      </c>
      <c r="G8" s="17">
        <f>T7*D8</f>
        <v>0.274175</v>
      </c>
      <c r="J8" s="17">
        <f>T7*D8</f>
        <v>0.274175</v>
      </c>
      <c r="M8" s="17">
        <f>T7*D8</f>
        <v>0.274175</v>
      </c>
    </row>
    <row r="9" spans="1:21" ht="15.6" x14ac:dyDescent="0.3">
      <c r="A9" s="6"/>
      <c r="B9" t="s">
        <v>35</v>
      </c>
      <c r="F9" t="s">
        <v>36</v>
      </c>
      <c r="G9" s="15">
        <f>66.6*(G7+G8)</f>
        <v>60.218054999999993</v>
      </c>
      <c r="J9" s="15">
        <f>66.6*(J7+J8)</f>
        <v>56.888054999999987</v>
      </c>
      <c r="M9" s="15">
        <f>66.6*(M7+M8)</f>
        <v>50.228054999999998</v>
      </c>
      <c r="O9" t="s">
        <v>60</v>
      </c>
    </row>
    <row r="10" spans="1:21" ht="15.6" x14ac:dyDescent="0.3">
      <c r="A10" s="6"/>
      <c r="B10" t="s">
        <v>61</v>
      </c>
    </row>
    <row r="11" spans="1:21" ht="15.6" x14ac:dyDescent="0.3">
      <c r="A11" s="7"/>
      <c r="B11" t="s">
        <v>29</v>
      </c>
    </row>
    <row r="12" spans="1:21" ht="15.6" x14ac:dyDescent="0.3">
      <c r="A12" s="8"/>
    </row>
    <row r="13" spans="1:21" ht="15.6" x14ac:dyDescent="0.3">
      <c r="A13" s="8"/>
      <c r="B13" t="s">
        <v>37</v>
      </c>
      <c r="D13" t="s">
        <v>38</v>
      </c>
      <c r="F13" t="s">
        <v>32</v>
      </c>
      <c r="G13">
        <f>8.1*0.0275</f>
        <v>0.22275</v>
      </c>
      <c r="O13" t="s">
        <v>66</v>
      </c>
    </row>
    <row r="14" spans="1:21" ht="15.6" x14ac:dyDescent="0.3">
      <c r="A14" s="5"/>
      <c r="D14" t="s">
        <v>15</v>
      </c>
      <c r="F14" t="s">
        <v>32</v>
      </c>
      <c r="G14">
        <f>G15-G13</f>
        <v>0.70725000000000005</v>
      </c>
    </row>
    <row r="15" spans="1:21" ht="15.6" x14ac:dyDescent="0.3">
      <c r="A15" s="5"/>
      <c r="D15" t="s">
        <v>39</v>
      </c>
      <c r="F15" t="s">
        <v>32</v>
      </c>
      <c r="G15">
        <v>0.93</v>
      </c>
      <c r="O15" t="s">
        <v>65</v>
      </c>
    </row>
    <row r="16" spans="1:21" ht="15.6" x14ac:dyDescent="0.3">
      <c r="A16" s="5"/>
    </row>
    <row r="17" spans="1:21" ht="15.6" x14ac:dyDescent="0.3">
      <c r="A17" s="9"/>
      <c r="B17" t="s">
        <v>40</v>
      </c>
      <c r="F17" t="s">
        <v>4</v>
      </c>
      <c r="G17" s="17">
        <v>13.1</v>
      </c>
      <c r="J17" s="17">
        <v>16.3</v>
      </c>
      <c r="M17" s="17">
        <v>22.8</v>
      </c>
    </row>
    <row r="18" spans="1:21" ht="15.6" x14ac:dyDescent="0.3">
      <c r="A18" s="5"/>
      <c r="B18" t="s">
        <v>41</v>
      </c>
      <c r="F18" t="s">
        <v>4</v>
      </c>
      <c r="G18" s="14">
        <f>S35-(S21*S29+T21*S32)</f>
        <v>20.667391824049723</v>
      </c>
      <c r="J18" s="14">
        <f>S35-(S22*S29+T22*S32)</f>
        <v>24.723392302175469</v>
      </c>
      <c r="M18" s="14">
        <f>S35-(S23*S29+T23*S32)</f>
        <v>32.032470714797988</v>
      </c>
      <c r="S18" t="s">
        <v>46</v>
      </c>
      <c r="T18" t="s">
        <v>47</v>
      </c>
      <c r="U18" t="s">
        <v>39</v>
      </c>
    </row>
    <row r="19" spans="1:21" ht="15.6" x14ac:dyDescent="0.3">
      <c r="A19" s="5"/>
      <c r="G19" s="14"/>
      <c r="J19" s="14"/>
      <c r="M19" s="14"/>
    </row>
    <row r="20" spans="1:21" ht="15.6" x14ac:dyDescent="0.3">
      <c r="A20" s="5"/>
      <c r="Q20" t="s">
        <v>43</v>
      </c>
      <c r="R20" t="s">
        <v>48</v>
      </c>
      <c r="S20">
        <v>188</v>
      </c>
      <c r="T20">
        <v>91</v>
      </c>
      <c r="U20">
        <f>S20+T20</f>
        <v>279</v>
      </c>
    </row>
    <row r="21" spans="1:21" ht="15.6" x14ac:dyDescent="0.3">
      <c r="A21" s="8"/>
      <c r="P21" t="s">
        <v>44</v>
      </c>
      <c r="R21" t="s">
        <v>48</v>
      </c>
      <c r="S21">
        <v>60</v>
      </c>
      <c r="T21">
        <v>70</v>
      </c>
      <c r="U21">
        <v>130</v>
      </c>
    </row>
    <row r="22" spans="1:21" ht="15.6" x14ac:dyDescent="0.3">
      <c r="A22" s="5"/>
      <c r="P22" t="s">
        <v>42</v>
      </c>
      <c r="Q22" t="s">
        <v>49</v>
      </c>
      <c r="R22" t="s">
        <v>48</v>
      </c>
      <c r="S22">
        <v>50</v>
      </c>
      <c r="T22">
        <v>40</v>
      </c>
      <c r="U22">
        <v>90</v>
      </c>
    </row>
    <row r="23" spans="1:21" ht="15.6" x14ac:dyDescent="0.3">
      <c r="A23" s="5"/>
      <c r="P23" t="s">
        <v>45</v>
      </c>
      <c r="Q23" t="s">
        <v>49</v>
      </c>
      <c r="R23" t="s">
        <v>48</v>
      </c>
      <c r="S23">
        <v>15</v>
      </c>
      <c r="T23">
        <v>15</v>
      </c>
      <c r="U23">
        <v>30</v>
      </c>
    </row>
    <row r="24" spans="1:21" ht="15.6" x14ac:dyDescent="0.3">
      <c r="A24" s="10"/>
    </row>
    <row r="25" spans="1:21" ht="15.6" x14ac:dyDescent="0.3">
      <c r="A25" s="10"/>
      <c r="P25" t="s">
        <v>50</v>
      </c>
      <c r="S25" s="15"/>
    </row>
    <row r="26" spans="1:21" x14ac:dyDescent="0.3">
      <c r="P26" t="s">
        <v>51</v>
      </c>
      <c r="S26" s="15"/>
    </row>
    <row r="27" spans="1:21" ht="15.6" x14ac:dyDescent="0.3">
      <c r="A27" s="4"/>
    </row>
    <row r="28" spans="1:21" ht="15.6" x14ac:dyDescent="0.3">
      <c r="A28" s="4"/>
    </row>
    <row r="29" spans="1:21" ht="15.6" x14ac:dyDescent="0.3">
      <c r="E29" s="11"/>
      <c r="P29" t="s">
        <v>52</v>
      </c>
      <c r="S29" s="16">
        <f>27.7/S20</f>
        <v>0.1473404255319149</v>
      </c>
    </row>
    <row r="31" spans="1:21" x14ac:dyDescent="0.3">
      <c r="P31" t="s">
        <v>54</v>
      </c>
    </row>
    <row r="32" spans="1:21" x14ac:dyDescent="0.3">
      <c r="S32" s="16">
        <f>10.4/17.8*S29</f>
        <v>8.6086540760219932E-2</v>
      </c>
    </row>
    <row r="33" spans="3:23" x14ac:dyDescent="0.3">
      <c r="P33" t="s">
        <v>55</v>
      </c>
    </row>
    <row r="34" spans="3:23" x14ac:dyDescent="0.3">
      <c r="S34" s="14">
        <f>T20*S32</f>
        <v>7.8338752091800137</v>
      </c>
    </row>
    <row r="35" spans="3:23" x14ac:dyDescent="0.3">
      <c r="P35" t="s">
        <v>72</v>
      </c>
      <c r="S35" s="14">
        <f>S20*S29+T20*S32</f>
        <v>35.53387520918001</v>
      </c>
    </row>
    <row r="37" spans="3:23" ht="15" thickBot="1" x14ac:dyDescent="0.35"/>
    <row r="38" spans="3:23" x14ac:dyDescent="0.3">
      <c r="Q38" s="19" t="s">
        <v>56</v>
      </c>
      <c r="R38" s="20"/>
      <c r="S38" s="20"/>
      <c r="T38" s="20"/>
      <c r="U38" s="20"/>
      <c r="V38" s="20"/>
      <c r="W38" s="21"/>
    </row>
    <row r="39" spans="3:23" x14ac:dyDescent="0.3">
      <c r="Q39" s="22"/>
      <c r="R39" s="18"/>
      <c r="S39" s="18" t="s">
        <v>58</v>
      </c>
      <c r="T39" s="18"/>
      <c r="U39" s="18"/>
      <c r="V39" s="18"/>
      <c r="W39" s="23"/>
    </row>
    <row r="40" spans="3:23" x14ac:dyDescent="0.3">
      <c r="Q40" s="22" t="s">
        <v>59</v>
      </c>
      <c r="R40" s="18"/>
      <c r="S40" s="18"/>
      <c r="T40" s="18"/>
      <c r="U40" s="18"/>
      <c r="V40" s="18"/>
      <c r="W40" s="23"/>
    </row>
    <row r="41" spans="3:23" ht="15" thickBot="1" x14ac:dyDescent="0.35">
      <c r="Q41" s="24"/>
      <c r="R41" s="25"/>
      <c r="S41" s="25" t="s">
        <v>57</v>
      </c>
      <c r="T41" s="25"/>
      <c r="U41" s="25"/>
      <c r="V41" s="25"/>
      <c r="W41" s="26"/>
    </row>
    <row r="48" spans="3:23" x14ac:dyDescent="0.3">
      <c r="C48" t="s">
        <v>53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13" workbookViewId="0">
      <selection activeCell="O25" sqref="O25"/>
    </sheetView>
  </sheetViews>
  <sheetFormatPr defaultRowHeight="14.4" x14ac:dyDescent="0.3"/>
  <sheetData>
    <row r="1" spans="1:12" x14ac:dyDescent="0.3">
      <c r="A1" t="s">
        <v>73</v>
      </c>
    </row>
    <row r="4" spans="1:12" x14ac:dyDescent="0.3">
      <c r="E4">
        <v>2015</v>
      </c>
      <c r="F4">
        <v>2020</v>
      </c>
      <c r="G4">
        <v>2025</v>
      </c>
      <c r="H4">
        <v>2030</v>
      </c>
      <c r="I4">
        <v>2035</v>
      </c>
      <c r="J4">
        <v>2040</v>
      </c>
      <c r="K4">
        <v>2045</v>
      </c>
      <c r="L4">
        <v>2050</v>
      </c>
    </row>
    <row r="5" spans="1:12" x14ac:dyDescent="0.3">
      <c r="A5" s="1" t="s">
        <v>74</v>
      </c>
      <c r="B5" s="1"/>
      <c r="C5" s="1"/>
    </row>
    <row r="7" spans="1:12" x14ac:dyDescent="0.3">
      <c r="A7" t="s">
        <v>33</v>
      </c>
      <c r="D7" t="s">
        <v>21</v>
      </c>
      <c r="E7">
        <v>2.75</v>
      </c>
      <c r="F7">
        <v>2.75</v>
      </c>
      <c r="G7">
        <v>2.75</v>
      </c>
      <c r="H7">
        <v>2.75</v>
      </c>
      <c r="I7">
        <v>2.75</v>
      </c>
      <c r="J7">
        <v>2.75</v>
      </c>
      <c r="K7">
        <v>2.75</v>
      </c>
      <c r="L7">
        <v>2.75</v>
      </c>
    </row>
    <row r="8" spans="1:12" x14ac:dyDescent="0.3">
      <c r="D8" t="s">
        <v>32</v>
      </c>
      <c r="E8" s="17">
        <f>E47*B36</f>
        <v>0.23292500000000002</v>
      </c>
      <c r="F8" s="17">
        <f>F47*B36</f>
        <v>0.24640000000000004</v>
      </c>
      <c r="G8" s="17">
        <f>G47*B36</f>
        <v>0.26042500000000002</v>
      </c>
      <c r="H8" s="17">
        <f>H47*B36</f>
        <v>0.274175</v>
      </c>
      <c r="I8" s="17">
        <f>I47*B36</f>
        <v>0.29342499999999999</v>
      </c>
      <c r="J8" s="17">
        <f>J47*B36</f>
        <v>0.31240000000000001</v>
      </c>
      <c r="K8" s="17">
        <f>K47*B36</f>
        <v>0.33027499999999999</v>
      </c>
      <c r="L8" s="17">
        <f>L47*B36</f>
        <v>0.34787499999999999</v>
      </c>
    </row>
    <row r="9" spans="1:12" x14ac:dyDescent="0.3">
      <c r="D9" t="s">
        <v>76</v>
      </c>
      <c r="E9" s="17">
        <f t="shared" ref="E9:L9" si="0">E8*E49</f>
        <v>17.534594000000002</v>
      </c>
      <c r="F9" s="17">
        <f t="shared" si="0"/>
        <v>15.875552000000004</v>
      </c>
      <c r="G9" s="17">
        <f t="shared" si="0"/>
        <v>17.6724405</v>
      </c>
      <c r="H9" s="17">
        <f t="shared" si="0"/>
        <v>18.260054999999998</v>
      </c>
      <c r="I9" s="17">
        <f t="shared" si="0"/>
        <v>20.44878825</v>
      </c>
      <c r="J9" s="17">
        <f t="shared" si="0"/>
        <v>22.883300000000002</v>
      </c>
      <c r="K9" s="17">
        <f t="shared" si="0"/>
        <v>24.740900249999999</v>
      </c>
      <c r="L9" s="17">
        <f t="shared" si="0"/>
        <v>25.391396249999996</v>
      </c>
    </row>
    <row r="10" spans="1:12" x14ac:dyDescent="0.3">
      <c r="A10" t="s">
        <v>75</v>
      </c>
      <c r="D10" t="s">
        <v>21</v>
      </c>
      <c r="E10">
        <v>9</v>
      </c>
      <c r="F10">
        <v>8.1999999999999993</v>
      </c>
      <c r="G10">
        <v>7.7</v>
      </c>
      <c r="H10">
        <v>6.5</v>
      </c>
      <c r="I10">
        <v>6.4</v>
      </c>
      <c r="J10">
        <v>6.3</v>
      </c>
      <c r="K10">
        <v>6.2</v>
      </c>
      <c r="L10">
        <v>6</v>
      </c>
    </row>
    <row r="11" spans="1:12" x14ac:dyDescent="0.3">
      <c r="D11" t="s">
        <v>32</v>
      </c>
      <c r="E11" s="17">
        <f>E48*0.09</f>
        <v>0.7413367500000001</v>
      </c>
      <c r="F11" s="17">
        <f>F48*0.082</f>
        <v>0.71451520000000013</v>
      </c>
      <c r="G11" s="17">
        <f>G48*0.077</f>
        <v>0.70913727500000001</v>
      </c>
      <c r="H11" s="17">
        <f>H48*0.065</f>
        <v>0.6302286250000001</v>
      </c>
      <c r="I11" s="17">
        <f>I48*0.064</f>
        <v>0.66410080000000005</v>
      </c>
      <c r="J11" s="17">
        <f>J48*0.063</f>
        <v>0.69599879999999992</v>
      </c>
      <c r="K11" s="17">
        <f>K48*0.062</f>
        <v>0.72414294999999995</v>
      </c>
      <c r="L11" s="17">
        <f>L48*0.06</f>
        <v>0.73812749999999994</v>
      </c>
    </row>
    <row r="12" spans="1:12" x14ac:dyDescent="0.3">
      <c r="D12" t="s">
        <v>76</v>
      </c>
      <c r="E12" s="17">
        <f t="shared" ref="E12:L12" si="1">E11*E49</f>
        <v>55.807830540000012</v>
      </c>
      <c r="F12" s="17">
        <f t="shared" si="1"/>
        <v>46.036214336000015</v>
      </c>
      <c r="G12" s="17">
        <f t="shared" si="1"/>
        <v>48.122055481499999</v>
      </c>
      <c r="H12" s="17">
        <f t="shared" si="1"/>
        <v>41.973226425</v>
      </c>
      <c r="I12" s="17">
        <f t="shared" si="1"/>
        <v>46.281184752000001</v>
      </c>
      <c r="J12" s="17">
        <f t="shared" si="1"/>
        <v>50.981912099999995</v>
      </c>
      <c r="K12" s="17">
        <f t="shared" si="1"/>
        <v>54.24554838449999</v>
      </c>
      <c r="L12" s="17">
        <f t="shared" si="1"/>
        <v>53.875926224999994</v>
      </c>
    </row>
    <row r="13" spans="1:12" x14ac:dyDescent="0.3">
      <c r="A13" t="s">
        <v>40</v>
      </c>
      <c r="H13" s="17">
        <f>E9+E12-H9-H12</f>
        <v>13.109143115000016</v>
      </c>
    </row>
    <row r="14" spans="1:12" x14ac:dyDescent="0.3">
      <c r="A14" t="s">
        <v>77</v>
      </c>
      <c r="D14" t="s">
        <v>76</v>
      </c>
      <c r="E14" s="17">
        <f t="shared" ref="E14:L14" si="2">E9+E12</f>
        <v>73.34242454000001</v>
      </c>
      <c r="F14" s="17">
        <f t="shared" si="2"/>
        <v>61.911766336000021</v>
      </c>
      <c r="G14" s="17">
        <f t="shared" si="2"/>
        <v>65.794495981500006</v>
      </c>
      <c r="H14" s="17">
        <f t="shared" si="2"/>
        <v>60.233281425000001</v>
      </c>
      <c r="I14" s="17">
        <f t="shared" si="2"/>
        <v>66.729973002000008</v>
      </c>
      <c r="J14" s="17">
        <f t="shared" si="2"/>
        <v>73.865212099999994</v>
      </c>
      <c r="K14" s="17">
        <f t="shared" si="2"/>
        <v>78.986448634499993</v>
      </c>
      <c r="L14" s="17">
        <f t="shared" si="2"/>
        <v>79.267322474999986</v>
      </c>
    </row>
    <row r="15" spans="1:12" x14ac:dyDescent="0.3">
      <c r="A15" t="s">
        <v>81</v>
      </c>
      <c r="D15" t="s">
        <v>79</v>
      </c>
      <c r="E15">
        <v>180</v>
      </c>
      <c r="F15">
        <v>140</v>
      </c>
      <c r="G15">
        <v>100</v>
      </c>
      <c r="H15">
        <v>60</v>
      </c>
      <c r="I15">
        <v>55</v>
      </c>
      <c r="J15">
        <v>50</v>
      </c>
      <c r="K15">
        <v>45</v>
      </c>
      <c r="L15">
        <v>40</v>
      </c>
    </row>
    <row r="16" spans="1:12" x14ac:dyDescent="0.3">
      <c r="A16" t="s">
        <v>82</v>
      </c>
      <c r="D16" t="s">
        <v>79</v>
      </c>
      <c r="E16">
        <v>90</v>
      </c>
      <c r="F16">
        <v>85</v>
      </c>
      <c r="G16">
        <v>80</v>
      </c>
      <c r="H16">
        <v>70</v>
      </c>
      <c r="I16">
        <v>65</v>
      </c>
      <c r="J16">
        <v>60</v>
      </c>
      <c r="K16">
        <v>55</v>
      </c>
      <c r="L16">
        <v>50</v>
      </c>
    </row>
    <row r="17" spans="1:18" x14ac:dyDescent="0.3">
      <c r="A17" t="s">
        <v>89</v>
      </c>
      <c r="D17" t="s">
        <v>76</v>
      </c>
      <c r="E17">
        <f>E15*Q18+E16*Q19</f>
        <v>34.199999999999996</v>
      </c>
      <c r="F17">
        <f>F15*Q18+F16*Q19</f>
        <v>27.889999999999997</v>
      </c>
      <c r="G17">
        <f>G15*Q18+G16*Q19</f>
        <v>21.58</v>
      </c>
      <c r="H17">
        <f>H15*Q18+H16*Q19</f>
        <v>14.84</v>
      </c>
      <c r="I17" s="17">
        <f>I15*Q18+I16*Q19</f>
        <v>13.674999999999999</v>
      </c>
      <c r="J17">
        <f>J15*Q18+J16*Q19</f>
        <v>12.509999999999998</v>
      </c>
      <c r="K17" s="17">
        <f>K15*Q18+K16*Q19</f>
        <v>11.344999999999999</v>
      </c>
      <c r="L17">
        <f>L15*Q18+L16*Q19</f>
        <v>10.18</v>
      </c>
    </row>
    <row r="18" spans="1:18" x14ac:dyDescent="0.3">
      <c r="A18" t="s">
        <v>92</v>
      </c>
      <c r="D18" t="s">
        <v>4</v>
      </c>
      <c r="H18">
        <f>E17-H17</f>
        <v>19.359999999999996</v>
      </c>
      <c r="O18" t="s">
        <v>81</v>
      </c>
      <c r="Q18">
        <v>0.14699999999999999</v>
      </c>
      <c r="R18" t="s">
        <v>88</v>
      </c>
    </row>
    <row r="19" spans="1:18" x14ac:dyDescent="0.3">
      <c r="A19" s="1" t="s">
        <v>78</v>
      </c>
      <c r="B19" s="1"/>
      <c r="C19" s="1"/>
      <c r="O19" t="s">
        <v>82</v>
      </c>
      <c r="Q19">
        <v>8.5999999999999993E-2</v>
      </c>
      <c r="R19" t="s">
        <v>88</v>
      </c>
    </row>
    <row r="21" spans="1:18" x14ac:dyDescent="0.3">
      <c r="A21" t="s">
        <v>33</v>
      </c>
      <c r="D21" t="s">
        <v>21</v>
      </c>
      <c r="E21">
        <v>2.75</v>
      </c>
      <c r="F21">
        <v>2.75</v>
      </c>
      <c r="G21">
        <v>2.75</v>
      </c>
      <c r="H21">
        <v>2.75</v>
      </c>
      <c r="I21">
        <v>2.75</v>
      </c>
      <c r="J21">
        <v>2.75</v>
      </c>
      <c r="K21">
        <v>2.75</v>
      </c>
      <c r="L21">
        <v>2.75</v>
      </c>
    </row>
    <row r="22" spans="1:18" x14ac:dyDescent="0.3">
      <c r="D22" t="s">
        <v>32</v>
      </c>
      <c r="E22" s="17">
        <f t="shared" ref="E22:L23" si="3">E8</f>
        <v>0.23292500000000002</v>
      </c>
      <c r="F22" s="17">
        <f t="shared" si="3"/>
        <v>0.24640000000000004</v>
      </c>
      <c r="G22" s="17">
        <f t="shared" si="3"/>
        <v>0.26042500000000002</v>
      </c>
      <c r="H22" s="17">
        <f t="shared" si="3"/>
        <v>0.274175</v>
      </c>
      <c r="I22" s="17">
        <f t="shared" si="3"/>
        <v>0.29342499999999999</v>
      </c>
      <c r="J22" s="17">
        <f t="shared" si="3"/>
        <v>0.31240000000000001</v>
      </c>
      <c r="K22" s="17">
        <f t="shared" si="3"/>
        <v>0.33027499999999999</v>
      </c>
      <c r="L22" s="17">
        <f t="shared" si="3"/>
        <v>0.34787499999999999</v>
      </c>
    </row>
    <row r="23" spans="1:18" x14ac:dyDescent="0.3">
      <c r="D23" t="s">
        <v>76</v>
      </c>
      <c r="E23" s="17">
        <f t="shared" si="3"/>
        <v>17.534594000000002</v>
      </c>
      <c r="F23" s="17">
        <f t="shared" si="3"/>
        <v>15.875552000000004</v>
      </c>
      <c r="G23" s="17">
        <f t="shared" si="3"/>
        <v>17.6724405</v>
      </c>
      <c r="H23" s="17">
        <f t="shared" si="3"/>
        <v>18.260054999999998</v>
      </c>
      <c r="I23" s="17">
        <f t="shared" si="3"/>
        <v>20.44878825</v>
      </c>
      <c r="J23" s="17">
        <f t="shared" si="3"/>
        <v>22.883300000000002</v>
      </c>
      <c r="K23" s="17">
        <f t="shared" si="3"/>
        <v>24.740900249999999</v>
      </c>
      <c r="L23" s="17">
        <f t="shared" si="3"/>
        <v>25.391396249999996</v>
      </c>
    </row>
    <row r="24" spans="1:18" x14ac:dyDescent="0.3">
      <c r="A24" t="s">
        <v>75</v>
      </c>
      <c r="D24" t="s">
        <v>21</v>
      </c>
      <c r="E24">
        <v>9</v>
      </c>
      <c r="F24">
        <v>8</v>
      </c>
      <c r="G24">
        <v>7</v>
      </c>
      <c r="H24">
        <v>6</v>
      </c>
      <c r="I24">
        <v>5.8</v>
      </c>
      <c r="J24">
        <v>5.5</v>
      </c>
      <c r="K24">
        <v>5.3</v>
      </c>
      <c r="L24">
        <v>5</v>
      </c>
    </row>
    <row r="25" spans="1:18" x14ac:dyDescent="0.3">
      <c r="D25" t="s">
        <v>32</v>
      </c>
      <c r="E25" s="17">
        <f>E48*0.09</f>
        <v>0.7413367500000001</v>
      </c>
      <c r="F25" s="17">
        <f>F48*0.08</f>
        <v>0.69708800000000015</v>
      </c>
      <c r="G25" s="17">
        <f>G48*0.07</f>
        <v>0.64467025000000011</v>
      </c>
      <c r="H25" s="17">
        <f>H48*0.06</f>
        <v>0.58174950000000003</v>
      </c>
      <c r="I25" s="17">
        <f>I48*0.058</f>
        <v>0.60184135000000005</v>
      </c>
      <c r="J25" s="17">
        <f>J48*0.055</f>
        <v>0.60761799999999999</v>
      </c>
      <c r="K25" s="17">
        <f>K48*0.053</f>
        <v>0.61902542499999991</v>
      </c>
      <c r="L25" s="17">
        <f>L48*0.05</f>
        <v>0.61510625000000008</v>
      </c>
    </row>
    <row r="26" spans="1:18" x14ac:dyDescent="0.3">
      <c r="D26" t="s">
        <v>76</v>
      </c>
      <c r="E26" s="17">
        <f t="shared" ref="E26:L26" si="4">E25*E49</f>
        <v>55.807830540000012</v>
      </c>
      <c r="F26" s="17">
        <f t="shared" si="4"/>
        <v>44.913379840000012</v>
      </c>
      <c r="G26" s="17">
        <f t="shared" si="4"/>
        <v>43.747323165000005</v>
      </c>
      <c r="H26" s="17">
        <f t="shared" si="4"/>
        <v>38.744516699999998</v>
      </c>
      <c r="I26" s="17">
        <f t="shared" si="4"/>
        <v>41.9423236815</v>
      </c>
      <c r="J26" s="17">
        <f t="shared" si="4"/>
        <v>44.508018499999999</v>
      </c>
      <c r="K26" s="17">
        <f t="shared" si="4"/>
        <v>46.371194586749994</v>
      </c>
      <c r="L26" s="17">
        <f t="shared" si="4"/>
        <v>44.896605187500001</v>
      </c>
    </row>
    <row r="27" spans="1:18" x14ac:dyDescent="0.3">
      <c r="A27" t="s">
        <v>40</v>
      </c>
      <c r="D27" t="s">
        <v>4</v>
      </c>
      <c r="H27" s="17">
        <f>E23+E26-H23-H26</f>
        <v>16.337852840000018</v>
      </c>
    </row>
    <row r="28" spans="1:18" x14ac:dyDescent="0.3">
      <c r="A28" t="s">
        <v>77</v>
      </c>
      <c r="D28" t="s">
        <v>76</v>
      </c>
      <c r="E28" s="17">
        <f t="shared" ref="E28:L28" si="5">E23+E26</f>
        <v>73.34242454000001</v>
      </c>
      <c r="F28" s="17">
        <f t="shared" si="5"/>
        <v>60.788931840000018</v>
      </c>
      <c r="G28" s="17">
        <f t="shared" si="5"/>
        <v>61.419763665000005</v>
      </c>
      <c r="H28" s="17">
        <f t="shared" si="5"/>
        <v>57.0045717</v>
      </c>
      <c r="I28" s="17">
        <f t="shared" si="5"/>
        <v>62.391111931499999</v>
      </c>
      <c r="J28" s="17">
        <f t="shared" si="5"/>
        <v>67.391318499999997</v>
      </c>
      <c r="K28" s="17">
        <f t="shared" si="5"/>
        <v>71.112094836749989</v>
      </c>
      <c r="L28" s="17">
        <f t="shared" si="5"/>
        <v>70.2880014375</v>
      </c>
    </row>
    <row r="29" spans="1:18" x14ac:dyDescent="0.3">
      <c r="A29" t="s">
        <v>81</v>
      </c>
      <c r="D29" t="s">
        <v>79</v>
      </c>
      <c r="E29">
        <v>180</v>
      </c>
      <c r="F29">
        <v>120</v>
      </c>
      <c r="G29">
        <v>75</v>
      </c>
      <c r="H29">
        <v>50</v>
      </c>
      <c r="I29">
        <v>45</v>
      </c>
      <c r="J29">
        <v>40</v>
      </c>
      <c r="K29">
        <v>35</v>
      </c>
      <c r="L29">
        <v>30</v>
      </c>
    </row>
    <row r="30" spans="1:18" x14ac:dyDescent="0.3">
      <c r="A30" t="s">
        <v>82</v>
      </c>
      <c r="D30" t="s">
        <v>79</v>
      </c>
      <c r="E30">
        <v>90</v>
      </c>
      <c r="F30">
        <v>70</v>
      </c>
      <c r="G30">
        <v>55</v>
      </c>
      <c r="H30">
        <v>40</v>
      </c>
      <c r="I30">
        <v>35</v>
      </c>
      <c r="J30">
        <v>30</v>
      </c>
      <c r="K30">
        <v>25</v>
      </c>
      <c r="L30">
        <v>20</v>
      </c>
    </row>
    <row r="31" spans="1:18" x14ac:dyDescent="0.3">
      <c r="A31" t="s">
        <v>89</v>
      </c>
      <c r="D31" t="s">
        <v>76</v>
      </c>
      <c r="E31">
        <f>E29*Q18+E30*Q19</f>
        <v>34.199999999999996</v>
      </c>
      <c r="F31">
        <f>F29*Q18+F30*Q19</f>
        <v>23.66</v>
      </c>
      <c r="G31" s="17">
        <f>G29*Q18+G30*Q19</f>
        <v>15.754999999999999</v>
      </c>
      <c r="H31">
        <f>H29*Q18+H30*Q19</f>
        <v>10.79</v>
      </c>
      <c r="I31" s="17">
        <f>I29*Q18+I30*Q19</f>
        <v>9.625</v>
      </c>
      <c r="J31">
        <f>J29*Q18+J30*Q19</f>
        <v>8.4599999999999991</v>
      </c>
      <c r="K31" s="17">
        <f>K29*Q18+K30*Q19</f>
        <v>7.2949999999999999</v>
      </c>
      <c r="L31">
        <f>L29*Q18+L30*Q19</f>
        <v>6.13</v>
      </c>
    </row>
    <row r="32" spans="1:18" x14ac:dyDescent="0.3">
      <c r="A32" t="s">
        <v>92</v>
      </c>
      <c r="D32" t="s">
        <v>4</v>
      </c>
      <c r="H32">
        <f>E31-H31</f>
        <v>23.409999999999997</v>
      </c>
    </row>
    <row r="33" spans="1:12" x14ac:dyDescent="0.3">
      <c r="A33" s="1" t="s">
        <v>80</v>
      </c>
      <c r="B33" s="1"/>
      <c r="C33" s="1"/>
    </row>
    <row r="35" spans="1:12" x14ac:dyDescent="0.3">
      <c r="A35" t="s">
        <v>33</v>
      </c>
      <c r="D35" t="s">
        <v>21</v>
      </c>
      <c r="E35">
        <v>2.75</v>
      </c>
      <c r="F35">
        <v>2.75</v>
      </c>
      <c r="G35">
        <v>2.75</v>
      </c>
      <c r="H35">
        <v>2.75</v>
      </c>
      <c r="I35">
        <v>2.75</v>
      </c>
      <c r="J35">
        <v>2.75</v>
      </c>
      <c r="K35">
        <v>2.75</v>
      </c>
      <c r="L35">
        <v>2.75</v>
      </c>
    </row>
    <row r="36" spans="1:12" x14ac:dyDescent="0.3">
      <c r="B36" s="13">
        <v>2.75E-2</v>
      </c>
      <c r="D36" t="s">
        <v>32</v>
      </c>
      <c r="E36" s="17">
        <f t="shared" ref="E36:L37" si="6">E8</f>
        <v>0.23292500000000002</v>
      </c>
      <c r="F36" s="17">
        <f t="shared" si="6"/>
        <v>0.24640000000000004</v>
      </c>
      <c r="G36" s="17">
        <f t="shared" si="6"/>
        <v>0.26042500000000002</v>
      </c>
      <c r="H36" s="17">
        <f t="shared" si="6"/>
        <v>0.274175</v>
      </c>
      <c r="I36" s="17">
        <f t="shared" si="6"/>
        <v>0.29342499999999999</v>
      </c>
      <c r="J36" s="17">
        <f t="shared" si="6"/>
        <v>0.31240000000000001</v>
      </c>
      <c r="K36" s="17">
        <f t="shared" si="6"/>
        <v>0.33027499999999999</v>
      </c>
      <c r="L36" s="17">
        <f t="shared" si="6"/>
        <v>0.34787499999999999</v>
      </c>
    </row>
    <row r="37" spans="1:12" x14ac:dyDescent="0.3">
      <c r="D37" t="s">
        <v>76</v>
      </c>
      <c r="E37" s="17">
        <f t="shared" si="6"/>
        <v>17.534594000000002</v>
      </c>
      <c r="F37" s="17">
        <f t="shared" si="6"/>
        <v>15.875552000000004</v>
      </c>
      <c r="G37" s="17">
        <f t="shared" si="6"/>
        <v>17.6724405</v>
      </c>
      <c r="H37" s="17">
        <f t="shared" si="6"/>
        <v>18.260054999999998</v>
      </c>
      <c r="I37" s="17">
        <f t="shared" si="6"/>
        <v>20.44878825</v>
      </c>
      <c r="J37" s="17">
        <f t="shared" si="6"/>
        <v>22.883300000000002</v>
      </c>
      <c r="K37" s="17">
        <f t="shared" si="6"/>
        <v>24.740900249999999</v>
      </c>
      <c r="L37" s="17">
        <f t="shared" si="6"/>
        <v>25.391396249999996</v>
      </c>
    </row>
    <row r="38" spans="1:12" x14ac:dyDescent="0.3">
      <c r="A38" t="s">
        <v>75</v>
      </c>
      <c r="D38" t="s">
        <v>21</v>
      </c>
      <c r="E38">
        <v>9</v>
      </c>
      <c r="F38">
        <v>8.1999999999999993</v>
      </c>
      <c r="G38">
        <v>6.3</v>
      </c>
      <c r="H38">
        <v>5</v>
      </c>
      <c r="I38">
        <v>4.8</v>
      </c>
      <c r="J38">
        <v>4.5</v>
      </c>
      <c r="K38">
        <v>4.2</v>
      </c>
      <c r="L38">
        <v>4</v>
      </c>
    </row>
    <row r="39" spans="1:12" x14ac:dyDescent="0.3">
      <c r="D39" t="s">
        <v>32</v>
      </c>
      <c r="E39" s="17">
        <f>E48*0.09</f>
        <v>0.7413367500000001</v>
      </c>
      <c r="F39" s="17">
        <f>F48*0.082</f>
        <v>0.71451520000000013</v>
      </c>
      <c r="G39" s="17">
        <f>G48*0.063</f>
        <v>0.5802032250000001</v>
      </c>
      <c r="H39" s="17">
        <f>H48*0.05</f>
        <v>0.48479125000000006</v>
      </c>
      <c r="I39" s="17">
        <f>I48*0.048</f>
        <v>0.49807560000000006</v>
      </c>
      <c r="J39" s="17">
        <f>J48*0.045</f>
        <v>0.49714199999999997</v>
      </c>
      <c r="K39" s="17">
        <f>K48*0.042</f>
        <v>0.49054845000000002</v>
      </c>
      <c r="L39" s="17">
        <f>L48*0.04</f>
        <v>0.49208499999999999</v>
      </c>
    </row>
    <row r="40" spans="1:12" x14ac:dyDescent="0.3">
      <c r="D40" t="s">
        <v>76</v>
      </c>
      <c r="E40" s="17">
        <f t="shared" ref="E40:L40" si="7">E39*E49</f>
        <v>55.807830540000012</v>
      </c>
      <c r="F40" s="17">
        <f t="shared" si="7"/>
        <v>46.036214336000015</v>
      </c>
      <c r="G40" s="17">
        <f t="shared" si="7"/>
        <v>39.372590848500003</v>
      </c>
      <c r="H40" s="17">
        <f t="shared" si="7"/>
        <v>32.287097250000002</v>
      </c>
      <c r="I40" s="17">
        <f t="shared" si="7"/>
        <v>34.710888564000001</v>
      </c>
      <c r="J40" s="17">
        <f t="shared" si="7"/>
        <v>36.415651499999996</v>
      </c>
      <c r="K40" s="17">
        <f t="shared" si="7"/>
        <v>36.7469843895</v>
      </c>
      <c r="L40" s="17">
        <f t="shared" si="7"/>
        <v>35.91728415</v>
      </c>
    </row>
    <row r="41" spans="1:12" x14ac:dyDescent="0.3">
      <c r="A41" t="s">
        <v>40</v>
      </c>
      <c r="D41" t="s">
        <v>4</v>
      </c>
      <c r="H41" s="17">
        <f>E37+E40-H37-H40</f>
        <v>22.795272290000014</v>
      </c>
    </row>
    <row r="42" spans="1:12" x14ac:dyDescent="0.3">
      <c r="A42" t="s">
        <v>83</v>
      </c>
      <c r="D42" t="s">
        <v>76</v>
      </c>
      <c r="E42" s="17">
        <f t="shared" ref="E42:L42" si="8">E37+E40</f>
        <v>73.34242454000001</v>
      </c>
      <c r="F42" s="17">
        <f t="shared" si="8"/>
        <v>61.911766336000021</v>
      </c>
      <c r="G42" s="17">
        <f t="shared" si="8"/>
        <v>57.045031348500004</v>
      </c>
      <c r="H42" s="17">
        <f t="shared" si="8"/>
        <v>50.547152249999996</v>
      </c>
      <c r="I42" s="17">
        <f t="shared" si="8"/>
        <v>55.159676814000001</v>
      </c>
      <c r="J42" s="17">
        <f t="shared" si="8"/>
        <v>59.298951500000001</v>
      </c>
      <c r="K42" s="17">
        <f t="shared" si="8"/>
        <v>61.487884639499995</v>
      </c>
      <c r="L42" s="17">
        <f t="shared" si="8"/>
        <v>61.3086804</v>
      </c>
    </row>
    <row r="43" spans="1:12" x14ac:dyDescent="0.3">
      <c r="A43" t="s">
        <v>81</v>
      </c>
      <c r="D43" t="s">
        <v>79</v>
      </c>
      <c r="E43">
        <v>180</v>
      </c>
      <c r="F43">
        <v>100</v>
      </c>
      <c r="G43">
        <v>60</v>
      </c>
      <c r="H43">
        <v>15</v>
      </c>
      <c r="I43">
        <v>14</v>
      </c>
      <c r="J43">
        <v>13</v>
      </c>
      <c r="K43">
        <v>12</v>
      </c>
      <c r="L43">
        <v>10</v>
      </c>
    </row>
    <row r="44" spans="1:12" x14ac:dyDescent="0.3">
      <c r="A44" t="s">
        <v>82</v>
      </c>
      <c r="D44" t="s">
        <v>79</v>
      </c>
      <c r="E44">
        <v>90</v>
      </c>
      <c r="F44">
        <v>60</v>
      </c>
      <c r="G44">
        <v>35</v>
      </c>
      <c r="H44">
        <v>15</v>
      </c>
      <c r="I44">
        <v>14</v>
      </c>
      <c r="J44">
        <v>13</v>
      </c>
      <c r="K44">
        <v>12</v>
      </c>
      <c r="L44">
        <v>10</v>
      </c>
    </row>
    <row r="45" spans="1:12" x14ac:dyDescent="0.3">
      <c r="A45" t="s">
        <v>89</v>
      </c>
      <c r="D45" t="s">
        <v>76</v>
      </c>
      <c r="E45">
        <f>E43*Q18+E44*Q19</f>
        <v>34.199999999999996</v>
      </c>
      <c r="F45">
        <f>F43*Q18+F44*Q19</f>
        <v>19.86</v>
      </c>
      <c r="G45">
        <f>G43*Q18+G44*Q19</f>
        <v>11.83</v>
      </c>
      <c r="H45" s="17">
        <f>H43*Q18+H44*Q19</f>
        <v>3.4950000000000001</v>
      </c>
      <c r="I45" s="17">
        <f>I43*Q18+I44*Q19</f>
        <v>3.2619999999999996</v>
      </c>
      <c r="J45" s="17">
        <f>J43*Q18+J44*Q19</f>
        <v>3.0289999999999999</v>
      </c>
      <c r="K45" s="17">
        <f>K43*Q18+K44*Q19</f>
        <v>2.7959999999999998</v>
      </c>
      <c r="L45">
        <f>L43*Q18+L44*Q19</f>
        <v>2.33</v>
      </c>
    </row>
    <row r="46" spans="1:12" x14ac:dyDescent="0.3">
      <c r="A46" t="s">
        <v>92</v>
      </c>
      <c r="D46" t="s">
        <v>4</v>
      </c>
      <c r="H46" s="17">
        <f>E45-H45</f>
        <v>30.704999999999995</v>
      </c>
    </row>
    <row r="47" spans="1:12" x14ac:dyDescent="0.3">
      <c r="A47" t="s">
        <v>84</v>
      </c>
      <c r="D47" t="s">
        <v>32</v>
      </c>
      <c r="E47">
        <v>8.4700000000000006</v>
      </c>
      <c r="F47">
        <v>8.9600000000000009</v>
      </c>
      <c r="G47">
        <v>9.4700000000000006</v>
      </c>
      <c r="H47">
        <v>9.9700000000000006</v>
      </c>
      <c r="I47">
        <v>10.67</v>
      </c>
      <c r="J47">
        <v>11.36</v>
      </c>
      <c r="K47">
        <v>12.01</v>
      </c>
      <c r="L47">
        <v>12.65</v>
      </c>
    </row>
    <row r="48" spans="1:12" x14ac:dyDescent="0.3">
      <c r="A48" t="s">
        <v>85</v>
      </c>
      <c r="D48" t="s">
        <v>32</v>
      </c>
      <c r="E48" s="17">
        <f>E47-(E47*B36)</f>
        <v>8.2370750000000008</v>
      </c>
      <c r="F48" s="17">
        <f>F47-(F47*B36)</f>
        <v>8.7136000000000013</v>
      </c>
      <c r="G48" s="17">
        <f>G47-(G47*B36)</f>
        <v>9.209575000000001</v>
      </c>
      <c r="H48" s="17">
        <f>H47-(H47*B36)</f>
        <v>9.695825000000001</v>
      </c>
      <c r="I48" s="17">
        <f>I47-(I47*B36)</f>
        <v>10.376575000000001</v>
      </c>
      <c r="J48" s="17">
        <f>J47-(J47*B36)</f>
        <v>11.047599999999999</v>
      </c>
      <c r="K48" s="17">
        <f>K47-(K47*B36)</f>
        <v>11.679724999999999</v>
      </c>
      <c r="L48" s="17">
        <f>L47-(L47*B36)</f>
        <v>12.302125</v>
      </c>
    </row>
    <row r="49" spans="1:12" x14ac:dyDescent="0.3">
      <c r="A49" t="s">
        <v>86</v>
      </c>
      <c r="D49" t="s">
        <v>87</v>
      </c>
      <c r="E49">
        <v>75.28</v>
      </c>
      <c r="F49">
        <v>64.430000000000007</v>
      </c>
      <c r="G49">
        <v>67.86</v>
      </c>
      <c r="H49">
        <v>66.599999999999994</v>
      </c>
      <c r="I49">
        <v>69.69</v>
      </c>
      <c r="J49">
        <v>73.25</v>
      </c>
      <c r="K49">
        <v>74.91</v>
      </c>
      <c r="L49">
        <v>72.989999999999995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Investeeringud 2030</vt:lpstr>
      <vt:lpstr>Investeering 2050</vt:lpstr>
      <vt:lpstr>Välismõjud</vt:lpstr>
      <vt:lpstr>Elektrivõrgu kadu ja katkestusk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Lembit Vali</dc:creator>
  <cp:lastModifiedBy>Jaanus Uiga</cp:lastModifiedBy>
  <dcterms:created xsi:type="dcterms:W3CDTF">2013-12-02T09:42:47Z</dcterms:created>
  <dcterms:modified xsi:type="dcterms:W3CDTF">2014-07-30T11:19:29Z</dcterms:modified>
</cp:coreProperties>
</file>