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anus\Dropbox\Töö Arengufond\AF tellitud uuringud\Kaugküte\"/>
    </mc:Choice>
  </mc:AlternateContent>
  <bookViews>
    <workbookView xWindow="1128" yWindow="132" windowWidth="14880" windowHeight="7056"/>
  </bookViews>
  <sheets>
    <sheet name="Eeldused" sheetId="13" r:id="rId1"/>
    <sheet name="Kokkuvõte" sheetId="9" r:id="rId2"/>
    <sheet name="Võrgud maakonniti" sheetId="1" r:id="rId3"/>
    <sheet name="Lokaalkütte omahinnad, 137" sheetId="2" r:id="rId4"/>
    <sheet name="Lokaalküte, tänane" sheetId="8" r:id="rId5"/>
    <sheet name="Trass+katel, reg" sheetId="4" r:id="rId6"/>
    <sheet name="Katel reg" sheetId="5" r:id="rId7"/>
    <sheet name="trass+katel, market" sheetId="6" r:id="rId8"/>
    <sheet name="Katel, market" sheetId="7" r:id="rId9"/>
    <sheet name="Gaasikatel+trass reg." sheetId="10" r:id="rId10"/>
    <sheet name="Gaasikatel+trass market" sheetId="11" r:id="rId11"/>
    <sheet name="CHP-ORC reg." sheetId="12" r:id="rId12"/>
    <sheet name="Modelleeritud tarbimisgraafik" sheetId="14" r:id="rId13"/>
    <sheet name="Katel+trass+soe vesi market" sheetId="15" r:id="rId14"/>
    <sheet name="Gaas+soe vesi market" sheetId="16" r:id="rId15"/>
    <sheet name="Turvas reg." sheetId="17" r:id="rId16"/>
    <sheet name="Katel+trass+soe vesi reg." sheetId="18" r:id="rId17"/>
    <sheet name="Turvas market" sheetId="19" r:id="rId18"/>
    <sheet name="ORC market" sheetId="20" r:id="rId19"/>
  </sheets>
  <externalReferences>
    <externalReference r:id="rId20"/>
  </externalReferences>
  <calcPr calcId="152511"/>
</workbook>
</file>

<file path=xl/calcChain.xml><?xml version="1.0" encoding="utf-8"?>
<calcChain xmlns="http://schemas.openxmlformats.org/spreadsheetml/2006/main">
  <c r="S351" i="1" l="1"/>
  <c r="F45" i="20"/>
  <c r="C11" i="9"/>
  <c r="C10" i="9"/>
  <c r="D16" i="8"/>
  <c r="D16" i="2"/>
  <c r="G43" i="20"/>
  <c r="H43" i="20" s="1"/>
  <c r="H45" i="20" s="1"/>
  <c r="F42" i="20"/>
  <c r="I27" i="20"/>
  <c r="F22" i="20"/>
  <c r="G22" i="20" s="1"/>
  <c r="H22" i="20" s="1"/>
  <c r="I22" i="20" s="1"/>
  <c r="J22" i="20" s="1"/>
  <c r="K22" i="20" s="1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V22" i="20" s="1"/>
  <c r="N10" i="20"/>
  <c r="V27" i="20" s="1"/>
  <c r="E10" i="20"/>
  <c r="F24" i="20" s="1"/>
  <c r="G24" i="20" s="1"/>
  <c r="H24" i="20" s="1"/>
  <c r="I24" i="20" s="1"/>
  <c r="J24" i="20" s="1"/>
  <c r="K24" i="20" s="1"/>
  <c r="L24" i="20" s="1"/>
  <c r="M24" i="20" s="1"/>
  <c r="N24" i="20" s="1"/>
  <c r="O24" i="20" s="1"/>
  <c r="P24" i="20" s="1"/>
  <c r="Q24" i="20" s="1"/>
  <c r="R24" i="20" s="1"/>
  <c r="S24" i="20" s="1"/>
  <c r="T24" i="20" s="1"/>
  <c r="U24" i="20" s="1"/>
  <c r="V24" i="20" s="1"/>
  <c r="N8" i="20"/>
  <c r="F23" i="20" s="1"/>
  <c r="G23" i="20" s="1"/>
  <c r="H23" i="20" s="1"/>
  <c r="I23" i="20" s="1"/>
  <c r="J23" i="20" s="1"/>
  <c r="K23" i="20" s="1"/>
  <c r="L23" i="20" s="1"/>
  <c r="M23" i="20" s="1"/>
  <c r="N23" i="20" s="1"/>
  <c r="O23" i="20" s="1"/>
  <c r="P23" i="20" s="1"/>
  <c r="Q23" i="20" s="1"/>
  <c r="R23" i="20" s="1"/>
  <c r="S23" i="20" s="1"/>
  <c r="T23" i="20" s="1"/>
  <c r="U23" i="20" s="1"/>
  <c r="V23" i="20" s="1"/>
  <c r="J14" i="19"/>
  <c r="J12" i="18"/>
  <c r="E9" i="18" s="1"/>
  <c r="E25" i="18" s="1"/>
  <c r="J14" i="17"/>
  <c r="E9" i="17" s="1"/>
  <c r="W23" i="17" s="1"/>
  <c r="G57" i="16"/>
  <c r="U51" i="16" s="1"/>
  <c r="F68" i="16"/>
  <c r="J12" i="15"/>
  <c r="E9" i="15" s="1"/>
  <c r="E10" i="12"/>
  <c r="F68" i="11"/>
  <c r="F69" i="11" s="1"/>
  <c r="F71" i="10"/>
  <c r="F72" i="10" s="1"/>
  <c r="J12" i="7"/>
  <c r="J13" i="7" s="1"/>
  <c r="J12" i="6"/>
  <c r="J13" i="6" s="1"/>
  <c r="E25" i="6" s="1"/>
  <c r="J12" i="5"/>
  <c r="J13" i="5" s="1"/>
  <c r="E26" i="5" s="1"/>
  <c r="J12" i="4"/>
  <c r="J5" i="4" s="1"/>
  <c r="E24" i="19"/>
  <c r="E9" i="19"/>
  <c r="E54" i="19" s="1"/>
  <c r="U54" i="19" s="1"/>
  <c r="E24" i="18"/>
  <c r="F24" i="18" s="1"/>
  <c r="G24" i="18" s="1"/>
  <c r="H24" i="18" s="1"/>
  <c r="I24" i="18" s="1"/>
  <c r="J24" i="18" s="1"/>
  <c r="K24" i="18" s="1"/>
  <c r="L24" i="18" s="1"/>
  <c r="M24" i="18" s="1"/>
  <c r="N24" i="18" s="1"/>
  <c r="O24" i="18" s="1"/>
  <c r="P24" i="18" s="1"/>
  <c r="Q24" i="18" s="1"/>
  <c r="R24" i="18" s="1"/>
  <c r="S24" i="18" s="1"/>
  <c r="T24" i="18" s="1"/>
  <c r="U24" i="18" s="1"/>
  <c r="E24" i="17"/>
  <c r="F24" i="17" s="1"/>
  <c r="G24" i="17" s="1"/>
  <c r="H24" i="17" s="1"/>
  <c r="I24" i="17" s="1"/>
  <c r="J24" i="17" s="1"/>
  <c r="K24" i="17" s="1"/>
  <c r="L24" i="17" s="1"/>
  <c r="M24" i="17" s="1"/>
  <c r="N24" i="17" s="1"/>
  <c r="O24" i="17" s="1"/>
  <c r="P24" i="17" s="1"/>
  <c r="Q24" i="17" s="1"/>
  <c r="R24" i="17" s="1"/>
  <c r="S24" i="17" s="1"/>
  <c r="T24" i="17" s="1"/>
  <c r="U24" i="17" s="1"/>
  <c r="D4" i="16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T4" i="16" s="1"/>
  <c r="E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T24" i="15" s="1"/>
  <c r="U24" i="15" s="1"/>
  <c r="D4" i="11"/>
  <c r="D4" i="10"/>
  <c r="E25" i="7"/>
  <c r="E24" i="7"/>
  <c r="E24" i="6"/>
  <c r="E24" i="4"/>
  <c r="E24" i="5"/>
  <c r="E25" i="5"/>
  <c r="E25" i="4"/>
  <c r="E48" i="19"/>
  <c r="F46" i="19"/>
  <c r="G46" i="19" s="1"/>
  <c r="E45" i="19"/>
  <c r="E42" i="19" s="1"/>
  <c r="D44" i="19"/>
  <c r="E41" i="19"/>
  <c r="F24" i="19"/>
  <c r="G24" i="19" s="1"/>
  <c r="H24" i="19" s="1"/>
  <c r="I24" i="19" s="1"/>
  <c r="J24" i="19" s="1"/>
  <c r="K24" i="19" s="1"/>
  <c r="L24" i="19" s="1"/>
  <c r="M24" i="19" s="1"/>
  <c r="N24" i="19" s="1"/>
  <c r="O24" i="19" s="1"/>
  <c r="P24" i="19" s="1"/>
  <c r="Q24" i="19" s="1"/>
  <c r="R24" i="19" s="1"/>
  <c r="S24" i="19" s="1"/>
  <c r="T24" i="19" s="1"/>
  <c r="U24" i="19" s="1"/>
  <c r="J17" i="19"/>
  <c r="U29" i="19" s="1"/>
  <c r="D14" i="19"/>
  <c r="D11" i="19"/>
  <c r="F14" i="19" s="1"/>
  <c r="E40" i="18"/>
  <c r="J29" i="18"/>
  <c r="F29" i="18"/>
  <c r="J17" i="18"/>
  <c r="N29" i="18" s="1"/>
  <c r="D14" i="18"/>
  <c r="D11" i="18"/>
  <c r="F14" i="18" s="1"/>
  <c r="L230" i="1"/>
  <c r="K230" i="1"/>
  <c r="E40" i="17"/>
  <c r="J17" i="17"/>
  <c r="D14" i="17"/>
  <c r="K30" i="17" s="1"/>
  <c r="D11" i="17"/>
  <c r="J5" i="17"/>
  <c r="F60" i="16"/>
  <c r="H60" i="16" s="1"/>
  <c r="U53" i="16"/>
  <c r="F51" i="16"/>
  <c r="F52" i="16" s="1"/>
  <c r="F53" i="16" s="1"/>
  <c r="F48" i="16"/>
  <c r="O46" i="16"/>
  <c r="D27" i="16"/>
  <c r="E22" i="16"/>
  <c r="F22" i="16" s="1"/>
  <c r="D21" i="16"/>
  <c r="D20" i="16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G9" i="16"/>
  <c r="D9" i="16"/>
  <c r="T9" i="16" s="1"/>
  <c r="D5" i="16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O5" i="16" s="1"/>
  <c r="P5" i="16" s="1"/>
  <c r="Q5" i="16" s="1"/>
  <c r="R5" i="16" s="1"/>
  <c r="S5" i="16" s="1"/>
  <c r="T5" i="16" s="1"/>
  <c r="E48" i="15"/>
  <c r="F46" i="15"/>
  <c r="G46" i="15" s="1"/>
  <c r="E45" i="15"/>
  <c r="D44" i="15"/>
  <c r="E42" i="15"/>
  <c r="E41" i="15"/>
  <c r="J17" i="15"/>
  <c r="U29" i="15" s="1"/>
  <c r="D14" i="15"/>
  <c r="D11" i="15"/>
  <c r="F14" i="15" s="1"/>
  <c r="F75" i="14"/>
  <c r="F74" i="14"/>
  <c r="E77" i="14"/>
  <c r="F77" i="14" s="1"/>
  <c r="E83" i="14"/>
  <c r="F83" i="14" s="1"/>
  <c r="E82" i="14"/>
  <c r="F82" i="14" s="1"/>
  <c r="E81" i="14"/>
  <c r="F81" i="14" s="1"/>
  <c r="E80" i="14"/>
  <c r="F80" i="14" s="1"/>
  <c r="E79" i="14"/>
  <c r="F79" i="14" s="1"/>
  <c r="E78" i="14"/>
  <c r="F78" i="14" s="1"/>
  <c r="E76" i="14"/>
  <c r="F76" i="14" s="1"/>
  <c r="E75" i="14"/>
  <c r="E74" i="14"/>
  <c r="E73" i="14"/>
  <c r="F73" i="14" s="1"/>
  <c r="E72" i="14"/>
  <c r="E85" i="14" s="1"/>
  <c r="K287" i="1"/>
  <c r="L287" i="1"/>
  <c r="J351" i="1"/>
  <c r="K186" i="1"/>
  <c r="L186" i="1" s="1"/>
  <c r="J18" i="15" l="1"/>
  <c r="E9" i="16"/>
  <c r="F14" i="17"/>
  <c r="M9" i="16"/>
  <c r="O9" i="16"/>
  <c r="Q27" i="20"/>
  <c r="K27" i="20"/>
  <c r="U50" i="16"/>
  <c r="U56" i="16" s="1"/>
  <c r="D10" i="16"/>
  <c r="R29" i="18"/>
  <c r="S27" i="20"/>
  <c r="E25" i="15"/>
  <c r="E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F45" i="15"/>
  <c r="K9" i="16"/>
  <c r="S9" i="16"/>
  <c r="E21" i="16"/>
  <c r="D3" i="16"/>
  <c r="U52" i="16"/>
  <c r="U54" i="16"/>
  <c r="E26" i="19"/>
  <c r="F26" i="19" s="1"/>
  <c r="G26" i="19" s="1"/>
  <c r="H26" i="19" s="1"/>
  <c r="I26" i="19" s="1"/>
  <c r="J26" i="19" s="1"/>
  <c r="K26" i="19" s="1"/>
  <c r="L26" i="19" s="1"/>
  <c r="M26" i="19" s="1"/>
  <c r="N26" i="19" s="1"/>
  <c r="O26" i="19" s="1"/>
  <c r="P26" i="19" s="1"/>
  <c r="Q26" i="19" s="1"/>
  <c r="R26" i="19" s="1"/>
  <c r="S26" i="19" s="1"/>
  <c r="T26" i="19" s="1"/>
  <c r="U26" i="19" s="1"/>
  <c r="J18" i="19"/>
  <c r="I12" i="20"/>
  <c r="K28" i="20" s="1"/>
  <c r="G27" i="20"/>
  <c r="O27" i="20"/>
  <c r="F18" i="20"/>
  <c r="G18" i="20" s="1"/>
  <c r="H18" i="20" s="1"/>
  <c r="I18" i="20" s="1"/>
  <c r="J18" i="20" s="1"/>
  <c r="K18" i="20" s="1"/>
  <c r="L18" i="20" s="1"/>
  <c r="M18" i="20" s="1"/>
  <c r="N18" i="20" s="1"/>
  <c r="O18" i="20" s="1"/>
  <c r="P18" i="20" s="1"/>
  <c r="Q18" i="20" s="1"/>
  <c r="R18" i="20" s="1"/>
  <c r="S18" i="20" s="1"/>
  <c r="T18" i="20" s="1"/>
  <c r="U18" i="20" s="1"/>
  <c r="V18" i="20" s="1"/>
  <c r="F42" i="15"/>
  <c r="F72" i="14"/>
  <c r="F85" i="14" s="1"/>
  <c r="D86" i="14" s="1"/>
  <c r="I9" i="16"/>
  <c r="Q9" i="16"/>
  <c r="F42" i="19"/>
  <c r="M27" i="20"/>
  <c r="U27" i="20"/>
  <c r="G45" i="20"/>
  <c r="H42" i="20"/>
  <c r="I43" i="20"/>
  <c r="I45" i="20" s="1"/>
  <c r="G42" i="20"/>
  <c r="H28" i="20"/>
  <c r="F21" i="20"/>
  <c r="F27" i="20"/>
  <c r="H27" i="20"/>
  <c r="J27" i="20"/>
  <c r="L27" i="20"/>
  <c r="N27" i="20"/>
  <c r="P27" i="20"/>
  <c r="R27" i="20"/>
  <c r="T27" i="20"/>
  <c r="U54" i="11"/>
  <c r="U52" i="11"/>
  <c r="U50" i="11"/>
  <c r="D3" i="11"/>
  <c r="U53" i="11"/>
  <c r="U51" i="11"/>
  <c r="U56" i="10"/>
  <c r="U54" i="10"/>
  <c r="U57" i="10"/>
  <c r="U55" i="10"/>
  <c r="U53" i="10"/>
  <c r="D3" i="10"/>
  <c r="E26" i="7"/>
  <c r="E23" i="7"/>
  <c r="E26" i="6"/>
  <c r="E23" i="6"/>
  <c r="E23" i="5"/>
  <c r="J13" i="4"/>
  <c r="F54" i="19"/>
  <c r="H54" i="19"/>
  <c r="J54" i="19"/>
  <c r="L54" i="19"/>
  <c r="N54" i="19"/>
  <c r="P54" i="19"/>
  <c r="R54" i="19"/>
  <c r="T54" i="19"/>
  <c r="G54" i="19"/>
  <c r="I54" i="19"/>
  <c r="K54" i="19"/>
  <c r="M54" i="19"/>
  <c r="O54" i="19"/>
  <c r="Q54" i="19"/>
  <c r="S54" i="19"/>
  <c r="G48" i="19"/>
  <c r="G42" i="19"/>
  <c r="H46" i="19"/>
  <c r="G45" i="19"/>
  <c r="E23" i="19"/>
  <c r="W23" i="19"/>
  <c r="F29" i="19"/>
  <c r="H29" i="19"/>
  <c r="J29" i="19"/>
  <c r="L29" i="19"/>
  <c r="N29" i="19"/>
  <c r="P29" i="19"/>
  <c r="R29" i="19"/>
  <c r="T29" i="19"/>
  <c r="F30" i="19"/>
  <c r="H30" i="19"/>
  <c r="J30" i="19"/>
  <c r="L30" i="19"/>
  <c r="N30" i="19"/>
  <c r="F41" i="19"/>
  <c r="F48" i="19"/>
  <c r="E25" i="19"/>
  <c r="F25" i="19" s="1"/>
  <c r="G25" i="19" s="1"/>
  <c r="H25" i="19" s="1"/>
  <c r="I25" i="19" s="1"/>
  <c r="J25" i="19" s="1"/>
  <c r="K25" i="19" s="1"/>
  <c r="L25" i="19" s="1"/>
  <c r="M25" i="19" s="1"/>
  <c r="N25" i="19" s="1"/>
  <c r="O25" i="19" s="1"/>
  <c r="P25" i="19" s="1"/>
  <c r="Q25" i="19" s="1"/>
  <c r="R25" i="19" s="1"/>
  <c r="S25" i="19" s="1"/>
  <c r="T25" i="19" s="1"/>
  <c r="U25" i="19" s="1"/>
  <c r="E29" i="19"/>
  <c r="G29" i="19"/>
  <c r="I29" i="19"/>
  <c r="K29" i="19"/>
  <c r="M29" i="19"/>
  <c r="O29" i="19"/>
  <c r="Q29" i="19"/>
  <c r="S29" i="19"/>
  <c r="E30" i="19"/>
  <c r="E31" i="19" s="1"/>
  <c r="G30" i="19"/>
  <c r="I30" i="19"/>
  <c r="K30" i="19"/>
  <c r="M30" i="19"/>
  <c r="F45" i="19"/>
  <c r="E26" i="18"/>
  <c r="F26" i="18" s="1"/>
  <c r="G26" i="18" s="1"/>
  <c r="H26" i="18" s="1"/>
  <c r="I26" i="18" s="1"/>
  <c r="J26" i="18" s="1"/>
  <c r="K26" i="18" s="1"/>
  <c r="L26" i="18" s="1"/>
  <c r="M26" i="18" s="1"/>
  <c r="N26" i="18" s="1"/>
  <c r="O26" i="18" s="1"/>
  <c r="P26" i="18" s="1"/>
  <c r="Q26" i="18" s="1"/>
  <c r="R26" i="18" s="1"/>
  <c r="S26" i="18" s="1"/>
  <c r="T26" i="18" s="1"/>
  <c r="U26" i="18" s="1"/>
  <c r="F25" i="18"/>
  <c r="G25" i="18" s="1"/>
  <c r="H25" i="18" s="1"/>
  <c r="I25" i="18" s="1"/>
  <c r="J25" i="18" s="1"/>
  <c r="K25" i="18" s="1"/>
  <c r="L25" i="18" s="1"/>
  <c r="M25" i="18" s="1"/>
  <c r="N25" i="18" s="1"/>
  <c r="O25" i="18" s="1"/>
  <c r="P25" i="18" s="1"/>
  <c r="Q25" i="18" s="1"/>
  <c r="R25" i="18" s="1"/>
  <c r="S25" i="18" s="1"/>
  <c r="T25" i="18" s="1"/>
  <c r="U25" i="18" s="1"/>
  <c r="M30" i="18"/>
  <c r="K30" i="18"/>
  <c r="I30" i="18"/>
  <c r="G30" i="18"/>
  <c r="E30" i="18"/>
  <c r="E31" i="18" s="1"/>
  <c r="U29" i="18"/>
  <c r="S29" i="18"/>
  <c r="Q29" i="18"/>
  <c r="O29" i="18"/>
  <c r="M29" i="18"/>
  <c r="K29" i="18"/>
  <c r="I29" i="18"/>
  <c r="G29" i="18"/>
  <c r="E29" i="18"/>
  <c r="J18" i="18"/>
  <c r="E23" i="18"/>
  <c r="H30" i="18"/>
  <c r="L30" i="18"/>
  <c r="W23" i="18"/>
  <c r="H29" i="18"/>
  <c r="L29" i="18"/>
  <c r="P29" i="18"/>
  <c r="T29" i="18"/>
  <c r="F30" i="18"/>
  <c r="J30" i="18"/>
  <c r="N30" i="18"/>
  <c r="F40" i="18"/>
  <c r="E25" i="17"/>
  <c r="F25" i="17" s="1"/>
  <c r="G25" i="17" s="1"/>
  <c r="H25" i="17" s="1"/>
  <c r="I25" i="17" s="1"/>
  <c r="J25" i="17" s="1"/>
  <c r="K25" i="17" s="1"/>
  <c r="L25" i="17" s="1"/>
  <c r="M25" i="17" s="1"/>
  <c r="N25" i="17" s="1"/>
  <c r="O25" i="17" s="1"/>
  <c r="P25" i="17" s="1"/>
  <c r="Q25" i="17" s="1"/>
  <c r="R25" i="17" s="1"/>
  <c r="S25" i="17" s="1"/>
  <c r="T25" i="17" s="1"/>
  <c r="U25" i="17" s="1"/>
  <c r="G29" i="17"/>
  <c r="K29" i="17"/>
  <c r="O29" i="17"/>
  <c r="S29" i="17"/>
  <c r="E30" i="17"/>
  <c r="I30" i="17"/>
  <c r="M30" i="17"/>
  <c r="E53" i="17"/>
  <c r="J18" i="17"/>
  <c r="E26" i="17"/>
  <c r="F26" i="17" s="1"/>
  <c r="G26" i="17" s="1"/>
  <c r="H26" i="17" s="1"/>
  <c r="I26" i="17" s="1"/>
  <c r="J26" i="17" s="1"/>
  <c r="K26" i="17" s="1"/>
  <c r="L26" i="17" s="1"/>
  <c r="M26" i="17" s="1"/>
  <c r="N26" i="17" s="1"/>
  <c r="O26" i="17" s="1"/>
  <c r="P26" i="17" s="1"/>
  <c r="Q26" i="17" s="1"/>
  <c r="R26" i="17" s="1"/>
  <c r="S26" i="17" s="1"/>
  <c r="T26" i="17" s="1"/>
  <c r="U26" i="17" s="1"/>
  <c r="E29" i="17"/>
  <c r="I29" i="17"/>
  <c r="M29" i="17"/>
  <c r="Q29" i="17"/>
  <c r="U29" i="17"/>
  <c r="G30" i="17"/>
  <c r="F40" i="17"/>
  <c r="G40" i="17" s="1"/>
  <c r="E23" i="17"/>
  <c r="F29" i="17"/>
  <c r="H29" i="17"/>
  <c r="J29" i="17"/>
  <c r="L29" i="17"/>
  <c r="N29" i="17"/>
  <c r="P29" i="17"/>
  <c r="R29" i="17"/>
  <c r="T29" i="17"/>
  <c r="F30" i="17"/>
  <c r="H30" i="17"/>
  <c r="J30" i="17"/>
  <c r="L30" i="17"/>
  <c r="N30" i="17"/>
  <c r="E31" i="17"/>
  <c r="M10" i="16"/>
  <c r="K10" i="16"/>
  <c r="I10" i="16"/>
  <c r="G10" i="16"/>
  <c r="E10" i="16"/>
  <c r="F27" i="16"/>
  <c r="F21" i="16"/>
  <c r="G22" i="16"/>
  <c r="H10" i="16"/>
  <c r="L10" i="16"/>
  <c r="E3" i="16"/>
  <c r="F10" i="16"/>
  <c r="J10" i="16"/>
  <c r="D11" i="16"/>
  <c r="E27" i="16"/>
  <c r="F9" i="16"/>
  <c r="H9" i="16"/>
  <c r="J9" i="16"/>
  <c r="L9" i="16"/>
  <c r="N9" i="16"/>
  <c r="P9" i="16"/>
  <c r="R9" i="16"/>
  <c r="G48" i="15"/>
  <c r="G42" i="15"/>
  <c r="H46" i="15"/>
  <c r="G45" i="15"/>
  <c r="E23" i="15"/>
  <c r="W23" i="15"/>
  <c r="F29" i="15"/>
  <c r="H29" i="15"/>
  <c r="J29" i="15"/>
  <c r="L29" i="15"/>
  <c r="N29" i="15"/>
  <c r="P29" i="15"/>
  <c r="R29" i="15"/>
  <c r="T29" i="15"/>
  <c r="F30" i="15"/>
  <c r="H30" i="15"/>
  <c r="J30" i="15"/>
  <c r="L30" i="15"/>
  <c r="N30" i="15"/>
  <c r="F41" i="15"/>
  <c r="F48" i="15"/>
  <c r="F25" i="15"/>
  <c r="G25" i="15" s="1"/>
  <c r="H25" i="15" s="1"/>
  <c r="I25" i="15" s="1"/>
  <c r="J25" i="15" s="1"/>
  <c r="K25" i="15" s="1"/>
  <c r="L25" i="15" s="1"/>
  <c r="M25" i="15" s="1"/>
  <c r="N25" i="15" s="1"/>
  <c r="O25" i="15" s="1"/>
  <c r="P25" i="15" s="1"/>
  <c r="Q25" i="15" s="1"/>
  <c r="R25" i="15" s="1"/>
  <c r="S25" i="15" s="1"/>
  <c r="T25" i="15" s="1"/>
  <c r="U25" i="15" s="1"/>
  <c r="E29" i="15"/>
  <c r="G29" i="15"/>
  <c r="I29" i="15"/>
  <c r="K29" i="15"/>
  <c r="M29" i="15"/>
  <c r="O29" i="15"/>
  <c r="Q29" i="15"/>
  <c r="S29" i="15"/>
  <c r="E30" i="15"/>
  <c r="G30" i="15"/>
  <c r="I30" i="15"/>
  <c r="K30" i="15"/>
  <c r="M30" i="15"/>
  <c r="K187" i="1"/>
  <c r="L187" i="1" s="1"/>
  <c r="M28" i="20" l="1"/>
  <c r="I28" i="20"/>
  <c r="N28" i="20"/>
  <c r="F28" i="20"/>
  <c r="F29" i="20" s="1"/>
  <c r="O30" i="15"/>
  <c r="O30" i="18"/>
  <c r="J28" i="20"/>
  <c r="G28" i="20"/>
  <c r="G29" i="20" s="1"/>
  <c r="O28" i="20"/>
  <c r="L28" i="20"/>
  <c r="J43" i="20"/>
  <c r="J45" i="20" s="1"/>
  <c r="I42" i="20"/>
  <c r="F30" i="20"/>
  <c r="F25" i="20"/>
  <c r="F26" i="20" s="1"/>
  <c r="F31" i="20" s="1"/>
  <c r="F32" i="20" s="1"/>
  <c r="G21" i="20"/>
  <c r="F38" i="20"/>
  <c r="E26" i="4"/>
  <c r="E23" i="4"/>
  <c r="E32" i="19"/>
  <c r="F31" i="19"/>
  <c r="I46" i="19"/>
  <c r="H45" i="19"/>
  <c r="H48" i="19"/>
  <c r="H42" i="19"/>
  <c r="G41" i="19"/>
  <c r="E27" i="19"/>
  <c r="E28" i="19" s="1"/>
  <c r="F23" i="19"/>
  <c r="O30" i="19"/>
  <c r="G40" i="18"/>
  <c r="E27" i="18"/>
  <c r="E28" i="18" s="1"/>
  <c r="E33" i="18" s="1"/>
  <c r="F23" i="18"/>
  <c r="E32" i="18"/>
  <c r="F31" i="18"/>
  <c r="F53" i="17"/>
  <c r="T53" i="17"/>
  <c r="R53" i="17"/>
  <c r="P53" i="17"/>
  <c r="N53" i="17"/>
  <c r="L53" i="17"/>
  <c r="J53" i="17"/>
  <c r="H53" i="17"/>
  <c r="U53" i="17"/>
  <c r="S53" i="17"/>
  <c r="Q53" i="17"/>
  <c r="O53" i="17"/>
  <c r="M53" i="17"/>
  <c r="K53" i="17"/>
  <c r="I53" i="17"/>
  <c r="G53" i="17"/>
  <c r="H40" i="17"/>
  <c r="F31" i="17"/>
  <c r="E32" i="17"/>
  <c r="E27" i="17"/>
  <c r="E28" i="17" s="1"/>
  <c r="F23" i="17"/>
  <c r="O30" i="17"/>
  <c r="R57" i="16"/>
  <c r="D6" i="16"/>
  <c r="F3" i="16"/>
  <c r="E11" i="16"/>
  <c r="D12" i="16"/>
  <c r="H22" i="16"/>
  <c r="G27" i="16"/>
  <c r="G21" i="16"/>
  <c r="G41" i="15"/>
  <c r="E27" i="15"/>
  <c r="E28" i="15" s="1"/>
  <c r="F23" i="15"/>
  <c r="E31" i="15"/>
  <c r="I46" i="15"/>
  <c r="H45" i="15"/>
  <c r="H48" i="15"/>
  <c r="H42" i="15"/>
  <c r="E14" i="14"/>
  <c r="E13" i="14"/>
  <c r="E12" i="14"/>
  <c r="E5" i="14"/>
  <c r="E4" i="14"/>
  <c r="E3" i="14"/>
  <c r="E16" i="14" l="1"/>
  <c r="E88" i="14" s="1"/>
  <c r="E89" i="14" s="1"/>
  <c r="E90" i="14" s="1"/>
  <c r="E33" i="17"/>
  <c r="J42" i="20"/>
  <c r="K43" i="20"/>
  <c r="K45" i="20" s="1"/>
  <c r="G38" i="20"/>
  <c r="F40" i="20"/>
  <c r="H21" i="20"/>
  <c r="G25" i="20"/>
  <c r="G26" i="20" s="1"/>
  <c r="G30" i="20"/>
  <c r="H29" i="20"/>
  <c r="F27" i="19"/>
  <c r="F28" i="19" s="1"/>
  <c r="G23" i="19"/>
  <c r="E35" i="19"/>
  <c r="E37" i="19" s="1"/>
  <c r="E33" i="19"/>
  <c r="H41" i="19"/>
  <c r="I48" i="19"/>
  <c r="I42" i="19"/>
  <c r="J46" i="19"/>
  <c r="I45" i="19"/>
  <c r="F32" i="19"/>
  <c r="G31" i="19"/>
  <c r="G31" i="18"/>
  <c r="F32" i="18"/>
  <c r="G23" i="18"/>
  <c r="F27" i="18"/>
  <c r="F28" i="18" s="1"/>
  <c r="E34" i="18"/>
  <c r="E42" i="18"/>
  <c r="E43" i="18" s="1"/>
  <c r="E44" i="18" s="1"/>
  <c r="H40" i="18"/>
  <c r="F27" i="17"/>
  <c r="F28" i="17" s="1"/>
  <c r="G23" i="17"/>
  <c r="E34" i="17"/>
  <c r="E42" i="17"/>
  <c r="E43" i="17" s="1"/>
  <c r="E44" i="17" s="1"/>
  <c r="F32" i="17"/>
  <c r="G31" i="17"/>
  <c r="I40" i="17"/>
  <c r="E6" i="16"/>
  <c r="D7" i="16"/>
  <c r="D8" i="16" s="1"/>
  <c r="H27" i="16"/>
  <c r="H21" i="16"/>
  <c r="I22" i="16"/>
  <c r="E12" i="16"/>
  <c r="F11" i="16"/>
  <c r="G3" i="16"/>
  <c r="E32" i="15"/>
  <c r="E33" i="15" s="1"/>
  <c r="F31" i="15"/>
  <c r="I48" i="15"/>
  <c r="I42" i="15"/>
  <c r="J46" i="15"/>
  <c r="I45" i="15"/>
  <c r="F27" i="15"/>
  <c r="F28" i="15" s="1"/>
  <c r="G23" i="15"/>
  <c r="H41" i="15"/>
  <c r="K340" i="1"/>
  <c r="L340" i="1" s="1"/>
  <c r="K339" i="1"/>
  <c r="L339" i="1" s="1"/>
  <c r="F33" i="18" l="1"/>
  <c r="E35" i="15"/>
  <c r="E37" i="15" s="1"/>
  <c r="E38" i="15" s="1"/>
  <c r="G31" i="20"/>
  <c r="G32" i="20" s="1"/>
  <c r="E45" i="17"/>
  <c r="C9" i="9" s="1"/>
  <c r="L43" i="20"/>
  <c r="L45" i="20" s="1"/>
  <c r="K42" i="20"/>
  <c r="G40" i="20"/>
  <c r="H25" i="20"/>
  <c r="H26" i="20" s="1"/>
  <c r="I21" i="20"/>
  <c r="I29" i="20"/>
  <c r="H30" i="20"/>
  <c r="H38" i="20"/>
  <c r="H40" i="20" s="1"/>
  <c r="F35" i="19"/>
  <c r="F37" i="19" s="1"/>
  <c r="F33" i="19"/>
  <c r="K46" i="19"/>
  <c r="J45" i="19"/>
  <c r="J48" i="19"/>
  <c r="J42" i="19"/>
  <c r="E38" i="19"/>
  <c r="G32" i="19"/>
  <c r="H31" i="19"/>
  <c r="I41" i="19"/>
  <c r="E36" i="19"/>
  <c r="E34" i="19"/>
  <c r="E43" i="19"/>
  <c r="E44" i="19" s="1"/>
  <c r="G27" i="19"/>
  <c r="G28" i="19" s="1"/>
  <c r="H23" i="19"/>
  <c r="F34" i="18"/>
  <c r="F42" i="18"/>
  <c r="F43" i="18" s="1"/>
  <c r="I40" i="18"/>
  <c r="E45" i="18"/>
  <c r="E47" i="18" s="1"/>
  <c r="E41" i="18"/>
  <c r="G32" i="18"/>
  <c r="H31" i="18"/>
  <c r="G27" i="18"/>
  <c r="G28" i="18" s="1"/>
  <c r="G33" i="18" s="1"/>
  <c r="H23" i="18"/>
  <c r="F33" i="17"/>
  <c r="F34" i="17" s="1"/>
  <c r="J40" i="17"/>
  <c r="G32" i="17"/>
  <c r="H31" i="17"/>
  <c r="E41" i="17"/>
  <c r="G27" i="17"/>
  <c r="G28" i="17" s="1"/>
  <c r="G33" i="17" s="1"/>
  <c r="H23" i="17"/>
  <c r="F42" i="17"/>
  <c r="F43" i="17" s="1"/>
  <c r="D13" i="16"/>
  <c r="D16" i="16" s="1"/>
  <c r="D15" i="16"/>
  <c r="D17" i="16" s="1"/>
  <c r="F6" i="16"/>
  <c r="E7" i="16"/>
  <c r="E8" i="16" s="1"/>
  <c r="E13" i="16" s="1"/>
  <c r="E16" i="16" s="1"/>
  <c r="J22" i="16"/>
  <c r="I27" i="16"/>
  <c r="I21" i="16"/>
  <c r="H3" i="16"/>
  <c r="G11" i="16"/>
  <c r="F12" i="16"/>
  <c r="E36" i="15"/>
  <c r="E34" i="15"/>
  <c r="E43" i="15"/>
  <c r="E44" i="15" s="1"/>
  <c r="F32" i="15"/>
  <c r="F33" i="15" s="1"/>
  <c r="G31" i="15"/>
  <c r="I41" i="15"/>
  <c r="G27" i="15"/>
  <c r="G28" i="15" s="1"/>
  <c r="H23" i="15"/>
  <c r="K46" i="15"/>
  <c r="J45" i="15"/>
  <c r="J48" i="15"/>
  <c r="J42" i="15"/>
  <c r="K250" i="1"/>
  <c r="L250" i="1" s="1"/>
  <c r="K222" i="1"/>
  <c r="L222" i="1" s="1"/>
  <c r="K221" i="1"/>
  <c r="L221" i="1" s="1"/>
  <c r="K220" i="1"/>
  <c r="L220" i="1" s="1"/>
  <c r="K219" i="1"/>
  <c r="L219" i="1" s="1"/>
  <c r="K200" i="1"/>
  <c r="L200" i="1" s="1"/>
  <c r="F44" i="17" l="1"/>
  <c r="F45" i="17" s="1"/>
  <c r="F44" i="18"/>
  <c r="F45" i="18" s="1"/>
  <c r="E47" i="17"/>
  <c r="F35" i="15"/>
  <c r="F37" i="15" s="1"/>
  <c r="H31" i="20"/>
  <c r="H32" i="20" s="1"/>
  <c r="L42" i="20"/>
  <c r="M43" i="20"/>
  <c r="M45" i="20" s="1"/>
  <c r="G39" i="20"/>
  <c r="I30" i="20"/>
  <c r="J29" i="20"/>
  <c r="I38" i="20"/>
  <c r="J21" i="20"/>
  <c r="I25" i="20"/>
  <c r="I26" i="20" s="1"/>
  <c r="I31" i="20" s="1"/>
  <c r="D14" i="16"/>
  <c r="D18" i="16"/>
  <c r="H27" i="19"/>
  <c r="H28" i="19" s="1"/>
  <c r="I23" i="19"/>
  <c r="G33" i="19"/>
  <c r="G35" i="19"/>
  <c r="G37" i="19" s="1"/>
  <c r="H32" i="19"/>
  <c r="I31" i="19"/>
  <c r="J41" i="19"/>
  <c r="K48" i="19"/>
  <c r="K42" i="19"/>
  <c r="L46" i="19"/>
  <c r="K45" i="19"/>
  <c r="F36" i="19"/>
  <c r="F34" i="19"/>
  <c r="F43" i="19"/>
  <c r="F44" i="19" s="1"/>
  <c r="F38" i="19"/>
  <c r="H27" i="18"/>
  <c r="H28" i="18" s="1"/>
  <c r="I23" i="18"/>
  <c r="G34" i="18"/>
  <c r="G42" i="18"/>
  <c r="G43" i="18" s="1"/>
  <c r="J40" i="18"/>
  <c r="H32" i="18"/>
  <c r="I31" i="18"/>
  <c r="E35" i="18"/>
  <c r="E37" i="18" s="1"/>
  <c r="E36" i="18"/>
  <c r="G34" i="17"/>
  <c r="G42" i="17"/>
  <c r="G43" i="17" s="1"/>
  <c r="K40" i="17"/>
  <c r="H27" i="17"/>
  <c r="H28" i="17" s="1"/>
  <c r="I23" i="17"/>
  <c r="E36" i="17"/>
  <c r="E35" i="17"/>
  <c r="E37" i="17" s="1"/>
  <c r="H32" i="17"/>
  <c r="I31" i="17"/>
  <c r="E14" i="16"/>
  <c r="G6" i="16"/>
  <c r="F7" i="16"/>
  <c r="F8" i="16" s="1"/>
  <c r="E15" i="16"/>
  <c r="E17" i="16" s="1"/>
  <c r="G12" i="16"/>
  <c r="H11" i="16"/>
  <c r="I3" i="16"/>
  <c r="J27" i="16"/>
  <c r="J21" i="16"/>
  <c r="K22" i="16"/>
  <c r="F36" i="15"/>
  <c r="F34" i="15"/>
  <c r="F43" i="15"/>
  <c r="F44" i="15" s="1"/>
  <c r="K48" i="15"/>
  <c r="K42" i="15"/>
  <c r="L46" i="15"/>
  <c r="K45" i="15"/>
  <c r="G32" i="15"/>
  <c r="G33" i="15" s="1"/>
  <c r="H31" i="15"/>
  <c r="H27" i="15"/>
  <c r="H28" i="15" s="1"/>
  <c r="I23" i="15"/>
  <c r="J41" i="15"/>
  <c r="F38" i="15"/>
  <c r="E27" i="11"/>
  <c r="D27" i="11"/>
  <c r="E8" i="9"/>
  <c r="C8" i="9"/>
  <c r="D21" i="11"/>
  <c r="E5" i="1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E22" i="11"/>
  <c r="E21" i="11" s="1"/>
  <c r="F60" i="11"/>
  <c r="H60" i="11" s="1"/>
  <c r="F51" i="11"/>
  <c r="F52" i="11" s="1"/>
  <c r="F53" i="11" s="1"/>
  <c r="O46" i="11"/>
  <c r="D20" i="11"/>
  <c r="D9" i="11"/>
  <c r="T9" i="11" s="1"/>
  <c r="D5" i="11"/>
  <c r="E4" i="1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E3" i="1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Q3" i="11" s="1"/>
  <c r="R3" i="11" s="1"/>
  <c r="S3" i="11" s="1"/>
  <c r="T3" i="11" s="1"/>
  <c r="E45" i="6"/>
  <c r="E42" i="6" s="1"/>
  <c r="E41" i="7"/>
  <c r="F45" i="7"/>
  <c r="G45" i="7" s="1"/>
  <c r="H45" i="7" s="1"/>
  <c r="I45" i="7" s="1"/>
  <c r="J45" i="7" s="1"/>
  <c r="K45" i="7" s="1"/>
  <c r="L45" i="7" s="1"/>
  <c r="M45" i="7" s="1"/>
  <c r="N45" i="7" s="1"/>
  <c r="O45" i="7" s="1"/>
  <c r="P45" i="7" s="1"/>
  <c r="Q45" i="7" s="1"/>
  <c r="R45" i="7" s="1"/>
  <c r="S45" i="7" s="1"/>
  <c r="T45" i="7" s="1"/>
  <c r="U45" i="7" s="1"/>
  <c r="I46" i="7" s="1"/>
  <c r="F46" i="6"/>
  <c r="G46" i="6" s="1"/>
  <c r="H46" i="6" s="1"/>
  <c r="I46" i="6" s="1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I47" i="6" s="1"/>
  <c r="H45" i="2"/>
  <c r="E34" i="2"/>
  <c r="H111" i="8"/>
  <c r="K7" i="1"/>
  <c r="F41" i="18" l="1"/>
  <c r="F47" i="18"/>
  <c r="F47" i="17"/>
  <c r="F41" i="17"/>
  <c r="F36" i="17" s="1"/>
  <c r="G44" i="18"/>
  <c r="G45" i="18" s="1"/>
  <c r="G44" i="17"/>
  <c r="G45" i="17" s="1"/>
  <c r="H33" i="18"/>
  <c r="N9" i="11"/>
  <c r="Q9" i="11"/>
  <c r="F9" i="11"/>
  <c r="I9" i="11"/>
  <c r="H33" i="17"/>
  <c r="H42" i="17" s="1"/>
  <c r="H43" i="17" s="1"/>
  <c r="M42" i="20"/>
  <c r="N43" i="20"/>
  <c r="N45" i="20" s="1"/>
  <c r="I32" i="20"/>
  <c r="I40" i="20"/>
  <c r="H39" i="20"/>
  <c r="J25" i="20"/>
  <c r="J26" i="20" s="1"/>
  <c r="K21" i="20"/>
  <c r="J38" i="20"/>
  <c r="K29" i="20"/>
  <c r="J30" i="20"/>
  <c r="G34" i="20"/>
  <c r="G33" i="20"/>
  <c r="G35" i="20" s="1"/>
  <c r="E18" i="16"/>
  <c r="G38" i="19"/>
  <c r="K41" i="19"/>
  <c r="I32" i="19"/>
  <c r="J31" i="19"/>
  <c r="I27" i="19"/>
  <c r="I28" i="19" s="1"/>
  <c r="J23" i="19"/>
  <c r="H33" i="19"/>
  <c r="H35" i="19"/>
  <c r="H37" i="19" s="1"/>
  <c r="M46" i="19"/>
  <c r="L45" i="19"/>
  <c r="L48" i="19"/>
  <c r="L42" i="19"/>
  <c r="G34" i="19"/>
  <c r="G36" i="19"/>
  <c r="G43" i="19"/>
  <c r="G44" i="19" s="1"/>
  <c r="H34" i="18"/>
  <c r="H42" i="18"/>
  <c r="H43" i="18" s="1"/>
  <c r="F36" i="18"/>
  <c r="F35" i="18"/>
  <c r="F37" i="18" s="1"/>
  <c r="I32" i="18"/>
  <c r="J31" i="18"/>
  <c r="K40" i="18"/>
  <c r="I27" i="18"/>
  <c r="I28" i="18" s="1"/>
  <c r="I33" i="18" s="1"/>
  <c r="J23" i="18"/>
  <c r="E38" i="18"/>
  <c r="F38" i="18" s="1"/>
  <c r="J31" i="17"/>
  <c r="I32" i="17"/>
  <c r="E38" i="17"/>
  <c r="I27" i="17"/>
  <c r="I28" i="17" s="1"/>
  <c r="J23" i="17"/>
  <c r="H34" i="17"/>
  <c r="L40" i="17"/>
  <c r="F13" i="16"/>
  <c r="F15" i="16"/>
  <c r="F17" i="16" s="1"/>
  <c r="H6" i="16"/>
  <c r="G7" i="16"/>
  <c r="G8" i="16" s="1"/>
  <c r="G15" i="16" s="1"/>
  <c r="G17" i="16" s="1"/>
  <c r="L22" i="16"/>
  <c r="K27" i="16"/>
  <c r="K21" i="16"/>
  <c r="J3" i="16"/>
  <c r="I11" i="16"/>
  <c r="H12" i="16"/>
  <c r="G34" i="15"/>
  <c r="G36" i="15"/>
  <c r="G43" i="15"/>
  <c r="G44" i="15" s="1"/>
  <c r="K41" i="15"/>
  <c r="I27" i="15"/>
  <c r="I28" i="15" s="1"/>
  <c r="J23" i="15"/>
  <c r="M46" i="15"/>
  <c r="L45" i="15"/>
  <c r="L48" i="15"/>
  <c r="L42" i="15"/>
  <c r="H32" i="15"/>
  <c r="H33" i="15" s="1"/>
  <c r="I31" i="15"/>
  <c r="G35" i="15"/>
  <c r="G37" i="15" s="1"/>
  <c r="G38" i="15" s="1"/>
  <c r="F22" i="11"/>
  <c r="U56" i="1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J9" i="11"/>
  <c r="R9" i="11"/>
  <c r="E9" i="11"/>
  <c r="M9" i="11"/>
  <c r="D10" i="11"/>
  <c r="J10" i="11" s="1"/>
  <c r="E20" i="11"/>
  <c r="G9" i="11"/>
  <c r="K9" i="11"/>
  <c r="O9" i="11"/>
  <c r="S9" i="11"/>
  <c r="H9" i="11"/>
  <c r="L9" i="11"/>
  <c r="P9" i="11"/>
  <c r="N8" i="12"/>
  <c r="G47" i="18" l="1"/>
  <c r="G41" i="18"/>
  <c r="G47" i="17"/>
  <c r="G41" i="17"/>
  <c r="G36" i="17" s="1"/>
  <c r="H44" i="17"/>
  <c r="H45" i="17" s="1"/>
  <c r="H44" i="18"/>
  <c r="H45" i="18" s="1"/>
  <c r="D11" i="11"/>
  <c r="F35" i="17"/>
  <c r="F37" i="17" s="1"/>
  <c r="J31" i="20"/>
  <c r="J32" i="20" s="1"/>
  <c r="L10" i="11"/>
  <c r="G10" i="11"/>
  <c r="F10" i="11"/>
  <c r="K10" i="11"/>
  <c r="H35" i="15"/>
  <c r="H37" i="15" s="1"/>
  <c r="H38" i="15" s="1"/>
  <c r="J40" i="20"/>
  <c r="O43" i="20"/>
  <c r="N42" i="20"/>
  <c r="I39" i="20"/>
  <c r="L21" i="20"/>
  <c r="K25" i="20"/>
  <c r="K26" i="20" s="1"/>
  <c r="K30" i="20"/>
  <c r="L29" i="20"/>
  <c r="H33" i="20"/>
  <c r="H35" i="20" s="1"/>
  <c r="H34" i="20"/>
  <c r="K38" i="20"/>
  <c r="F18" i="16"/>
  <c r="G18" i="16" s="1"/>
  <c r="H38" i="19"/>
  <c r="G13" i="16"/>
  <c r="G14" i="16" s="1"/>
  <c r="J27" i="19"/>
  <c r="J28" i="19" s="1"/>
  <c r="K23" i="19"/>
  <c r="I33" i="19"/>
  <c r="I35" i="19"/>
  <c r="I37" i="19" s="1"/>
  <c r="L41" i="19"/>
  <c r="M48" i="19"/>
  <c r="M42" i="19"/>
  <c r="N46" i="19"/>
  <c r="M45" i="19"/>
  <c r="H34" i="19"/>
  <c r="H36" i="19"/>
  <c r="H43" i="19"/>
  <c r="H44" i="19" s="1"/>
  <c r="J32" i="19"/>
  <c r="K31" i="19"/>
  <c r="K23" i="18"/>
  <c r="J27" i="18"/>
  <c r="J28" i="18" s="1"/>
  <c r="J33" i="18" s="1"/>
  <c r="I34" i="18"/>
  <c r="I42" i="18"/>
  <c r="I43" i="18" s="1"/>
  <c r="L40" i="18"/>
  <c r="G36" i="18"/>
  <c r="G35" i="18"/>
  <c r="G37" i="18" s="1"/>
  <c r="G38" i="18" s="1"/>
  <c r="K31" i="18"/>
  <c r="J32" i="18"/>
  <c r="I33" i="17"/>
  <c r="I34" i="17" s="1"/>
  <c r="M40" i="17"/>
  <c r="J27" i="17"/>
  <c r="J28" i="17" s="1"/>
  <c r="K23" i="17"/>
  <c r="J32" i="17"/>
  <c r="K31" i="17"/>
  <c r="F38" i="17"/>
  <c r="I6" i="16"/>
  <c r="H7" i="16"/>
  <c r="H8" i="16" s="1"/>
  <c r="F16" i="16"/>
  <c r="F14" i="16"/>
  <c r="I12" i="16"/>
  <c r="J11" i="16"/>
  <c r="K3" i="16"/>
  <c r="L27" i="16"/>
  <c r="L21" i="16"/>
  <c r="M22" i="16"/>
  <c r="H34" i="15"/>
  <c r="H36" i="15"/>
  <c r="H43" i="15"/>
  <c r="H44" i="15" s="1"/>
  <c r="I32" i="15"/>
  <c r="I33" i="15" s="1"/>
  <c r="J31" i="15"/>
  <c r="J27" i="15"/>
  <c r="J28" i="15" s="1"/>
  <c r="K23" i="15"/>
  <c r="I35" i="15"/>
  <c r="I37" i="15" s="1"/>
  <c r="L41" i="15"/>
  <c r="M48" i="15"/>
  <c r="M42" i="15"/>
  <c r="N46" i="15"/>
  <c r="M45" i="15"/>
  <c r="G22" i="11"/>
  <c r="F21" i="11"/>
  <c r="D7" i="11"/>
  <c r="D8" i="11" s="1"/>
  <c r="R57" i="11"/>
  <c r="M10" i="11"/>
  <c r="I10" i="11"/>
  <c r="H10" i="11"/>
  <c r="E10" i="11"/>
  <c r="E11" i="11"/>
  <c r="D12" i="11"/>
  <c r="F20" i="11"/>
  <c r="N10" i="12"/>
  <c r="I12" i="12" s="1"/>
  <c r="H41" i="18" l="1"/>
  <c r="H47" i="18"/>
  <c r="H47" i="17"/>
  <c r="H41" i="17"/>
  <c r="H36" i="17" s="1"/>
  <c r="K31" i="20"/>
  <c r="K32" i="20" s="1"/>
  <c r="I38" i="15"/>
  <c r="G35" i="17"/>
  <c r="G37" i="17" s="1"/>
  <c r="I38" i="19"/>
  <c r="I44" i="18"/>
  <c r="I45" i="18" s="1"/>
  <c r="G16" i="16"/>
  <c r="O45" i="20"/>
  <c r="O46" i="20" s="1"/>
  <c r="F11" i="9" s="1"/>
  <c r="D11" i="9"/>
  <c r="P43" i="20"/>
  <c r="O42" i="20"/>
  <c r="K40" i="20"/>
  <c r="M29" i="20"/>
  <c r="L30" i="20"/>
  <c r="J39" i="20"/>
  <c r="L38" i="20"/>
  <c r="L25" i="20"/>
  <c r="L26" i="20" s="1"/>
  <c r="M21" i="20"/>
  <c r="I34" i="20"/>
  <c r="I33" i="20"/>
  <c r="I35" i="20" s="1"/>
  <c r="I42" i="17"/>
  <c r="I43" i="17" s="1"/>
  <c r="D13" i="11"/>
  <c r="D14" i="11" s="1"/>
  <c r="M41" i="19"/>
  <c r="K27" i="19"/>
  <c r="K28" i="19" s="1"/>
  <c r="L23" i="19"/>
  <c r="J33" i="19"/>
  <c r="J35" i="19"/>
  <c r="J37" i="19" s="1"/>
  <c r="J38" i="19" s="1"/>
  <c r="K32" i="19"/>
  <c r="L31" i="19"/>
  <c r="O46" i="19"/>
  <c r="D10" i="9" s="1"/>
  <c r="N45" i="19"/>
  <c r="N48" i="19"/>
  <c r="N42" i="19"/>
  <c r="I34" i="19"/>
  <c r="I36" i="19"/>
  <c r="I43" i="19"/>
  <c r="I44" i="19" s="1"/>
  <c r="J34" i="18"/>
  <c r="J42" i="18"/>
  <c r="J43" i="18" s="1"/>
  <c r="H36" i="18"/>
  <c r="H35" i="18"/>
  <c r="H37" i="18" s="1"/>
  <c r="H38" i="18" s="1"/>
  <c r="M40" i="18"/>
  <c r="K32" i="18"/>
  <c r="L31" i="18"/>
  <c r="K27" i="18"/>
  <c r="K28" i="18" s="1"/>
  <c r="L23" i="18"/>
  <c r="J33" i="17"/>
  <c r="J34" i="17" s="1"/>
  <c r="H35" i="17"/>
  <c r="H37" i="17" s="1"/>
  <c r="N40" i="17"/>
  <c r="K32" i="17"/>
  <c r="L31" i="17"/>
  <c r="K27" i="17"/>
  <c r="K28" i="17" s="1"/>
  <c r="L23" i="17"/>
  <c r="G38" i="17"/>
  <c r="H15" i="16"/>
  <c r="H17" i="16" s="1"/>
  <c r="H13" i="16"/>
  <c r="J6" i="16"/>
  <c r="I7" i="16"/>
  <c r="I8" i="16" s="1"/>
  <c r="I15" i="16" s="1"/>
  <c r="I17" i="16" s="1"/>
  <c r="L3" i="16"/>
  <c r="N22" i="16"/>
  <c r="M27" i="16"/>
  <c r="M28" i="16" s="1"/>
  <c r="M21" i="16"/>
  <c r="K11" i="16"/>
  <c r="J12" i="16"/>
  <c r="I34" i="15"/>
  <c r="I36" i="15"/>
  <c r="I43" i="15"/>
  <c r="I44" i="15" s="1"/>
  <c r="M41" i="15"/>
  <c r="K27" i="15"/>
  <c r="K28" i="15" s="1"/>
  <c r="L23" i="15"/>
  <c r="O46" i="15"/>
  <c r="N45" i="15"/>
  <c r="N48" i="15"/>
  <c r="N42" i="15"/>
  <c r="J32" i="15"/>
  <c r="J35" i="15" s="1"/>
  <c r="J37" i="15" s="1"/>
  <c r="K31" i="15"/>
  <c r="G21" i="11"/>
  <c r="H22" i="11"/>
  <c r="E7" i="11"/>
  <c r="E8" i="11" s="1"/>
  <c r="E12" i="11"/>
  <c r="F11" i="11"/>
  <c r="G20" i="11"/>
  <c r="O28" i="12"/>
  <c r="N28" i="12"/>
  <c r="M28" i="12"/>
  <c r="L28" i="12"/>
  <c r="K28" i="12"/>
  <c r="J28" i="12"/>
  <c r="I28" i="12"/>
  <c r="H28" i="12"/>
  <c r="G28" i="12"/>
  <c r="F28" i="12"/>
  <c r="F29" i="12" s="1"/>
  <c r="F30" i="12" s="1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F38" i="12" s="1"/>
  <c r="F22" i="12"/>
  <c r="G22" i="12" s="1"/>
  <c r="H22" i="12" s="1"/>
  <c r="I22" i="12" s="1"/>
  <c r="J22" i="12" s="1"/>
  <c r="K22" i="12" s="1"/>
  <c r="L22" i="12" s="1"/>
  <c r="M22" i="12" s="1"/>
  <c r="N22" i="12" s="1"/>
  <c r="O22" i="12" s="1"/>
  <c r="P22" i="12" s="1"/>
  <c r="Q22" i="12" s="1"/>
  <c r="R22" i="12" s="1"/>
  <c r="S22" i="12" s="1"/>
  <c r="T22" i="12" s="1"/>
  <c r="U22" i="12" s="1"/>
  <c r="V22" i="12" s="1"/>
  <c r="F23" i="12"/>
  <c r="G23" i="12" s="1"/>
  <c r="H23" i="12" s="1"/>
  <c r="I23" i="12" s="1"/>
  <c r="J23" i="12" s="1"/>
  <c r="K23" i="12" s="1"/>
  <c r="L23" i="12" s="1"/>
  <c r="M23" i="12" s="1"/>
  <c r="N23" i="12" s="1"/>
  <c r="O23" i="12" s="1"/>
  <c r="P23" i="12" s="1"/>
  <c r="Q23" i="12" s="1"/>
  <c r="R23" i="12" s="1"/>
  <c r="S23" i="12" s="1"/>
  <c r="T23" i="12" s="1"/>
  <c r="U23" i="12" s="1"/>
  <c r="V23" i="12" s="1"/>
  <c r="I47" i="18" l="1"/>
  <c r="I41" i="18"/>
  <c r="J38" i="15"/>
  <c r="I45" i="17"/>
  <c r="I47" i="17" s="1"/>
  <c r="I44" i="17"/>
  <c r="J44" i="18"/>
  <c r="J45" i="18" s="1"/>
  <c r="I41" i="17"/>
  <c r="I35" i="17" s="1"/>
  <c r="I37" i="17" s="1"/>
  <c r="K33" i="17"/>
  <c r="K33" i="18"/>
  <c r="Q43" i="20"/>
  <c r="P42" i="20"/>
  <c r="L31" i="20"/>
  <c r="L40" i="20"/>
  <c r="N21" i="20"/>
  <c r="M25" i="20"/>
  <c r="M26" i="20" s="1"/>
  <c r="M31" i="20" s="1"/>
  <c r="J33" i="20"/>
  <c r="J35" i="20" s="1"/>
  <c r="J34" i="20"/>
  <c r="M38" i="20"/>
  <c r="M30" i="20"/>
  <c r="N29" i="20"/>
  <c r="K39" i="20"/>
  <c r="J42" i="17"/>
  <c r="J43" i="17" s="1"/>
  <c r="H18" i="16"/>
  <c r="I18" i="16" s="1"/>
  <c r="L32" i="19"/>
  <c r="M31" i="19"/>
  <c r="L27" i="19"/>
  <c r="L28" i="19" s="1"/>
  <c r="M23" i="19"/>
  <c r="K33" i="19"/>
  <c r="K35" i="19"/>
  <c r="K37" i="19" s="1"/>
  <c r="K38" i="19" s="1"/>
  <c r="N41" i="19"/>
  <c r="O48" i="19"/>
  <c r="O49" i="19" s="1"/>
  <c r="F10" i="9" s="1"/>
  <c r="O42" i="19"/>
  <c r="P46" i="19"/>
  <c r="O45" i="19"/>
  <c r="J34" i="19"/>
  <c r="J36" i="19"/>
  <c r="J43" i="19"/>
  <c r="J44" i="19" s="1"/>
  <c r="K34" i="18"/>
  <c r="K42" i="18"/>
  <c r="K43" i="18" s="1"/>
  <c r="L32" i="18"/>
  <c r="M31" i="18"/>
  <c r="I35" i="18"/>
  <c r="I37" i="18" s="1"/>
  <c r="I38" i="18" s="1"/>
  <c r="I36" i="18"/>
  <c r="L27" i="18"/>
  <c r="L28" i="18" s="1"/>
  <c r="L33" i="18" s="1"/>
  <c r="M23" i="18"/>
  <c r="N40" i="18"/>
  <c r="K34" i="17"/>
  <c r="K42" i="17"/>
  <c r="K43" i="17" s="1"/>
  <c r="O40" i="17"/>
  <c r="L27" i="17"/>
  <c r="L28" i="17" s="1"/>
  <c r="M23" i="17"/>
  <c r="L32" i="17"/>
  <c r="M31" i="17"/>
  <c r="H38" i="17"/>
  <c r="H14" i="16"/>
  <c r="H16" i="16"/>
  <c r="K6" i="16"/>
  <c r="J7" i="16"/>
  <c r="J8" i="16" s="1"/>
  <c r="J13" i="16" s="1"/>
  <c r="J16" i="16" s="1"/>
  <c r="I13" i="16"/>
  <c r="K12" i="16"/>
  <c r="L11" i="16"/>
  <c r="M3" i="16"/>
  <c r="N21" i="16"/>
  <c r="O22" i="16"/>
  <c r="O48" i="15"/>
  <c r="O49" i="15" s="1"/>
  <c r="O42" i="15"/>
  <c r="P46" i="15"/>
  <c r="O45" i="15"/>
  <c r="K32" i="15"/>
  <c r="K33" i="15" s="1"/>
  <c r="L31" i="15"/>
  <c r="L27" i="15"/>
  <c r="L28" i="15" s="1"/>
  <c r="M23" i="15"/>
  <c r="N41" i="15"/>
  <c r="J33" i="15"/>
  <c r="H21" i="11"/>
  <c r="I22" i="11"/>
  <c r="F7" i="11"/>
  <c r="F8" i="11" s="1"/>
  <c r="E13" i="11"/>
  <c r="E14" i="11" s="1"/>
  <c r="F12" i="11"/>
  <c r="G11" i="11"/>
  <c r="H20" i="11"/>
  <c r="G29" i="12"/>
  <c r="G38" i="12"/>
  <c r="F18" i="12"/>
  <c r="G18" i="12" s="1"/>
  <c r="H18" i="12" s="1"/>
  <c r="I18" i="12" s="1"/>
  <c r="J18" i="12" s="1"/>
  <c r="K18" i="12" s="1"/>
  <c r="L18" i="12" s="1"/>
  <c r="M18" i="12" s="1"/>
  <c r="N18" i="12" s="1"/>
  <c r="O18" i="12" s="1"/>
  <c r="P18" i="12" s="1"/>
  <c r="Q18" i="12" s="1"/>
  <c r="R18" i="12" s="1"/>
  <c r="S18" i="12" s="1"/>
  <c r="T18" i="12" s="1"/>
  <c r="U18" i="12" s="1"/>
  <c r="V18" i="12" s="1"/>
  <c r="J41" i="18" l="1"/>
  <c r="J47" i="18"/>
  <c r="J44" i="17"/>
  <c r="J45" i="17" s="1"/>
  <c r="K44" i="17"/>
  <c r="K45" i="17" s="1"/>
  <c r="I36" i="17"/>
  <c r="K45" i="18"/>
  <c r="K47" i="18" s="1"/>
  <c r="K44" i="18"/>
  <c r="R43" i="20"/>
  <c r="Q42" i="20"/>
  <c r="M32" i="20"/>
  <c r="M40" i="20"/>
  <c r="N25" i="20"/>
  <c r="N26" i="20" s="1"/>
  <c r="N31" i="20" s="1"/>
  <c r="O21" i="20"/>
  <c r="L32" i="20"/>
  <c r="K34" i="20"/>
  <c r="K33" i="20"/>
  <c r="K35" i="20" s="1"/>
  <c r="O29" i="20"/>
  <c r="N30" i="20"/>
  <c r="N38" i="20"/>
  <c r="L33" i="17"/>
  <c r="L34" i="17" s="1"/>
  <c r="O41" i="19"/>
  <c r="M27" i="19"/>
  <c r="M28" i="19" s="1"/>
  <c r="N23" i="19"/>
  <c r="L33" i="19"/>
  <c r="L35" i="19"/>
  <c r="L37" i="19" s="1"/>
  <c r="L38" i="19" s="1"/>
  <c r="Q46" i="19"/>
  <c r="P45" i="19"/>
  <c r="P42" i="19"/>
  <c r="K34" i="19"/>
  <c r="K36" i="19"/>
  <c r="K43" i="19"/>
  <c r="K44" i="19" s="1"/>
  <c r="M32" i="19"/>
  <c r="N31" i="19"/>
  <c r="L34" i="18"/>
  <c r="L42" i="18"/>
  <c r="L43" i="18" s="1"/>
  <c r="M32" i="18"/>
  <c r="N31" i="18"/>
  <c r="J36" i="18"/>
  <c r="J35" i="18"/>
  <c r="J37" i="18" s="1"/>
  <c r="J38" i="18" s="1"/>
  <c r="O40" i="18"/>
  <c r="M28" i="18"/>
  <c r="M27" i="18"/>
  <c r="N23" i="18"/>
  <c r="K41" i="18"/>
  <c r="I38" i="17"/>
  <c r="N31" i="17"/>
  <c r="M32" i="17"/>
  <c r="M27" i="17"/>
  <c r="N23" i="17"/>
  <c r="P40" i="17"/>
  <c r="J14" i="16"/>
  <c r="I14" i="16"/>
  <c r="I16" i="16"/>
  <c r="L6" i="16"/>
  <c r="K7" i="16"/>
  <c r="K8" i="16" s="1"/>
  <c r="K15" i="16" s="1"/>
  <c r="K17" i="16" s="1"/>
  <c r="J15" i="16"/>
  <c r="J17" i="16" s="1"/>
  <c r="N3" i="16"/>
  <c r="M11" i="16"/>
  <c r="L12" i="16"/>
  <c r="P22" i="16"/>
  <c r="O21" i="16"/>
  <c r="K34" i="15"/>
  <c r="K36" i="15"/>
  <c r="K43" i="15"/>
  <c r="K44" i="15" s="1"/>
  <c r="O41" i="15"/>
  <c r="M27" i="15"/>
  <c r="M28" i="15" s="1"/>
  <c r="N23" i="15"/>
  <c r="L35" i="15"/>
  <c r="L37" i="15" s="1"/>
  <c r="Q46" i="15"/>
  <c r="P45" i="15"/>
  <c r="P42" i="15"/>
  <c r="J34" i="15"/>
  <c r="J36" i="15"/>
  <c r="J43" i="15"/>
  <c r="J44" i="15" s="1"/>
  <c r="L32" i="15"/>
  <c r="L33" i="15" s="1"/>
  <c r="M31" i="15"/>
  <c r="K35" i="15"/>
  <c r="K37" i="15" s="1"/>
  <c r="K38" i="15" s="1"/>
  <c r="F13" i="11"/>
  <c r="F14" i="11" s="1"/>
  <c r="I21" i="11"/>
  <c r="J22" i="11"/>
  <c r="G7" i="11"/>
  <c r="G8" i="11" s="1"/>
  <c r="G12" i="11"/>
  <c r="H11" i="11"/>
  <c r="D15" i="11"/>
  <c r="D17" i="11" s="1"/>
  <c r="D16" i="11"/>
  <c r="I20" i="11"/>
  <c r="G30" i="12"/>
  <c r="H29" i="12"/>
  <c r="H38" i="12"/>
  <c r="E7" i="9"/>
  <c r="G9" i="10"/>
  <c r="D9" i="10"/>
  <c r="R9" i="10" s="1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F63" i="10"/>
  <c r="D20" i="10"/>
  <c r="E20" i="10" s="1"/>
  <c r="F20" i="10" s="1"/>
  <c r="G20" i="10" s="1"/>
  <c r="D5" i="10"/>
  <c r="F54" i="10"/>
  <c r="F55" i="10" s="1"/>
  <c r="F56" i="10" s="1"/>
  <c r="E3" i="10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O49" i="10"/>
  <c r="J41" i="17" l="1"/>
  <c r="J47" i="17"/>
  <c r="K47" i="17"/>
  <c r="K41" i="17"/>
  <c r="K36" i="17" s="1"/>
  <c r="L44" i="18"/>
  <c r="L45" i="18" s="1"/>
  <c r="O9" i="10"/>
  <c r="M33" i="18"/>
  <c r="M34" i="18" s="1"/>
  <c r="K9" i="10"/>
  <c r="D10" i="10"/>
  <c r="G10" i="10" s="1"/>
  <c r="H63" i="10"/>
  <c r="E9" i="10"/>
  <c r="M9" i="10"/>
  <c r="I9" i="10"/>
  <c r="Q9" i="10"/>
  <c r="S9" i="10"/>
  <c r="N40" i="20"/>
  <c r="L42" i="17"/>
  <c r="L43" i="17" s="1"/>
  <c r="S43" i="20"/>
  <c r="R42" i="20"/>
  <c r="M39" i="20"/>
  <c r="L39" i="20"/>
  <c r="N32" i="20"/>
  <c r="O38" i="20"/>
  <c r="P21" i="20"/>
  <c r="O25" i="20"/>
  <c r="O26" i="20" s="1"/>
  <c r="O31" i="20" s="1"/>
  <c r="M28" i="17"/>
  <c r="M33" i="17" s="1"/>
  <c r="J18" i="16"/>
  <c r="K18" i="16" s="1"/>
  <c r="N32" i="19"/>
  <c r="O31" i="19"/>
  <c r="O32" i="19" s="1"/>
  <c r="N27" i="19"/>
  <c r="N28" i="19" s="1"/>
  <c r="O23" i="19"/>
  <c r="M33" i="19"/>
  <c r="M35" i="19"/>
  <c r="M37" i="19" s="1"/>
  <c r="M38" i="19" s="1"/>
  <c r="P41" i="19"/>
  <c r="Q42" i="19"/>
  <c r="R46" i="19"/>
  <c r="Q45" i="19"/>
  <c r="L34" i="19"/>
  <c r="L36" i="19"/>
  <c r="L43" i="19"/>
  <c r="L44" i="19" s="1"/>
  <c r="K36" i="18"/>
  <c r="K35" i="18"/>
  <c r="K37" i="18" s="1"/>
  <c r="K38" i="18" s="1"/>
  <c r="O23" i="18"/>
  <c r="N27" i="18"/>
  <c r="N28" i="18" s="1"/>
  <c r="P40" i="18"/>
  <c r="O31" i="18"/>
  <c r="O32" i="18" s="1"/>
  <c r="N32" i="18"/>
  <c r="K35" i="17"/>
  <c r="K37" i="17" s="1"/>
  <c r="N27" i="17"/>
  <c r="N28" i="17" s="1"/>
  <c r="O23" i="17"/>
  <c r="N32" i="17"/>
  <c r="O31" i="17"/>
  <c r="O32" i="17" s="1"/>
  <c r="Q40" i="17"/>
  <c r="M6" i="16"/>
  <c r="L7" i="16"/>
  <c r="L8" i="16" s="1"/>
  <c r="K13" i="16"/>
  <c r="P21" i="16"/>
  <c r="Q22" i="16"/>
  <c r="O3" i="16"/>
  <c r="L34" i="15"/>
  <c r="L36" i="15"/>
  <c r="L43" i="15"/>
  <c r="L44" i="15" s="1"/>
  <c r="M32" i="15"/>
  <c r="M33" i="15" s="1"/>
  <c r="N31" i="15"/>
  <c r="N27" i="15"/>
  <c r="N28" i="15" s="1"/>
  <c r="O23" i="15"/>
  <c r="P41" i="15"/>
  <c r="Q42" i="15"/>
  <c r="R46" i="15"/>
  <c r="Q45" i="15"/>
  <c r="L38" i="15"/>
  <c r="K22" i="11"/>
  <c r="J21" i="11"/>
  <c r="H7" i="11"/>
  <c r="H8" i="11" s="1"/>
  <c r="G13" i="11"/>
  <c r="G14" i="11" s="1"/>
  <c r="J20" i="11"/>
  <c r="D18" i="11"/>
  <c r="E15" i="11"/>
  <c r="E17" i="11" s="1"/>
  <c r="E16" i="11"/>
  <c r="F27" i="11"/>
  <c r="I11" i="11"/>
  <c r="H12" i="11"/>
  <c r="H20" i="10"/>
  <c r="L10" i="10"/>
  <c r="H10" i="10"/>
  <c r="K10" i="10"/>
  <c r="U59" i="10"/>
  <c r="H9" i="10"/>
  <c r="L9" i="10"/>
  <c r="P9" i="10"/>
  <c r="T9" i="10"/>
  <c r="F9" i="10"/>
  <c r="J9" i="10"/>
  <c r="N9" i="10"/>
  <c r="H30" i="12"/>
  <c r="I29" i="12"/>
  <c r="I38" i="12"/>
  <c r="F24" i="12"/>
  <c r="G24" i="12" s="1"/>
  <c r="H24" i="12" s="1"/>
  <c r="I24" i="12" s="1"/>
  <c r="J24" i="12" s="1"/>
  <c r="K24" i="12" s="1"/>
  <c r="L24" i="12" s="1"/>
  <c r="M24" i="12" s="1"/>
  <c r="N24" i="12" s="1"/>
  <c r="O24" i="12" s="1"/>
  <c r="P24" i="12" s="1"/>
  <c r="Q24" i="12" s="1"/>
  <c r="R24" i="12" s="1"/>
  <c r="S24" i="12" s="1"/>
  <c r="T24" i="12" s="1"/>
  <c r="U24" i="12" s="1"/>
  <c r="V24" i="12" s="1"/>
  <c r="F21" i="12"/>
  <c r="G21" i="12" s="1"/>
  <c r="E5" i="10"/>
  <c r="L47" i="18" l="1"/>
  <c r="L41" i="18"/>
  <c r="M42" i="18"/>
  <c r="M43" i="18" s="1"/>
  <c r="F10" i="10"/>
  <c r="J10" i="10"/>
  <c r="N33" i="18"/>
  <c r="N34" i="18" s="1"/>
  <c r="M35" i="15"/>
  <c r="M37" i="15" s="1"/>
  <c r="M38" i="15" s="1"/>
  <c r="L45" i="17"/>
  <c r="L44" i="17"/>
  <c r="D11" i="10"/>
  <c r="J36" i="17"/>
  <c r="J35" i="17"/>
  <c r="J37" i="17" s="1"/>
  <c r="J38" i="17" s="1"/>
  <c r="K38" i="17" s="1"/>
  <c r="I10" i="10"/>
  <c r="M10" i="10"/>
  <c r="E10" i="10"/>
  <c r="E11" i="10" s="1"/>
  <c r="T43" i="20"/>
  <c r="S42" i="20"/>
  <c r="O32" i="20"/>
  <c r="O40" i="20"/>
  <c r="N39" i="20"/>
  <c r="P25" i="20"/>
  <c r="P26" i="20" s="1"/>
  <c r="P31" i="20" s="1"/>
  <c r="Q21" i="20"/>
  <c r="P38" i="20"/>
  <c r="L33" i="20"/>
  <c r="L35" i="20" s="1"/>
  <c r="L34" i="20"/>
  <c r="M34" i="20"/>
  <c r="M33" i="20"/>
  <c r="M35" i="20" s="1"/>
  <c r="M34" i="17"/>
  <c r="M42" i="17"/>
  <c r="M43" i="17" s="1"/>
  <c r="N33" i="19"/>
  <c r="N35" i="19"/>
  <c r="N37" i="19" s="1"/>
  <c r="N38" i="19" s="1"/>
  <c r="M34" i="19"/>
  <c r="M36" i="19"/>
  <c r="M43" i="19"/>
  <c r="M44" i="19" s="1"/>
  <c r="S46" i="19"/>
  <c r="R45" i="19"/>
  <c r="R42" i="19"/>
  <c r="Q41" i="19"/>
  <c r="O27" i="19"/>
  <c r="O28" i="19" s="1"/>
  <c r="P23" i="19"/>
  <c r="N42" i="18"/>
  <c r="N43" i="18" s="1"/>
  <c r="L36" i="18"/>
  <c r="L35" i="18"/>
  <c r="L37" i="18" s="1"/>
  <c r="L38" i="18" s="1"/>
  <c r="Q40" i="18"/>
  <c r="O27" i="18"/>
  <c r="O28" i="18" s="1"/>
  <c r="O33" i="18" s="1"/>
  <c r="P23" i="18"/>
  <c r="N33" i="17"/>
  <c r="N34" i="17" s="1"/>
  <c r="R40" i="17"/>
  <c r="O27" i="17"/>
  <c r="O28" i="17" s="1"/>
  <c r="O33" i="17" s="1"/>
  <c r="P23" i="17"/>
  <c r="L15" i="16"/>
  <c r="L17" i="16" s="1"/>
  <c r="L18" i="16" s="1"/>
  <c r="L13" i="16"/>
  <c r="K14" i="16"/>
  <c r="K16" i="16"/>
  <c r="N6" i="16"/>
  <c r="M7" i="16"/>
  <c r="M8" i="16" s="1"/>
  <c r="R22" i="16"/>
  <c r="Q21" i="16"/>
  <c r="P3" i="16"/>
  <c r="M34" i="15"/>
  <c r="M36" i="15"/>
  <c r="M43" i="15"/>
  <c r="M44" i="15" s="1"/>
  <c r="S46" i="15"/>
  <c r="R45" i="15"/>
  <c r="R42" i="15"/>
  <c r="Q41" i="15"/>
  <c r="O27" i="15"/>
  <c r="O28" i="15" s="1"/>
  <c r="P23" i="15"/>
  <c r="N32" i="15"/>
  <c r="N35" i="15" s="1"/>
  <c r="N37" i="15" s="1"/>
  <c r="O31" i="15"/>
  <c r="O32" i="15" s="1"/>
  <c r="H13" i="11"/>
  <c r="H14" i="11" s="1"/>
  <c r="K21" i="11"/>
  <c r="L22" i="11"/>
  <c r="I7" i="11"/>
  <c r="I8" i="11" s="1"/>
  <c r="E18" i="11"/>
  <c r="F16" i="11"/>
  <c r="F15" i="11"/>
  <c r="F17" i="11" s="1"/>
  <c r="J11" i="11"/>
  <c r="I12" i="11"/>
  <c r="G27" i="11"/>
  <c r="K20" i="11"/>
  <c r="H21" i="12"/>
  <c r="G25" i="12"/>
  <c r="G26" i="12" s="1"/>
  <c r="I20" i="10"/>
  <c r="D12" i="10"/>
  <c r="R60" i="10"/>
  <c r="D6" i="10"/>
  <c r="I30" i="12"/>
  <c r="J29" i="12"/>
  <c r="J38" i="12"/>
  <c r="F25" i="12"/>
  <c r="F26" i="12" s="1"/>
  <c r="F5" i="10"/>
  <c r="L47" i="17" l="1"/>
  <c r="L41" i="17"/>
  <c r="M44" i="17"/>
  <c r="M45" i="17" s="1"/>
  <c r="M44" i="18"/>
  <c r="M45" i="18" s="1"/>
  <c r="N44" i="18"/>
  <c r="N45" i="18" s="1"/>
  <c r="P40" i="20"/>
  <c r="U43" i="20"/>
  <c r="T42" i="20"/>
  <c r="P32" i="20"/>
  <c r="O39" i="20"/>
  <c r="N33" i="20"/>
  <c r="N35" i="20" s="1"/>
  <c r="N34" i="20"/>
  <c r="Q38" i="20"/>
  <c r="R21" i="20"/>
  <c r="Q25" i="20"/>
  <c r="Q26" i="20" s="1"/>
  <c r="N38" i="15"/>
  <c r="N42" i="17"/>
  <c r="N43" i="17" s="1"/>
  <c r="P27" i="19"/>
  <c r="P28" i="19" s="1"/>
  <c r="Q23" i="19"/>
  <c r="O33" i="19"/>
  <c r="O35" i="19"/>
  <c r="O37" i="19" s="1"/>
  <c r="O38" i="19" s="1"/>
  <c r="R41" i="19"/>
  <c r="N34" i="19"/>
  <c r="N36" i="19"/>
  <c r="N43" i="19"/>
  <c r="N44" i="19" s="1"/>
  <c r="S42" i="19"/>
  <c r="T46" i="19"/>
  <c r="S45" i="19"/>
  <c r="P27" i="18"/>
  <c r="P28" i="18" s="1"/>
  <c r="P33" i="18" s="1"/>
  <c r="Q23" i="18"/>
  <c r="O34" i="18"/>
  <c r="O42" i="18"/>
  <c r="O43" i="18" s="1"/>
  <c r="R40" i="18"/>
  <c r="O34" i="17"/>
  <c r="O42" i="17"/>
  <c r="O43" i="17" s="1"/>
  <c r="S40" i="17"/>
  <c r="P27" i="17"/>
  <c r="P28" i="17" s="1"/>
  <c r="Q23" i="17"/>
  <c r="M13" i="16"/>
  <c r="M15" i="16"/>
  <c r="M17" i="16" s="1"/>
  <c r="M18" i="16" s="1"/>
  <c r="L14" i="16"/>
  <c r="L16" i="16"/>
  <c r="O6" i="16"/>
  <c r="N7" i="16"/>
  <c r="N8" i="16" s="1"/>
  <c r="R21" i="16"/>
  <c r="S22" i="16"/>
  <c r="Q3" i="16"/>
  <c r="O33" i="15"/>
  <c r="O35" i="15"/>
  <c r="O37" i="15" s="1"/>
  <c r="O38" i="15" s="1"/>
  <c r="S42" i="15"/>
  <c r="T46" i="15"/>
  <c r="S45" i="15"/>
  <c r="P27" i="15"/>
  <c r="P28" i="15" s="1"/>
  <c r="Q23" i="15"/>
  <c r="R41" i="15"/>
  <c r="N33" i="15"/>
  <c r="F18" i="11"/>
  <c r="I13" i="11"/>
  <c r="I14" i="11" s="1"/>
  <c r="L21" i="11"/>
  <c r="M22" i="11"/>
  <c r="D8" i="9" s="1"/>
  <c r="J7" i="11"/>
  <c r="J8" i="11" s="1"/>
  <c r="H27" i="11"/>
  <c r="L20" i="11"/>
  <c r="G16" i="11"/>
  <c r="G15" i="11"/>
  <c r="G17" i="11" s="1"/>
  <c r="G18" i="11" s="1"/>
  <c r="J12" i="11"/>
  <c r="K11" i="11"/>
  <c r="G40" i="12"/>
  <c r="G41" i="12" s="1"/>
  <c r="G31" i="12"/>
  <c r="J20" i="10"/>
  <c r="I21" i="12"/>
  <c r="H25" i="12"/>
  <c r="H26" i="12" s="1"/>
  <c r="E12" i="10"/>
  <c r="F11" i="10"/>
  <c r="E6" i="10"/>
  <c r="D7" i="10"/>
  <c r="D8" i="10" s="1"/>
  <c r="J30" i="12"/>
  <c r="K29" i="12"/>
  <c r="K38" i="12"/>
  <c r="F40" i="12"/>
  <c r="F41" i="12" s="1"/>
  <c r="F42" i="12" s="1"/>
  <c r="F31" i="12"/>
  <c r="F32" i="12" s="1"/>
  <c r="G5" i="10"/>
  <c r="M41" i="17" l="1"/>
  <c r="M47" i="17"/>
  <c r="N47" i="18"/>
  <c r="N41" i="18"/>
  <c r="N36" i="18" s="1"/>
  <c r="M41" i="18"/>
  <c r="M47" i="18"/>
  <c r="N44" i="17"/>
  <c r="N45" i="17" s="1"/>
  <c r="O44" i="17"/>
  <c r="O45" i="17" s="1"/>
  <c r="O44" i="18"/>
  <c r="O45" i="18" s="1"/>
  <c r="L36" i="17"/>
  <c r="L35" i="17"/>
  <c r="L37" i="17" s="1"/>
  <c r="L38" i="17" s="1"/>
  <c r="G32" i="12"/>
  <c r="G42" i="12"/>
  <c r="G43" i="12" s="1"/>
  <c r="V43" i="20"/>
  <c r="V42" i="20" s="1"/>
  <c r="U42" i="20"/>
  <c r="Q31" i="20"/>
  <c r="Q40" i="20"/>
  <c r="R25" i="20"/>
  <c r="R26" i="20" s="1"/>
  <c r="S21" i="20"/>
  <c r="R38" i="20"/>
  <c r="P39" i="20"/>
  <c r="O34" i="20"/>
  <c r="O33" i="20"/>
  <c r="O35" i="20" s="1"/>
  <c r="P33" i="17"/>
  <c r="P42" i="17" s="1"/>
  <c r="P43" i="17" s="1"/>
  <c r="S41" i="19"/>
  <c r="Q27" i="19"/>
  <c r="Q28" i="19" s="1"/>
  <c r="R23" i="19"/>
  <c r="P33" i="19"/>
  <c r="P35" i="19"/>
  <c r="P37" i="19" s="1"/>
  <c r="P38" i="19" s="1"/>
  <c r="U46" i="19"/>
  <c r="I47" i="19" s="1"/>
  <c r="T45" i="19"/>
  <c r="T42" i="19"/>
  <c r="O34" i="19"/>
  <c r="O36" i="19"/>
  <c r="O43" i="19"/>
  <c r="O44" i="19" s="1"/>
  <c r="P34" i="18"/>
  <c r="P42" i="18"/>
  <c r="P43" i="18" s="1"/>
  <c r="Q27" i="18"/>
  <c r="Q28" i="18" s="1"/>
  <c r="Q33" i="18" s="1"/>
  <c r="R23" i="18"/>
  <c r="N35" i="18"/>
  <c r="N37" i="18" s="1"/>
  <c r="S40" i="18"/>
  <c r="Q27" i="17"/>
  <c r="R23" i="17"/>
  <c r="P34" i="17"/>
  <c r="T40" i="17"/>
  <c r="N13" i="16"/>
  <c r="N15" i="16"/>
  <c r="N17" i="16" s="1"/>
  <c r="N18" i="16" s="1"/>
  <c r="P6" i="16"/>
  <c r="O7" i="16"/>
  <c r="O8" i="16" s="1"/>
  <c r="M14" i="16"/>
  <c r="M16" i="16"/>
  <c r="R3" i="16"/>
  <c r="T22" i="16"/>
  <c r="S21" i="16"/>
  <c r="P33" i="15"/>
  <c r="P35" i="15"/>
  <c r="P37" i="15" s="1"/>
  <c r="P38" i="15" s="1"/>
  <c r="N34" i="15"/>
  <c r="N36" i="15"/>
  <c r="N43" i="15"/>
  <c r="N44" i="15" s="1"/>
  <c r="S41" i="15"/>
  <c r="Q27" i="15"/>
  <c r="Q28" i="15" s="1"/>
  <c r="R23" i="15"/>
  <c r="U46" i="15"/>
  <c r="I47" i="15" s="1"/>
  <c r="T45" i="15"/>
  <c r="T42" i="15"/>
  <c r="O34" i="15"/>
  <c r="O36" i="15"/>
  <c r="O43" i="15"/>
  <c r="O44" i="15" s="1"/>
  <c r="J13" i="11"/>
  <c r="J14" i="11" s="1"/>
  <c r="M21" i="11"/>
  <c r="N22" i="11"/>
  <c r="K7" i="11"/>
  <c r="K8" i="11" s="1"/>
  <c r="K12" i="11"/>
  <c r="L11" i="11"/>
  <c r="H15" i="11"/>
  <c r="H17" i="11" s="1"/>
  <c r="H18" i="11" s="1"/>
  <c r="H16" i="11"/>
  <c r="M20" i="11"/>
  <c r="I27" i="11"/>
  <c r="D22" i="10"/>
  <c r="D23" i="10" s="1"/>
  <c r="D13" i="10"/>
  <c r="I25" i="12"/>
  <c r="I26" i="12" s="1"/>
  <c r="J21" i="12"/>
  <c r="F6" i="10"/>
  <c r="E7" i="10"/>
  <c r="E8" i="10" s="1"/>
  <c r="E13" i="10" s="1"/>
  <c r="F12" i="10"/>
  <c r="G11" i="10"/>
  <c r="H40" i="12"/>
  <c r="H41" i="12" s="1"/>
  <c r="H31" i="12"/>
  <c r="K20" i="10"/>
  <c r="K30" i="12"/>
  <c r="L29" i="12"/>
  <c r="L38" i="12"/>
  <c r="H5" i="10"/>
  <c r="D9" i="9" l="1"/>
  <c r="O47" i="17"/>
  <c r="O48" i="17" s="1"/>
  <c r="F9" i="9" s="1"/>
  <c r="O41" i="17"/>
  <c r="M38" i="17"/>
  <c r="N47" i="17"/>
  <c r="N41" i="17"/>
  <c r="O41" i="18"/>
  <c r="O36" i="18" s="1"/>
  <c r="O47" i="18"/>
  <c r="O48" i="18" s="1"/>
  <c r="H42" i="12"/>
  <c r="D24" i="10"/>
  <c r="P44" i="17"/>
  <c r="P45" i="17" s="1"/>
  <c r="P41" i="17" s="1"/>
  <c r="M35" i="18"/>
  <c r="M37" i="18" s="1"/>
  <c r="M38" i="18" s="1"/>
  <c r="N38" i="18" s="1"/>
  <c r="M36" i="18"/>
  <c r="P44" i="18"/>
  <c r="P45" i="18" s="1"/>
  <c r="P41" i="18" s="1"/>
  <c r="M36" i="17"/>
  <c r="M35" i="17"/>
  <c r="M37" i="17" s="1"/>
  <c r="R31" i="20"/>
  <c r="R40" i="20"/>
  <c r="G39" i="12"/>
  <c r="G33" i="12" s="1"/>
  <c r="G35" i="12" s="1"/>
  <c r="P33" i="20"/>
  <c r="P35" i="20" s="1"/>
  <c r="P34" i="20"/>
  <c r="S38" i="20"/>
  <c r="T21" i="20"/>
  <c r="S25" i="20"/>
  <c r="S26" i="20" s="1"/>
  <c r="Q32" i="20"/>
  <c r="R32" i="20"/>
  <c r="Q28" i="17"/>
  <c r="Q33" i="17" s="1"/>
  <c r="Q33" i="19"/>
  <c r="Q35" i="19"/>
  <c r="Q37" i="19" s="1"/>
  <c r="Q38" i="19" s="1"/>
  <c r="U42" i="19"/>
  <c r="U45" i="19"/>
  <c r="P34" i="19"/>
  <c r="P36" i="19"/>
  <c r="P43" i="19"/>
  <c r="P44" i="19" s="1"/>
  <c r="R27" i="19"/>
  <c r="R28" i="19" s="1"/>
  <c r="S23" i="19"/>
  <c r="T41" i="19"/>
  <c r="Q34" i="18"/>
  <c r="Q42" i="18"/>
  <c r="Q43" i="18" s="1"/>
  <c r="S23" i="18"/>
  <c r="R27" i="18"/>
  <c r="R28" i="18" s="1"/>
  <c r="R33" i="18" s="1"/>
  <c r="T40" i="18"/>
  <c r="U40" i="17"/>
  <c r="O36" i="17"/>
  <c r="O35" i="17"/>
  <c r="O37" i="17" s="1"/>
  <c r="R27" i="17"/>
  <c r="S23" i="17"/>
  <c r="O15" i="16"/>
  <c r="O17" i="16" s="1"/>
  <c r="O13" i="16"/>
  <c r="Q6" i="16"/>
  <c r="P7" i="16"/>
  <c r="P8" i="16" s="1"/>
  <c r="N14" i="16"/>
  <c r="N16" i="16"/>
  <c r="O18" i="16"/>
  <c r="A32" i="16"/>
  <c r="B32" i="16" s="1"/>
  <c r="C32" i="16" s="1"/>
  <c r="D32" i="16" s="1"/>
  <c r="E32" i="16" s="1"/>
  <c r="F32" i="16" s="1"/>
  <c r="G32" i="16" s="1"/>
  <c r="H32" i="16" s="1"/>
  <c r="I32" i="16" s="1"/>
  <c r="J32" i="16" s="1"/>
  <c r="K32" i="16" s="1"/>
  <c r="L32" i="16" s="1"/>
  <c r="M32" i="16" s="1"/>
  <c r="N32" i="16" s="1"/>
  <c r="O32" i="16" s="1"/>
  <c r="P32" i="16" s="1"/>
  <c r="Q32" i="16" s="1"/>
  <c r="R32" i="16" s="1"/>
  <c r="S32" i="16" s="1"/>
  <c r="T32" i="16" s="1"/>
  <c r="T27" i="16"/>
  <c r="T21" i="16"/>
  <c r="F24" i="16"/>
  <c r="S3" i="16"/>
  <c r="Q33" i="15"/>
  <c r="Q35" i="15"/>
  <c r="Q37" i="15" s="1"/>
  <c r="Q38" i="15" s="1"/>
  <c r="U42" i="15"/>
  <c r="U45" i="15"/>
  <c r="R27" i="15"/>
  <c r="R28" i="15" s="1"/>
  <c r="S23" i="15"/>
  <c r="T41" i="15"/>
  <c r="P34" i="15"/>
  <c r="P36" i="15"/>
  <c r="P43" i="15"/>
  <c r="P44" i="15" s="1"/>
  <c r="K13" i="11"/>
  <c r="K14" i="11" s="1"/>
  <c r="O22" i="11"/>
  <c r="N21" i="11"/>
  <c r="L7" i="11"/>
  <c r="L8" i="11" s="1"/>
  <c r="I16" i="11"/>
  <c r="I15" i="11"/>
  <c r="I17" i="11" s="1"/>
  <c r="I18" i="11" s="1"/>
  <c r="M11" i="11"/>
  <c r="L12" i="11"/>
  <c r="J27" i="11"/>
  <c r="N20" i="11"/>
  <c r="E14" i="10"/>
  <c r="I40" i="12"/>
  <c r="I41" i="12" s="1"/>
  <c r="I31" i="12"/>
  <c r="G12" i="10"/>
  <c r="H11" i="10"/>
  <c r="K21" i="12"/>
  <c r="J25" i="12"/>
  <c r="J26" i="12" s="1"/>
  <c r="H32" i="12"/>
  <c r="D14" i="10"/>
  <c r="L20" i="10"/>
  <c r="G6" i="10"/>
  <c r="F7" i="10"/>
  <c r="F8" i="10" s="1"/>
  <c r="L30" i="12"/>
  <c r="M29" i="12"/>
  <c r="M38" i="12"/>
  <c r="F39" i="12"/>
  <c r="F43" i="12"/>
  <c r="I5" i="10"/>
  <c r="P36" i="18" l="1"/>
  <c r="P35" i="18"/>
  <c r="P37" i="18" s="1"/>
  <c r="P35" i="17"/>
  <c r="P37" i="17" s="1"/>
  <c r="P36" i="17"/>
  <c r="N35" i="17"/>
  <c r="N37" i="17" s="1"/>
  <c r="N38" i="17" s="1"/>
  <c r="O38" i="17" s="1"/>
  <c r="P38" i="17" s="1"/>
  <c r="N36" i="17"/>
  <c r="O35" i="18"/>
  <c r="O37" i="18" s="1"/>
  <c r="O38" i="18" s="1"/>
  <c r="P38" i="18" s="1"/>
  <c r="Q45" i="18"/>
  <c r="Q41" i="18" s="1"/>
  <c r="Q35" i="18" s="1"/>
  <c r="Q37" i="18" s="1"/>
  <c r="Q44" i="18"/>
  <c r="I32" i="12"/>
  <c r="I42" i="12"/>
  <c r="G34" i="12"/>
  <c r="S31" i="20"/>
  <c r="S40" i="20"/>
  <c r="R39" i="20"/>
  <c r="Q39" i="20"/>
  <c r="T25" i="20"/>
  <c r="T26" i="20" s="1"/>
  <c r="T31" i="20" s="1"/>
  <c r="U21" i="20"/>
  <c r="T38" i="20"/>
  <c r="Q34" i="17"/>
  <c r="Q42" i="17"/>
  <c r="Q43" i="17" s="1"/>
  <c r="R28" i="17"/>
  <c r="R33" i="17" s="1"/>
  <c r="U41" i="19"/>
  <c r="S27" i="19"/>
  <c r="S28" i="19" s="1"/>
  <c r="T23" i="19"/>
  <c r="R33" i="19"/>
  <c r="R35" i="19"/>
  <c r="R37" i="19" s="1"/>
  <c r="R38" i="19" s="1"/>
  <c r="Q34" i="19"/>
  <c r="Q36" i="19"/>
  <c r="Q43" i="19"/>
  <c r="Q44" i="19" s="1"/>
  <c r="E52" i="19"/>
  <c r="F52" i="19" s="1"/>
  <c r="G52" i="19" s="1"/>
  <c r="H52" i="19" s="1"/>
  <c r="I52" i="19" s="1"/>
  <c r="J52" i="19" s="1"/>
  <c r="K52" i="19" s="1"/>
  <c r="L52" i="19" s="1"/>
  <c r="M52" i="19" s="1"/>
  <c r="N52" i="19" s="1"/>
  <c r="O52" i="19" s="1"/>
  <c r="P52" i="19" s="1"/>
  <c r="Q52" i="19" s="1"/>
  <c r="R52" i="19" s="1"/>
  <c r="S52" i="19" s="1"/>
  <c r="T52" i="19" s="1"/>
  <c r="U52" i="19" s="1"/>
  <c r="W52" i="19" s="1"/>
  <c r="X52" i="19" s="1"/>
  <c r="R34" i="18"/>
  <c r="R42" i="18"/>
  <c r="R43" i="18" s="1"/>
  <c r="U40" i="18"/>
  <c r="S27" i="18"/>
  <c r="S28" i="18" s="1"/>
  <c r="S33" i="18" s="1"/>
  <c r="T23" i="18"/>
  <c r="Q36" i="18"/>
  <c r="S27" i="17"/>
  <c r="S28" i="17" s="1"/>
  <c r="S33" i="17" s="1"/>
  <c r="T23" i="17"/>
  <c r="P13" i="16"/>
  <c r="P15" i="16"/>
  <c r="P17" i="16" s="1"/>
  <c r="P18" i="16" s="1"/>
  <c r="R6" i="16"/>
  <c r="Q7" i="16"/>
  <c r="Q8" i="16" s="1"/>
  <c r="O16" i="16"/>
  <c r="O14" i="16"/>
  <c r="T3" i="16"/>
  <c r="R33" i="15"/>
  <c r="R35" i="15"/>
  <c r="R37" i="15" s="1"/>
  <c r="R38" i="15" s="1"/>
  <c r="U41" i="15"/>
  <c r="S27" i="15"/>
  <c r="S28" i="15" s="1"/>
  <c r="T23" i="15"/>
  <c r="E52" i="15"/>
  <c r="F52" i="15" s="1"/>
  <c r="G52" i="15" s="1"/>
  <c r="H52" i="15" s="1"/>
  <c r="I52" i="15" s="1"/>
  <c r="J52" i="15" s="1"/>
  <c r="K52" i="15" s="1"/>
  <c r="L52" i="15" s="1"/>
  <c r="M52" i="15" s="1"/>
  <c r="N52" i="15" s="1"/>
  <c r="O52" i="15" s="1"/>
  <c r="P52" i="15" s="1"/>
  <c r="Q52" i="15" s="1"/>
  <c r="R52" i="15" s="1"/>
  <c r="S52" i="15" s="1"/>
  <c r="T52" i="15" s="1"/>
  <c r="U52" i="15" s="1"/>
  <c r="V52" i="15" s="1"/>
  <c r="W52" i="15" s="1"/>
  <c r="X52" i="15" s="1"/>
  <c r="Q34" i="15"/>
  <c r="Q36" i="15"/>
  <c r="Q43" i="15"/>
  <c r="Q44" i="15" s="1"/>
  <c r="L13" i="11"/>
  <c r="L14" i="11" s="1"/>
  <c r="O21" i="11"/>
  <c r="P22" i="11"/>
  <c r="M7" i="11"/>
  <c r="M8" i="11" s="1"/>
  <c r="M13" i="11" s="1"/>
  <c r="M14" i="11" s="1"/>
  <c r="O20" i="11"/>
  <c r="K27" i="11"/>
  <c r="J16" i="11"/>
  <c r="J15" i="11"/>
  <c r="J17" i="11" s="1"/>
  <c r="J18" i="11" s="1"/>
  <c r="J40" i="12"/>
  <c r="J41" i="12" s="1"/>
  <c r="J31" i="12"/>
  <c r="D25" i="10"/>
  <c r="D30" i="10" s="1"/>
  <c r="D21" i="10"/>
  <c r="L21" i="12"/>
  <c r="K25" i="12"/>
  <c r="K26" i="12" s="1"/>
  <c r="F13" i="10"/>
  <c r="E22" i="10"/>
  <c r="E23" i="10" s="1"/>
  <c r="E24" i="10" s="1"/>
  <c r="F22" i="10"/>
  <c r="F23" i="10" s="1"/>
  <c r="H12" i="10"/>
  <c r="I11" i="10"/>
  <c r="H6" i="10"/>
  <c r="G7" i="10"/>
  <c r="G8" i="10" s="1"/>
  <c r="M20" i="10"/>
  <c r="H43" i="12"/>
  <c r="H39" i="12"/>
  <c r="M30" i="12"/>
  <c r="N29" i="12"/>
  <c r="N38" i="12"/>
  <c r="F33" i="12"/>
  <c r="F35" i="12" s="1"/>
  <c r="F34" i="12"/>
  <c r="J5" i="10"/>
  <c r="Q44" i="17" l="1"/>
  <c r="Q45" i="17" s="1"/>
  <c r="Q41" i="17" s="1"/>
  <c r="J32" i="12"/>
  <c r="J42" i="12"/>
  <c r="R44" i="18"/>
  <c r="R45" i="18" s="1"/>
  <c r="R41" i="18" s="1"/>
  <c r="F24" i="10"/>
  <c r="T32" i="20"/>
  <c r="U38" i="20"/>
  <c r="V21" i="20"/>
  <c r="U25" i="20"/>
  <c r="U26" i="20" s="1"/>
  <c r="U31" i="20" s="1"/>
  <c r="Q34" i="20"/>
  <c r="Q33" i="20"/>
  <c r="Q35" i="20" s="1"/>
  <c r="R33" i="20"/>
  <c r="R35" i="20" s="1"/>
  <c r="R34" i="20"/>
  <c r="S32" i="20"/>
  <c r="T40" i="20"/>
  <c r="R34" i="17"/>
  <c r="R42" i="17"/>
  <c r="R43" i="17" s="1"/>
  <c r="T27" i="19"/>
  <c r="T28" i="19" s="1"/>
  <c r="U23" i="19"/>
  <c r="S33" i="19"/>
  <c r="S35" i="19"/>
  <c r="S37" i="19" s="1"/>
  <c r="S38" i="19" s="1"/>
  <c r="R34" i="19"/>
  <c r="R36" i="19"/>
  <c r="R43" i="19"/>
  <c r="R44" i="19" s="1"/>
  <c r="T27" i="18"/>
  <c r="T28" i="18" s="1"/>
  <c r="T33" i="18" s="1"/>
  <c r="U23" i="18"/>
  <c r="S34" i="18"/>
  <c r="S42" i="18"/>
  <c r="S43" i="18" s="1"/>
  <c r="Q38" i="18"/>
  <c r="S34" i="17"/>
  <c r="S42" i="17"/>
  <c r="S43" i="17" s="1"/>
  <c r="T27" i="17"/>
  <c r="U23" i="17"/>
  <c r="Q13" i="16"/>
  <c r="Q15" i="16"/>
  <c r="Q17" i="16" s="1"/>
  <c r="Q18" i="16" s="1"/>
  <c r="S6" i="16"/>
  <c r="R7" i="16"/>
  <c r="R8" i="16" s="1"/>
  <c r="P16" i="16"/>
  <c r="P14" i="16"/>
  <c r="T27" i="15"/>
  <c r="T28" i="15" s="1"/>
  <c r="U23" i="15"/>
  <c r="S33" i="15"/>
  <c r="S35" i="15"/>
  <c r="S37" i="15" s="1"/>
  <c r="S38" i="15" s="1"/>
  <c r="R34" i="15"/>
  <c r="R36" i="15"/>
  <c r="R43" i="15"/>
  <c r="R44" i="15" s="1"/>
  <c r="P21" i="11"/>
  <c r="Q22" i="11"/>
  <c r="N7" i="11"/>
  <c r="N8" i="11" s="1"/>
  <c r="N13" i="11" s="1"/>
  <c r="N14" i="11" s="1"/>
  <c r="K16" i="11"/>
  <c r="K15" i="11"/>
  <c r="K17" i="11" s="1"/>
  <c r="K18" i="11" s="1"/>
  <c r="L27" i="11"/>
  <c r="M27" i="11"/>
  <c r="P20" i="11"/>
  <c r="K40" i="12"/>
  <c r="K41" i="12" s="1"/>
  <c r="K31" i="12"/>
  <c r="D15" i="10"/>
  <c r="D17" i="10" s="1"/>
  <c r="D16" i="10"/>
  <c r="I6" i="10"/>
  <c r="H7" i="10"/>
  <c r="H8" i="10" s="1"/>
  <c r="N20" i="10"/>
  <c r="I12" i="10"/>
  <c r="J11" i="10"/>
  <c r="F14" i="10"/>
  <c r="H33" i="12"/>
  <c r="H35" i="12" s="1"/>
  <c r="H34" i="12"/>
  <c r="G13" i="10"/>
  <c r="G22" i="10"/>
  <c r="G23" i="10" s="1"/>
  <c r="E25" i="10"/>
  <c r="E30" i="10" s="1"/>
  <c r="E21" i="10"/>
  <c r="L25" i="12"/>
  <c r="L26" i="12" s="1"/>
  <c r="M21" i="12"/>
  <c r="C7" i="9"/>
  <c r="I39" i="12"/>
  <c r="I43" i="12"/>
  <c r="N30" i="12"/>
  <c r="O29" i="12"/>
  <c r="O38" i="12"/>
  <c r="F36" i="12"/>
  <c r="G36" i="12" s="1"/>
  <c r="N12" i="12"/>
  <c r="K5" i="10"/>
  <c r="E47" i="7"/>
  <c r="E48" i="6"/>
  <c r="E20" i="9"/>
  <c r="E21" i="9" s="1"/>
  <c r="E22" i="9" s="1"/>
  <c r="E23" i="9" s="1"/>
  <c r="E24" i="9" s="1"/>
  <c r="E25" i="9" s="1"/>
  <c r="B20" i="9"/>
  <c r="B21" i="9" s="1"/>
  <c r="B22" i="9" s="1"/>
  <c r="B23" i="9" s="1"/>
  <c r="B24" i="9" s="1"/>
  <c r="B25" i="9" s="1"/>
  <c r="E13" i="9"/>
  <c r="E14" i="9" s="1"/>
  <c r="E15" i="9" s="1"/>
  <c r="E16" i="9" s="1"/>
  <c r="E17" i="9" s="1"/>
  <c r="E18" i="9" s="1"/>
  <c r="B13" i="9"/>
  <c r="B14" i="9" s="1"/>
  <c r="B15" i="9" s="1"/>
  <c r="B16" i="9" s="1"/>
  <c r="B17" i="9" s="1"/>
  <c r="B18" i="9" s="1"/>
  <c r="E6" i="9"/>
  <c r="C6" i="9"/>
  <c r="E5" i="9"/>
  <c r="C5" i="9"/>
  <c r="E4" i="9"/>
  <c r="E3" i="9"/>
  <c r="E123" i="8"/>
  <c r="F117" i="8"/>
  <c r="E117" i="8"/>
  <c r="H115" i="8"/>
  <c r="H108" i="8"/>
  <c r="I108" i="8" s="1"/>
  <c r="J108" i="8" s="1"/>
  <c r="K108" i="8" s="1"/>
  <c r="L108" i="8" s="1"/>
  <c r="M108" i="8" s="1"/>
  <c r="N108" i="8" s="1"/>
  <c r="O108" i="8" s="1"/>
  <c r="P108" i="8" s="1"/>
  <c r="Q108" i="8" s="1"/>
  <c r="H107" i="8"/>
  <c r="I107" i="8" s="1"/>
  <c r="J107" i="8" s="1"/>
  <c r="K107" i="8" s="1"/>
  <c r="L107" i="8" s="1"/>
  <c r="M107" i="8" s="1"/>
  <c r="N107" i="8" s="1"/>
  <c r="O107" i="8" s="1"/>
  <c r="P107" i="8" s="1"/>
  <c r="Q107" i="8" s="1"/>
  <c r="E101" i="8"/>
  <c r="E95" i="8"/>
  <c r="H94" i="8"/>
  <c r="N84" i="8" s="1"/>
  <c r="C16" i="9" s="1"/>
  <c r="H91" i="8"/>
  <c r="I91" i="8" s="1"/>
  <c r="J91" i="8" s="1"/>
  <c r="K91" i="8" s="1"/>
  <c r="L91" i="8" s="1"/>
  <c r="M91" i="8" s="1"/>
  <c r="N91" i="8" s="1"/>
  <c r="O91" i="8" s="1"/>
  <c r="P91" i="8" s="1"/>
  <c r="Q91" i="8" s="1"/>
  <c r="E90" i="8"/>
  <c r="H90" i="8" s="1"/>
  <c r="I90" i="8" s="1"/>
  <c r="J90" i="8" s="1"/>
  <c r="K90" i="8" s="1"/>
  <c r="L90" i="8" s="1"/>
  <c r="M90" i="8" s="1"/>
  <c r="N90" i="8" s="1"/>
  <c r="O90" i="8" s="1"/>
  <c r="P90" i="8" s="1"/>
  <c r="Q90" i="8" s="1"/>
  <c r="F84" i="8"/>
  <c r="E84" i="8"/>
  <c r="H77" i="8"/>
  <c r="H74" i="8"/>
  <c r="I74" i="8" s="1"/>
  <c r="J74" i="8" s="1"/>
  <c r="K74" i="8" s="1"/>
  <c r="L74" i="8" s="1"/>
  <c r="M74" i="8" s="1"/>
  <c r="N74" i="8" s="1"/>
  <c r="O74" i="8" s="1"/>
  <c r="P74" i="8" s="1"/>
  <c r="Q74" i="8" s="1"/>
  <c r="E73" i="8"/>
  <c r="H73" i="8" s="1"/>
  <c r="I73" i="8" s="1"/>
  <c r="J73" i="8" s="1"/>
  <c r="K73" i="8" s="1"/>
  <c r="L73" i="8" s="1"/>
  <c r="M73" i="8" s="1"/>
  <c r="N73" i="8" s="1"/>
  <c r="O73" i="8" s="1"/>
  <c r="P73" i="8" s="1"/>
  <c r="Q73" i="8" s="1"/>
  <c r="F67" i="8"/>
  <c r="E67" i="8"/>
  <c r="E53" i="8"/>
  <c r="F49" i="8"/>
  <c r="E49" i="8"/>
  <c r="H45" i="8"/>
  <c r="J54" i="8" s="1"/>
  <c r="E34" i="8"/>
  <c r="F33" i="8"/>
  <c r="H32" i="8"/>
  <c r="E32" i="8"/>
  <c r="J31" i="8"/>
  <c r="F28" i="8"/>
  <c r="H83" i="8"/>
  <c r="H94" i="2"/>
  <c r="I94" i="2" s="1"/>
  <c r="J94" i="2" s="1"/>
  <c r="K94" i="2" s="1"/>
  <c r="L94" i="2" s="1"/>
  <c r="M94" i="2" s="1"/>
  <c r="N94" i="2" s="1"/>
  <c r="O94" i="2" s="1"/>
  <c r="P94" i="2" s="1"/>
  <c r="Q94" i="2" s="1"/>
  <c r="O84" i="2" s="1"/>
  <c r="D23" i="9" s="1"/>
  <c r="H107" i="2"/>
  <c r="I107" i="2" s="1"/>
  <c r="J107" i="2" s="1"/>
  <c r="K107" i="2" s="1"/>
  <c r="L107" i="2" s="1"/>
  <c r="M107" i="2" s="1"/>
  <c r="N107" i="2" s="1"/>
  <c r="O107" i="2" s="1"/>
  <c r="P107" i="2" s="1"/>
  <c r="Q107" i="2" s="1"/>
  <c r="H111" i="2"/>
  <c r="I111" i="2" s="1"/>
  <c r="J111" i="2" s="1"/>
  <c r="H108" i="2"/>
  <c r="I108" i="2" s="1"/>
  <c r="J108" i="2" s="1"/>
  <c r="K108" i="2" s="1"/>
  <c r="L108" i="2" s="1"/>
  <c r="M108" i="2" s="1"/>
  <c r="N108" i="2" s="1"/>
  <c r="O108" i="2" s="1"/>
  <c r="P108" i="2" s="1"/>
  <c r="Q108" i="2" s="1"/>
  <c r="E95" i="2"/>
  <c r="E53" i="2"/>
  <c r="E90" i="2"/>
  <c r="H90" i="2" s="1"/>
  <c r="I90" i="2" s="1"/>
  <c r="J90" i="2" s="1"/>
  <c r="K90" i="2" s="1"/>
  <c r="L90" i="2" s="1"/>
  <c r="M90" i="2" s="1"/>
  <c r="N90" i="2" s="1"/>
  <c r="O90" i="2" s="1"/>
  <c r="P90" i="2" s="1"/>
  <c r="Q90" i="2" s="1"/>
  <c r="H91" i="2"/>
  <c r="I91" i="2" s="1"/>
  <c r="J91" i="2" s="1"/>
  <c r="K91" i="2" s="1"/>
  <c r="L91" i="2" s="1"/>
  <c r="M91" i="2" s="1"/>
  <c r="N91" i="2" s="1"/>
  <c r="O91" i="2" s="1"/>
  <c r="P91" i="2" s="1"/>
  <c r="Q91" i="2" s="1"/>
  <c r="H77" i="2"/>
  <c r="N67" i="2" s="1"/>
  <c r="C22" i="9" s="1"/>
  <c r="H74" i="2"/>
  <c r="I74" i="2" s="1"/>
  <c r="J74" i="2" s="1"/>
  <c r="K74" i="2" s="1"/>
  <c r="L74" i="2" s="1"/>
  <c r="M74" i="2" s="1"/>
  <c r="N74" i="2" s="1"/>
  <c r="O74" i="2" s="1"/>
  <c r="P74" i="2" s="1"/>
  <c r="Q74" i="2" s="1"/>
  <c r="E73" i="2"/>
  <c r="H73" i="2" s="1"/>
  <c r="I73" i="2" s="1"/>
  <c r="J73" i="2" s="1"/>
  <c r="K73" i="2" s="1"/>
  <c r="L73" i="2" s="1"/>
  <c r="M73" i="2" s="1"/>
  <c r="N73" i="2" s="1"/>
  <c r="O73" i="2" s="1"/>
  <c r="P73" i="2" s="1"/>
  <c r="Q73" i="2" s="1"/>
  <c r="H32" i="2"/>
  <c r="R36" i="18" l="1"/>
  <c r="R35" i="18"/>
  <c r="R37" i="18" s="1"/>
  <c r="Q36" i="17"/>
  <c r="Q35" i="17"/>
  <c r="Q37" i="17" s="1"/>
  <c r="Q38" i="17" s="1"/>
  <c r="S44" i="18"/>
  <c r="S45" i="18" s="1"/>
  <c r="S41" i="18" s="1"/>
  <c r="K32" i="12"/>
  <c r="K42" i="12"/>
  <c r="S44" i="17"/>
  <c r="S45" i="17" s="1"/>
  <c r="S41" i="17" s="1"/>
  <c r="H37" i="8"/>
  <c r="I37" i="8" s="1"/>
  <c r="J37" i="8" s="1"/>
  <c r="K37" i="8" s="1"/>
  <c r="L37" i="8" s="1"/>
  <c r="M37" i="8" s="1"/>
  <c r="N37" i="8" s="1"/>
  <c r="O37" i="8" s="1"/>
  <c r="P37" i="8" s="1"/>
  <c r="Q37" i="8" s="1"/>
  <c r="H81" i="8"/>
  <c r="G24" i="10"/>
  <c r="R44" i="17"/>
  <c r="R45" i="17" s="1"/>
  <c r="R41" i="17" s="1"/>
  <c r="H38" i="8"/>
  <c r="I38" i="8" s="1"/>
  <c r="J38" i="8" s="1"/>
  <c r="K38" i="8" s="1"/>
  <c r="L38" i="8" s="1"/>
  <c r="M38" i="8" s="1"/>
  <c r="N38" i="8" s="1"/>
  <c r="O38" i="8" s="1"/>
  <c r="P38" i="8" s="1"/>
  <c r="Q38" i="8" s="1"/>
  <c r="T39" i="20"/>
  <c r="U32" i="20"/>
  <c r="U40" i="20"/>
  <c r="S39" i="20"/>
  <c r="V25" i="20"/>
  <c r="V26" i="20"/>
  <c r="V31" i="20" s="1"/>
  <c r="V38" i="20"/>
  <c r="T28" i="17"/>
  <c r="T33" i="17" s="1"/>
  <c r="H36" i="12"/>
  <c r="T33" i="19"/>
  <c r="T35" i="19"/>
  <c r="T37" i="19" s="1"/>
  <c r="T38" i="19" s="1"/>
  <c r="S34" i="19"/>
  <c r="S36" i="19"/>
  <c r="S43" i="19"/>
  <c r="S44" i="19" s="1"/>
  <c r="U27" i="19"/>
  <c r="U28" i="19" s="1"/>
  <c r="U27" i="18"/>
  <c r="U28" i="18" s="1"/>
  <c r="U33" i="18" s="1"/>
  <c r="T34" i="18"/>
  <c r="T42" i="18"/>
  <c r="T43" i="18" s="1"/>
  <c r="R38" i="18"/>
  <c r="U27" i="17"/>
  <c r="R13" i="16"/>
  <c r="R15" i="16"/>
  <c r="R17" i="16" s="1"/>
  <c r="R18" i="16" s="1"/>
  <c r="T6" i="16"/>
  <c r="T7" i="16" s="1"/>
  <c r="T8" i="16" s="1"/>
  <c r="T15" i="16" s="1"/>
  <c r="T17" i="16" s="1"/>
  <c r="S7" i="16"/>
  <c r="S8" i="16" s="1"/>
  <c r="Q14" i="16"/>
  <c r="Q16" i="16"/>
  <c r="T13" i="16"/>
  <c r="U27" i="15"/>
  <c r="U28" i="15" s="1"/>
  <c r="T33" i="15"/>
  <c r="T35" i="15"/>
  <c r="T37" i="15" s="1"/>
  <c r="T38" i="15" s="1"/>
  <c r="S34" i="15"/>
  <c r="S36" i="15"/>
  <c r="S43" i="15"/>
  <c r="S44" i="15" s="1"/>
  <c r="Q21" i="11"/>
  <c r="R22" i="11"/>
  <c r="O7" i="11"/>
  <c r="O8" i="11" s="1"/>
  <c r="O13" i="11" s="1"/>
  <c r="O14" i="11" s="1"/>
  <c r="M15" i="11"/>
  <c r="M17" i="11" s="1"/>
  <c r="M16" i="11"/>
  <c r="Q20" i="11"/>
  <c r="L15" i="11"/>
  <c r="L17" i="11" s="1"/>
  <c r="L18" i="11" s="1"/>
  <c r="L16" i="11"/>
  <c r="M28" i="11"/>
  <c r="F8" i="9" s="1"/>
  <c r="N16" i="11"/>
  <c r="N15" i="11"/>
  <c r="N17" i="11" s="1"/>
  <c r="I77" i="2"/>
  <c r="J77" i="2" s="1"/>
  <c r="K111" i="2"/>
  <c r="N101" i="2"/>
  <c r="C24" i="9" s="1"/>
  <c r="F21" i="10"/>
  <c r="F25" i="10"/>
  <c r="F30" i="10" s="1"/>
  <c r="L40" i="12"/>
  <c r="L41" i="12" s="1"/>
  <c r="L31" i="12"/>
  <c r="J43" i="12"/>
  <c r="J39" i="12"/>
  <c r="G14" i="10"/>
  <c r="O20" i="10"/>
  <c r="H98" i="8"/>
  <c r="I34" i="12"/>
  <c r="I33" i="12"/>
  <c r="I35" i="12" s="1"/>
  <c r="I36" i="12" s="1"/>
  <c r="E16" i="10"/>
  <c r="E15" i="10"/>
  <c r="E17" i="10" s="1"/>
  <c r="J12" i="10"/>
  <c r="K11" i="10"/>
  <c r="H13" i="10"/>
  <c r="H24" i="10" s="1"/>
  <c r="H22" i="10"/>
  <c r="H23" i="10" s="1"/>
  <c r="M25" i="12"/>
  <c r="M26" i="12" s="1"/>
  <c r="N21" i="12"/>
  <c r="J6" i="10"/>
  <c r="I7" i="10"/>
  <c r="I8" i="10" s="1"/>
  <c r="P38" i="12"/>
  <c r="L5" i="10"/>
  <c r="H53" i="8"/>
  <c r="I53" i="8" s="1"/>
  <c r="J53" i="8" s="1"/>
  <c r="K53" i="8" s="1"/>
  <c r="L53" i="8" s="1"/>
  <c r="M53" i="8" s="1"/>
  <c r="N53" i="8" s="1"/>
  <c r="O53" i="8" s="1"/>
  <c r="P53" i="8" s="1"/>
  <c r="Q53" i="8" s="1"/>
  <c r="J45" i="8"/>
  <c r="H40" i="8"/>
  <c r="P39" i="8"/>
  <c r="L39" i="8"/>
  <c r="H39" i="8"/>
  <c r="O39" i="8"/>
  <c r="J39" i="8"/>
  <c r="J32" i="8"/>
  <c r="L32" i="8" s="1"/>
  <c r="N39" i="8"/>
  <c r="M39" i="8"/>
  <c r="Q39" i="8"/>
  <c r="K39" i="8"/>
  <c r="I39" i="8"/>
  <c r="Q92" i="8"/>
  <c r="Q93" i="8" s="1"/>
  <c r="M92" i="8"/>
  <c r="I92" i="8"/>
  <c r="O92" i="8"/>
  <c r="K92" i="8"/>
  <c r="L92" i="8"/>
  <c r="P92" i="8"/>
  <c r="H92" i="8"/>
  <c r="O54" i="8"/>
  <c r="K54" i="8"/>
  <c r="Q54" i="8"/>
  <c r="M54" i="8"/>
  <c r="I54" i="8"/>
  <c r="H47" i="8"/>
  <c r="N54" i="8"/>
  <c r="J92" i="8"/>
  <c r="I111" i="8"/>
  <c r="I115" i="8" s="1"/>
  <c r="N101" i="8"/>
  <c r="C17" i="9" s="1"/>
  <c r="H54" i="8"/>
  <c r="P54" i="8"/>
  <c r="N92" i="8"/>
  <c r="H85" i="8"/>
  <c r="H84" i="8" s="1"/>
  <c r="E96" i="8"/>
  <c r="H116" i="8"/>
  <c r="E85" i="8"/>
  <c r="E68" i="8"/>
  <c r="E54" i="8"/>
  <c r="H100" i="8"/>
  <c r="H66" i="8"/>
  <c r="L54" i="8"/>
  <c r="I77" i="8"/>
  <c r="I81" i="8" s="1"/>
  <c r="N67" i="8"/>
  <c r="C15" i="9" s="1"/>
  <c r="E118" i="8"/>
  <c r="I94" i="8"/>
  <c r="I98" i="8" s="1"/>
  <c r="N84" i="2"/>
  <c r="C23" i="9" s="1"/>
  <c r="L39" i="2"/>
  <c r="I39" i="2"/>
  <c r="K39" i="2"/>
  <c r="M39" i="2"/>
  <c r="N39" i="2"/>
  <c r="P39" i="2"/>
  <c r="Q39" i="2"/>
  <c r="H39" i="2"/>
  <c r="F28" i="2"/>
  <c r="J32" i="2"/>
  <c r="L32" i="2" s="1"/>
  <c r="J31" i="2"/>
  <c r="H40" i="2" s="1"/>
  <c r="F49" i="2"/>
  <c r="F33" i="2"/>
  <c r="E33" i="2"/>
  <c r="E32" i="2"/>
  <c r="S35" i="18" l="1"/>
  <c r="S37" i="18" s="1"/>
  <c r="S36" i="18"/>
  <c r="R36" i="17"/>
  <c r="R35" i="17"/>
  <c r="R37" i="17" s="1"/>
  <c r="R38" i="17" s="1"/>
  <c r="S38" i="17" s="1"/>
  <c r="S35" i="17"/>
  <c r="S37" i="17" s="1"/>
  <c r="S36" i="17"/>
  <c r="T44" i="18"/>
  <c r="T45" i="18" s="1"/>
  <c r="T41" i="18" s="1"/>
  <c r="L32" i="12"/>
  <c r="L42" i="12"/>
  <c r="V40" i="20"/>
  <c r="U39" i="20"/>
  <c r="V32" i="20"/>
  <c r="S34" i="20"/>
  <c r="S33" i="20"/>
  <c r="S35" i="20" s="1"/>
  <c r="T33" i="20"/>
  <c r="T35" i="20" s="1"/>
  <c r="T34" i="20"/>
  <c r="T34" i="17"/>
  <c r="T42" i="17"/>
  <c r="T43" i="17" s="1"/>
  <c r="U28" i="17"/>
  <c r="U33" i="17" s="1"/>
  <c r="U33" i="19"/>
  <c r="U35" i="19"/>
  <c r="U37" i="19" s="1"/>
  <c r="U38" i="19" s="1"/>
  <c r="T34" i="19"/>
  <c r="T36" i="19"/>
  <c r="T43" i="19"/>
  <c r="T44" i="19" s="1"/>
  <c r="U34" i="18"/>
  <c r="U42" i="18"/>
  <c r="U43" i="18" s="1"/>
  <c r="S38" i="18"/>
  <c r="R16" i="16"/>
  <c r="R14" i="16"/>
  <c r="S15" i="16"/>
  <c r="S17" i="16" s="1"/>
  <c r="S18" i="16" s="1"/>
  <c r="S13" i="16"/>
  <c r="T14" i="16"/>
  <c r="T16" i="16"/>
  <c r="T18" i="16"/>
  <c r="U33" i="15"/>
  <c r="U35" i="15"/>
  <c r="U37" i="15" s="1"/>
  <c r="U38" i="15" s="1"/>
  <c r="T34" i="15"/>
  <c r="T36" i="15"/>
  <c r="T43" i="15"/>
  <c r="T44" i="15" s="1"/>
  <c r="S22" i="11"/>
  <c r="R21" i="11"/>
  <c r="P7" i="11"/>
  <c r="P8" i="11" s="1"/>
  <c r="P13" i="11" s="1"/>
  <c r="P14" i="11" s="1"/>
  <c r="M18" i="11"/>
  <c r="N18" i="11" s="1"/>
  <c r="R20" i="11"/>
  <c r="H44" i="8"/>
  <c r="I13" i="10"/>
  <c r="I22" i="10"/>
  <c r="I23" i="10" s="1"/>
  <c r="M40" i="12"/>
  <c r="M41" i="12" s="1"/>
  <c r="M31" i="12"/>
  <c r="H53" i="2"/>
  <c r="I53" i="2" s="1"/>
  <c r="J53" i="2" s="1"/>
  <c r="K53" i="2" s="1"/>
  <c r="L53" i="2" s="1"/>
  <c r="M53" i="2" s="1"/>
  <c r="N53" i="2" s="1"/>
  <c r="O53" i="2" s="1"/>
  <c r="P53" i="2" s="1"/>
  <c r="Q53" i="2" s="1"/>
  <c r="N98" i="2"/>
  <c r="K98" i="2"/>
  <c r="J98" i="2"/>
  <c r="O98" i="2"/>
  <c r="J81" i="2"/>
  <c r="M98" i="2"/>
  <c r="L11" i="10"/>
  <c r="K12" i="10"/>
  <c r="P20" i="10"/>
  <c r="H115" i="2"/>
  <c r="K6" i="10"/>
  <c r="J7" i="10"/>
  <c r="J8" i="10" s="1"/>
  <c r="H98" i="2"/>
  <c r="I115" i="2"/>
  <c r="H37" i="2"/>
  <c r="K39" i="12"/>
  <c r="K43" i="12"/>
  <c r="G25" i="10"/>
  <c r="G30" i="10" s="1"/>
  <c r="G21" i="10"/>
  <c r="J33" i="12"/>
  <c r="J35" i="12" s="1"/>
  <c r="J36" i="12" s="1"/>
  <c r="J34" i="12"/>
  <c r="H81" i="2"/>
  <c r="I81" i="2"/>
  <c r="L98" i="2"/>
  <c r="L111" i="2"/>
  <c r="K115" i="2"/>
  <c r="I98" i="2"/>
  <c r="N25" i="12"/>
  <c r="N26" i="12" s="1"/>
  <c r="O21" i="12"/>
  <c r="Q98" i="2"/>
  <c r="H14" i="10"/>
  <c r="P98" i="2"/>
  <c r="F16" i="10"/>
  <c r="F15" i="10"/>
  <c r="F17" i="10" s="1"/>
  <c r="J115" i="2"/>
  <c r="Q38" i="12"/>
  <c r="M5" i="10"/>
  <c r="Q125" i="8"/>
  <c r="M125" i="8"/>
  <c r="I125" i="8"/>
  <c r="O125" i="8"/>
  <c r="K125" i="8"/>
  <c r="H118" i="8"/>
  <c r="P125" i="8"/>
  <c r="H125" i="8"/>
  <c r="L125" i="8"/>
  <c r="N125" i="8"/>
  <c r="J125" i="8"/>
  <c r="J94" i="8"/>
  <c r="J98" i="8" s="1"/>
  <c r="J111" i="8"/>
  <c r="J115" i="8" s="1"/>
  <c r="O75" i="8"/>
  <c r="K75" i="8"/>
  <c r="Q75" i="8"/>
  <c r="Q76" i="8" s="1"/>
  <c r="M75" i="8"/>
  <c r="I75" i="8"/>
  <c r="L75" i="8"/>
  <c r="J75" i="8"/>
  <c r="P75" i="8"/>
  <c r="H75" i="8"/>
  <c r="N75" i="8"/>
  <c r="H68" i="8"/>
  <c r="H67" i="8" s="1"/>
  <c r="H46" i="8"/>
  <c r="H49" i="8" s="1"/>
  <c r="N31" i="8"/>
  <c r="C13" i="9" s="1"/>
  <c r="I40" i="8"/>
  <c r="I44" i="8" s="1"/>
  <c r="Q109" i="8"/>
  <c r="Q110" i="8" s="1"/>
  <c r="M109" i="8"/>
  <c r="I109" i="8"/>
  <c r="O109" i="8"/>
  <c r="K109" i="8"/>
  <c r="J109" i="8"/>
  <c r="N109" i="8"/>
  <c r="H102" i="8"/>
  <c r="H109" i="8"/>
  <c r="P109" i="8"/>
  <c r="L109" i="8"/>
  <c r="H52" i="8"/>
  <c r="H123" i="8"/>
  <c r="I123" i="8" s="1"/>
  <c r="J123" i="8" s="1"/>
  <c r="K123" i="8" s="1"/>
  <c r="L123" i="8" s="1"/>
  <c r="M123" i="8" s="1"/>
  <c r="N123" i="8" s="1"/>
  <c r="O123" i="8" s="1"/>
  <c r="P123" i="8" s="1"/>
  <c r="Q123" i="8" s="1"/>
  <c r="J116" i="8"/>
  <c r="H56" i="8"/>
  <c r="H60" i="8" s="1"/>
  <c r="J77" i="8"/>
  <c r="J81" i="8" s="1"/>
  <c r="P87" i="8"/>
  <c r="L87" i="8"/>
  <c r="H87" i="8"/>
  <c r="N87" i="8"/>
  <c r="I87" i="8"/>
  <c r="Q87" i="8"/>
  <c r="K87" i="8"/>
  <c r="M87" i="8"/>
  <c r="J87" i="8"/>
  <c r="O87" i="8"/>
  <c r="O34" i="8"/>
  <c r="K34" i="8"/>
  <c r="Q34" i="8"/>
  <c r="M34" i="8"/>
  <c r="I34" i="8"/>
  <c r="P34" i="8"/>
  <c r="L34" i="8"/>
  <c r="H34" i="8"/>
  <c r="H35" i="8" s="1"/>
  <c r="N34" i="8"/>
  <c r="J34" i="8"/>
  <c r="F37" i="8"/>
  <c r="Q34" i="2"/>
  <c r="M34" i="2"/>
  <c r="J34" i="2"/>
  <c r="N34" i="2"/>
  <c r="P34" i="2"/>
  <c r="O34" i="2"/>
  <c r="K34" i="2"/>
  <c r="I34" i="2"/>
  <c r="L34" i="2"/>
  <c r="H34" i="2"/>
  <c r="H35" i="2" s="1"/>
  <c r="H36" i="2" s="1"/>
  <c r="I37" i="2"/>
  <c r="J37" i="2" s="1"/>
  <c r="K37" i="2" s="1"/>
  <c r="L37" i="2" s="1"/>
  <c r="M37" i="2" s="1"/>
  <c r="N37" i="2" s="1"/>
  <c r="O37" i="2" s="1"/>
  <c r="P37" i="2" s="1"/>
  <c r="Q37" i="2" s="1"/>
  <c r="J45" i="2"/>
  <c r="K77" i="2"/>
  <c r="K81" i="2" s="1"/>
  <c r="O39" i="2"/>
  <c r="J39" i="2"/>
  <c r="T36" i="18" l="1"/>
  <c r="T35" i="18"/>
  <c r="T37" i="18" s="1"/>
  <c r="M32" i="12"/>
  <c r="M42" i="12"/>
  <c r="I24" i="10"/>
  <c r="T45" i="17"/>
  <c r="T41" i="17" s="1"/>
  <c r="T44" i="17"/>
  <c r="U45" i="18"/>
  <c r="U41" i="18" s="1"/>
  <c r="U44" i="18"/>
  <c r="V39" i="20"/>
  <c r="U34" i="20"/>
  <c r="U33" i="20"/>
  <c r="U35" i="20" s="1"/>
  <c r="U42" i="17"/>
  <c r="U43" i="17" s="1"/>
  <c r="U34" i="17"/>
  <c r="B19" i="16"/>
  <c r="U34" i="19"/>
  <c r="U36" i="19"/>
  <c r="U43" i="19"/>
  <c r="U44" i="19" s="1"/>
  <c r="T38" i="18"/>
  <c r="S14" i="16"/>
  <c r="S16" i="16"/>
  <c r="U34" i="15"/>
  <c r="U36" i="15"/>
  <c r="U43" i="15"/>
  <c r="U44" i="15" s="1"/>
  <c r="B39" i="15"/>
  <c r="S21" i="11"/>
  <c r="T22" i="11"/>
  <c r="T21" i="11" s="1"/>
  <c r="Q7" i="11"/>
  <c r="Q8" i="11" s="1"/>
  <c r="Q13" i="11" s="1"/>
  <c r="Q14" i="11" s="1"/>
  <c r="S20" i="11"/>
  <c r="O16" i="11"/>
  <c r="O15" i="11"/>
  <c r="O17" i="11" s="1"/>
  <c r="O18" i="11" s="1"/>
  <c r="P15" i="11"/>
  <c r="P17" i="11" s="1"/>
  <c r="P16" i="11"/>
  <c r="K34" i="12"/>
  <c r="K33" i="12"/>
  <c r="K35" i="12" s="1"/>
  <c r="K36" i="12" s="1"/>
  <c r="L6" i="10"/>
  <c r="K7" i="10"/>
  <c r="K8" i="10" s="1"/>
  <c r="M111" i="2"/>
  <c r="L115" i="2"/>
  <c r="P21" i="12"/>
  <c r="O25" i="12"/>
  <c r="O26" i="12" s="1"/>
  <c r="I40" i="2"/>
  <c r="N31" i="2"/>
  <c r="C20" i="9" s="1"/>
  <c r="H44" i="2"/>
  <c r="R98" i="2"/>
  <c r="F23" i="9" s="1"/>
  <c r="I14" i="10"/>
  <c r="L43" i="12"/>
  <c r="L39" i="12"/>
  <c r="N40" i="12"/>
  <c r="N41" i="12" s="1"/>
  <c r="N31" i="12"/>
  <c r="L12" i="10"/>
  <c r="M11" i="10"/>
  <c r="H21" i="10"/>
  <c r="H25" i="10"/>
  <c r="H30" i="10" s="1"/>
  <c r="G16" i="10"/>
  <c r="G15" i="10"/>
  <c r="G17" i="10" s="1"/>
  <c r="J13" i="10"/>
  <c r="J24" i="10" s="1"/>
  <c r="J22" i="10"/>
  <c r="J23" i="10" s="1"/>
  <c r="Q20" i="10"/>
  <c r="R38" i="12"/>
  <c r="N5" i="10"/>
  <c r="I35" i="8"/>
  <c r="H36" i="8"/>
  <c r="H41" i="8" s="1"/>
  <c r="H42" i="8" s="1"/>
  <c r="I52" i="8"/>
  <c r="J52" i="8" s="1"/>
  <c r="K52" i="8" s="1"/>
  <c r="L52" i="8" s="1"/>
  <c r="M52" i="8" s="1"/>
  <c r="N52" i="8" s="1"/>
  <c r="O52" i="8" s="1"/>
  <c r="P52" i="8" s="1"/>
  <c r="Q52" i="8" s="1"/>
  <c r="Q55" i="8" s="1"/>
  <c r="P70" i="8"/>
  <c r="L70" i="8"/>
  <c r="H70" i="8"/>
  <c r="N70" i="8"/>
  <c r="J70" i="8"/>
  <c r="K70" i="8"/>
  <c r="I70" i="8"/>
  <c r="O70" i="8"/>
  <c r="M70" i="8"/>
  <c r="Q70" i="8"/>
  <c r="I56" i="8"/>
  <c r="I60" i="8" s="1"/>
  <c r="N46" i="8"/>
  <c r="C14" i="9" s="1"/>
  <c r="O49" i="8"/>
  <c r="K49" i="8"/>
  <c r="M49" i="8"/>
  <c r="H50" i="8"/>
  <c r="L49" i="8"/>
  <c r="P49" i="8"/>
  <c r="J49" i="8"/>
  <c r="N49" i="8"/>
  <c r="I49" i="8"/>
  <c r="Q49" i="8"/>
  <c r="H127" i="8"/>
  <c r="H131" i="8" s="1"/>
  <c r="H124" i="8"/>
  <c r="I124" i="8" s="1"/>
  <c r="J124" i="8" s="1"/>
  <c r="K124" i="8" s="1"/>
  <c r="L124" i="8" s="1"/>
  <c r="M124" i="8" s="1"/>
  <c r="N124" i="8" s="1"/>
  <c r="O124" i="8" s="1"/>
  <c r="P124" i="8" s="1"/>
  <c r="Q124" i="8" s="1"/>
  <c r="H101" i="8"/>
  <c r="J40" i="8"/>
  <c r="J44" i="8" s="1"/>
  <c r="H88" i="8"/>
  <c r="K77" i="8"/>
  <c r="K81" i="8" s="1"/>
  <c r="H117" i="8"/>
  <c r="K94" i="8"/>
  <c r="K98" i="8" s="1"/>
  <c r="K111" i="8"/>
  <c r="K115" i="8" s="1"/>
  <c r="H52" i="2"/>
  <c r="I52" i="2" s="1"/>
  <c r="J52" i="2" s="1"/>
  <c r="K52" i="2" s="1"/>
  <c r="L52" i="2" s="1"/>
  <c r="M52" i="2" s="1"/>
  <c r="N52" i="2" s="1"/>
  <c r="O52" i="2" s="1"/>
  <c r="P52" i="2" s="1"/>
  <c r="Q52" i="2" s="1"/>
  <c r="J116" i="2"/>
  <c r="H56" i="2"/>
  <c r="I35" i="2"/>
  <c r="I36" i="2" s="1"/>
  <c r="L77" i="2"/>
  <c r="L81" i="2" s="1"/>
  <c r="U35" i="18" l="1"/>
  <c r="U37" i="18" s="1"/>
  <c r="U36" i="18"/>
  <c r="U44" i="17"/>
  <c r="U45" i="17" s="1"/>
  <c r="N32" i="12"/>
  <c r="N42" i="12"/>
  <c r="T36" i="17"/>
  <c r="T35" i="17"/>
  <c r="T37" i="17" s="1"/>
  <c r="T38" i="17" s="1"/>
  <c r="I46" i="18"/>
  <c r="W45" i="18"/>
  <c r="U38" i="18"/>
  <c r="V33" i="20"/>
  <c r="V35" i="20" s="1"/>
  <c r="V34" i="20"/>
  <c r="E51" i="18"/>
  <c r="F51" i="18" s="1"/>
  <c r="G51" i="18" s="1"/>
  <c r="H51" i="18" s="1"/>
  <c r="I51" i="18" s="1"/>
  <c r="J51" i="18" s="1"/>
  <c r="K51" i="18" s="1"/>
  <c r="L51" i="18" s="1"/>
  <c r="M51" i="18" s="1"/>
  <c r="N51" i="18" s="1"/>
  <c r="O51" i="18" s="1"/>
  <c r="P51" i="18" s="1"/>
  <c r="Q51" i="18" s="1"/>
  <c r="R51" i="18" s="1"/>
  <c r="S51" i="18" s="1"/>
  <c r="T51" i="18" s="1"/>
  <c r="U51" i="18" s="1"/>
  <c r="W46" i="15"/>
  <c r="R7" i="11"/>
  <c r="R8" i="11" s="1"/>
  <c r="R13" i="11" s="1"/>
  <c r="R14" i="11" s="1"/>
  <c r="P18" i="11"/>
  <c r="Q16" i="11"/>
  <c r="Q15" i="11"/>
  <c r="Q17" i="11" s="1"/>
  <c r="T20" i="11"/>
  <c r="N39" i="12"/>
  <c r="O31" i="12"/>
  <c r="O40" i="12"/>
  <c r="O41" i="12" s="1"/>
  <c r="K13" i="10"/>
  <c r="K24" i="10" s="1"/>
  <c r="K22" i="10"/>
  <c r="K23" i="10" s="1"/>
  <c r="N46" i="2"/>
  <c r="C21" i="9" s="1"/>
  <c r="H60" i="2"/>
  <c r="I56" i="2"/>
  <c r="I60" i="2" s="1"/>
  <c r="L33" i="12"/>
  <c r="L35" i="12" s="1"/>
  <c r="L36" i="12" s="1"/>
  <c r="L34" i="12"/>
  <c r="N111" i="2"/>
  <c r="M115" i="2"/>
  <c r="R20" i="10"/>
  <c r="I44" i="2"/>
  <c r="J40" i="2"/>
  <c r="M6" i="10"/>
  <c r="L7" i="10"/>
  <c r="L8" i="10" s="1"/>
  <c r="M43" i="12"/>
  <c r="M39" i="12"/>
  <c r="J14" i="10"/>
  <c r="H16" i="10"/>
  <c r="H15" i="10"/>
  <c r="H17" i="10" s="1"/>
  <c r="I25" i="10"/>
  <c r="I30" i="10" s="1"/>
  <c r="I21" i="10"/>
  <c r="Q21" i="12"/>
  <c r="P25" i="12"/>
  <c r="P26" i="12" s="1"/>
  <c r="S38" i="12"/>
  <c r="O5" i="10"/>
  <c r="H51" i="8"/>
  <c r="H55" i="8" s="1"/>
  <c r="H57" i="8" s="1"/>
  <c r="H58" i="8" s="1"/>
  <c r="I50" i="8"/>
  <c r="I88" i="8"/>
  <c r="H89" i="8"/>
  <c r="L111" i="8"/>
  <c r="L115" i="8" s="1"/>
  <c r="N120" i="8"/>
  <c r="J120" i="8"/>
  <c r="P120" i="8"/>
  <c r="L120" i="8"/>
  <c r="H120" i="8"/>
  <c r="H121" i="8" s="1"/>
  <c r="O120" i="8"/>
  <c r="K120" i="8"/>
  <c r="M120" i="8"/>
  <c r="I120" i="8"/>
  <c r="K40" i="8"/>
  <c r="K44" i="8" s="1"/>
  <c r="I36" i="8"/>
  <c r="I41" i="8" s="1"/>
  <c r="I42" i="8" s="1"/>
  <c r="J35" i="8"/>
  <c r="L94" i="8"/>
  <c r="L98" i="8" s="1"/>
  <c r="L77" i="8"/>
  <c r="L81" i="8" s="1"/>
  <c r="N104" i="8"/>
  <c r="J104" i="8"/>
  <c r="P104" i="8"/>
  <c r="L104" i="8"/>
  <c r="H104" i="8"/>
  <c r="H105" i="8" s="1"/>
  <c r="K104" i="8"/>
  <c r="O104" i="8"/>
  <c r="M104" i="8"/>
  <c r="I104" i="8"/>
  <c r="Q104" i="8"/>
  <c r="H71" i="8"/>
  <c r="J56" i="8"/>
  <c r="J60" i="8" s="1"/>
  <c r="I127" i="8"/>
  <c r="I131" i="8" s="1"/>
  <c r="N117" i="8"/>
  <c r="C18" i="9" s="1"/>
  <c r="J35" i="2"/>
  <c r="J36" i="2" s="1"/>
  <c r="H127" i="2"/>
  <c r="H124" i="2"/>
  <c r="I124" i="2" s="1"/>
  <c r="J124" i="2" s="1"/>
  <c r="K124" i="2" s="1"/>
  <c r="L124" i="2" s="1"/>
  <c r="M124" i="2" s="1"/>
  <c r="N124" i="2" s="1"/>
  <c r="O124" i="2" s="1"/>
  <c r="P124" i="2" s="1"/>
  <c r="Q124" i="2" s="1"/>
  <c r="M77" i="2"/>
  <c r="M81" i="2" s="1"/>
  <c r="K35" i="2"/>
  <c r="K36" i="2" s="1"/>
  <c r="U41" i="17" l="1"/>
  <c r="I46" i="17"/>
  <c r="O32" i="12"/>
  <c r="O42" i="12"/>
  <c r="O39" i="12" s="1"/>
  <c r="U35" i="17"/>
  <c r="U37" i="17" s="1"/>
  <c r="U38" i="17" s="1"/>
  <c r="U36" i="17"/>
  <c r="V51" i="18"/>
  <c r="W51" i="18" s="1"/>
  <c r="X51" i="18" s="1"/>
  <c r="O43" i="12"/>
  <c r="N43" i="12"/>
  <c r="W46" i="19"/>
  <c r="B39" i="19"/>
  <c r="W45" i="17"/>
  <c r="Q18" i="11"/>
  <c r="T7" i="11"/>
  <c r="T8" i="11" s="1"/>
  <c r="T13" i="11" s="1"/>
  <c r="T14" i="11" s="1"/>
  <c r="S7" i="11"/>
  <c r="S8" i="11" s="1"/>
  <c r="S13" i="11" s="1"/>
  <c r="S14" i="11" s="1"/>
  <c r="R16" i="11"/>
  <c r="R15" i="11"/>
  <c r="R17" i="11" s="1"/>
  <c r="J56" i="2"/>
  <c r="K56" i="2" s="1"/>
  <c r="P31" i="12"/>
  <c r="P40" i="12"/>
  <c r="P41" i="12" s="1"/>
  <c r="Q121" i="8"/>
  <c r="Q122" i="8" s="1"/>
  <c r="Q126" i="8" s="1"/>
  <c r="J21" i="10"/>
  <c r="J25" i="10"/>
  <c r="J30" i="10" s="1"/>
  <c r="K40" i="2"/>
  <c r="J44" i="2"/>
  <c r="K14" i="10"/>
  <c r="N33" i="12"/>
  <c r="N35" i="12" s="1"/>
  <c r="N34" i="12"/>
  <c r="H131" i="2"/>
  <c r="N117" i="2"/>
  <c r="C25" i="9" s="1"/>
  <c r="I127" i="2"/>
  <c r="I131" i="2" s="1"/>
  <c r="I16" i="10"/>
  <c r="I15" i="10"/>
  <c r="I17" i="10" s="1"/>
  <c r="L13" i="10"/>
  <c r="L22" i="10"/>
  <c r="L23" i="10" s="1"/>
  <c r="O111" i="2"/>
  <c r="N115" i="2"/>
  <c r="Q25" i="12"/>
  <c r="Q26" i="12" s="1"/>
  <c r="R21" i="12"/>
  <c r="M34" i="12"/>
  <c r="M33" i="12"/>
  <c r="M35" i="12" s="1"/>
  <c r="M36" i="12" s="1"/>
  <c r="N6" i="10"/>
  <c r="M7" i="10"/>
  <c r="M8" i="10" s="1"/>
  <c r="S20" i="10"/>
  <c r="T38" i="12"/>
  <c r="P5" i="10"/>
  <c r="H106" i="8"/>
  <c r="H110" i="8" s="1"/>
  <c r="H112" i="8" s="1"/>
  <c r="H113" i="8" s="1"/>
  <c r="I105" i="8"/>
  <c r="H93" i="8"/>
  <c r="H95" i="8" s="1"/>
  <c r="H96" i="8" s="1"/>
  <c r="M111" i="8"/>
  <c r="M115" i="8" s="1"/>
  <c r="K56" i="8"/>
  <c r="K60" i="8" s="1"/>
  <c r="H122" i="8"/>
  <c r="I121" i="8"/>
  <c r="L40" i="8"/>
  <c r="L44" i="8" s="1"/>
  <c r="I89" i="8"/>
  <c r="I93" i="8" s="1"/>
  <c r="I95" i="8" s="1"/>
  <c r="I96" i="8" s="1"/>
  <c r="J88" i="8"/>
  <c r="M94" i="8"/>
  <c r="M98" i="8" s="1"/>
  <c r="I51" i="8"/>
  <c r="I55" i="8" s="1"/>
  <c r="I57" i="8" s="1"/>
  <c r="I58" i="8" s="1"/>
  <c r="J50" i="8"/>
  <c r="J127" i="8"/>
  <c r="J131" i="8" s="1"/>
  <c r="I71" i="8"/>
  <c r="H72" i="8"/>
  <c r="M77" i="8"/>
  <c r="M81" i="8" s="1"/>
  <c r="J36" i="8"/>
  <c r="J41" i="8" s="1"/>
  <c r="J42" i="8" s="1"/>
  <c r="K35" i="8"/>
  <c r="F119" i="8"/>
  <c r="N77" i="2"/>
  <c r="N81" i="2" s="1"/>
  <c r="L35" i="2"/>
  <c r="M35" i="2" s="1"/>
  <c r="L24" i="10" l="1"/>
  <c r="P32" i="12"/>
  <c r="P42" i="12"/>
  <c r="J127" i="2"/>
  <c r="J131" i="2" s="1"/>
  <c r="N36" i="12"/>
  <c r="B39" i="18"/>
  <c r="E51" i="17"/>
  <c r="F51" i="17" s="1"/>
  <c r="G51" i="17" s="1"/>
  <c r="H51" i="17" s="1"/>
  <c r="I51" i="17" s="1"/>
  <c r="J51" i="17" s="1"/>
  <c r="K51" i="17" s="1"/>
  <c r="L51" i="17" s="1"/>
  <c r="M51" i="17" s="1"/>
  <c r="N51" i="17" s="1"/>
  <c r="O51" i="17" s="1"/>
  <c r="P51" i="17" s="1"/>
  <c r="Q51" i="17" s="1"/>
  <c r="R51" i="17" s="1"/>
  <c r="S51" i="17" s="1"/>
  <c r="T51" i="17" s="1"/>
  <c r="U51" i="17" s="1"/>
  <c r="W51" i="17" s="1"/>
  <c r="X51" i="17" s="1"/>
  <c r="R18" i="11"/>
  <c r="S16" i="11"/>
  <c r="S15" i="11"/>
  <c r="S17" i="11" s="1"/>
  <c r="J60" i="2"/>
  <c r="L14" i="10"/>
  <c r="O6" i="10"/>
  <c r="N7" i="10"/>
  <c r="N8" i="10" s="1"/>
  <c r="Q31" i="12"/>
  <c r="Q40" i="12"/>
  <c r="Q41" i="12" s="1"/>
  <c r="L40" i="2"/>
  <c r="K44" i="2"/>
  <c r="P39" i="12"/>
  <c r="P43" i="12"/>
  <c r="T20" i="10"/>
  <c r="P111" i="2"/>
  <c r="O115" i="2"/>
  <c r="J16" i="10"/>
  <c r="J15" i="10"/>
  <c r="J17" i="10" s="1"/>
  <c r="M13" i="10"/>
  <c r="M22" i="10"/>
  <c r="M23" i="10" s="1"/>
  <c r="R25" i="12"/>
  <c r="R26" i="12" s="1"/>
  <c r="S21" i="12"/>
  <c r="L56" i="2"/>
  <c r="K60" i="2"/>
  <c r="O34" i="12"/>
  <c r="O33" i="12"/>
  <c r="O35" i="12" s="1"/>
  <c r="O36" i="12" s="1"/>
  <c r="K25" i="10"/>
  <c r="K30" i="10" s="1"/>
  <c r="K21" i="10"/>
  <c r="U38" i="12"/>
  <c r="Q5" i="10"/>
  <c r="K127" i="8"/>
  <c r="K131" i="8" s="1"/>
  <c r="M40" i="8"/>
  <c r="M44" i="8" s="1"/>
  <c r="H126" i="8"/>
  <c r="H128" i="8" s="1"/>
  <c r="H129" i="8" s="1"/>
  <c r="N111" i="8"/>
  <c r="N115" i="8" s="1"/>
  <c r="N77" i="8"/>
  <c r="N81" i="8" s="1"/>
  <c r="N94" i="8"/>
  <c r="N98" i="8" s="1"/>
  <c r="L35" i="8"/>
  <c r="K36" i="8"/>
  <c r="K41" i="8" s="1"/>
  <c r="K42" i="8" s="1"/>
  <c r="H76" i="8"/>
  <c r="H78" i="8" s="1"/>
  <c r="H79" i="8" s="1"/>
  <c r="K50" i="8"/>
  <c r="J51" i="8"/>
  <c r="J55" i="8" s="1"/>
  <c r="J57" i="8" s="1"/>
  <c r="J58" i="8" s="1"/>
  <c r="K88" i="8"/>
  <c r="J89" i="8"/>
  <c r="L56" i="8"/>
  <c r="L60" i="8" s="1"/>
  <c r="I72" i="8"/>
  <c r="I76" i="8" s="1"/>
  <c r="I78" i="8" s="1"/>
  <c r="I79" i="8" s="1"/>
  <c r="J71" i="8"/>
  <c r="J121" i="8"/>
  <c r="I122" i="8"/>
  <c r="I126" i="8" s="1"/>
  <c r="I128" i="8" s="1"/>
  <c r="I129" i="8" s="1"/>
  <c r="J105" i="8"/>
  <c r="I106" i="8"/>
  <c r="I110" i="8" s="1"/>
  <c r="I112" i="8" s="1"/>
  <c r="I113" i="8" s="1"/>
  <c r="O77" i="2"/>
  <c r="O81" i="2" s="1"/>
  <c r="L36" i="2"/>
  <c r="N35" i="2"/>
  <c r="O35" i="2" s="1"/>
  <c r="M36" i="2"/>
  <c r="K127" i="2" l="1"/>
  <c r="K131" i="2" s="1"/>
  <c r="M24" i="10"/>
  <c r="Q32" i="12"/>
  <c r="Q42" i="12"/>
  <c r="S18" i="11"/>
  <c r="A32" i="11"/>
  <c r="B32" i="11" s="1"/>
  <c r="C32" i="11" s="1"/>
  <c r="D32" i="11" s="1"/>
  <c r="E32" i="11" s="1"/>
  <c r="F32" i="11" s="1"/>
  <c r="G32" i="11" s="1"/>
  <c r="H32" i="11" s="1"/>
  <c r="I32" i="11" s="1"/>
  <c r="J32" i="11" s="1"/>
  <c r="K32" i="11" s="1"/>
  <c r="L32" i="11" s="1"/>
  <c r="M32" i="11" s="1"/>
  <c r="N32" i="11" s="1"/>
  <c r="O32" i="11" s="1"/>
  <c r="P32" i="11" s="1"/>
  <c r="Q32" i="11" s="1"/>
  <c r="R32" i="11" s="1"/>
  <c r="S32" i="11" s="1"/>
  <c r="T32" i="11" s="1"/>
  <c r="F24" i="11"/>
  <c r="T27" i="11"/>
  <c r="T15" i="11"/>
  <c r="T17" i="11" s="1"/>
  <c r="B19" i="11" s="1"/>
  <c r="T16" i="11"/>
  <c r="R31" i="12"/>
  <c r="R40" i="12"/>
  <c r="R41" i="12" s="1"/>
  <c r="N13" i="10"/>
  <c r="N22" i="10"/>
  <c r="N23" i="10" s="1"/>
  <c r="M40" i="2"/>
  <c r="L44" i="2"/>
  <c r="L21" i="10"/>
  <c r="L25" i="10"/>
  <c r="L30" i="10" s="1"/>
  <c r="M56" i="2"/>
  <c r="L60" i="2"/>
  <c r="K16" i="10"/>
  <c r="K15" i="10"/>
  <c r="K17" i="10" s="1"/>
  <c r="T21" i="12"/>
  <c r="S25" i="12"/>
  <c r="S26" i="12" s="1"/>
  <c r="M14" i="10"/>
  <c r="Q111" i="2"/>
  <c r="P115" i="2"/>
  <c r="P34" i="12"/>
  <c r="P33" i="12"/>
  <c r="P35" i="12" s="1"/>
  <c r="P36" i="12" s="1"/>
  <c r="P6" i="10"/>
  <c r="O7" i="10"/>
  <c r="O8" i="10" s="1"/>
  <c r="V38" i="12"/>
  <c r="R5" i="10"/>
  <c r="K71" i="8"/>
  <c r="J72" i="8"/>
  <c r="J76" i="8" s="1"/>
  <c r="J78" i="8" s="1"/>
  <c r="J79" i="8" s="1"/>
  <c r="L127" i="8"/>
  <c r="L131" i="8" s="1"/>
  <c r="J106" i="8"/>
  <c r="J110" i="8" s="1"/>
  <c r="J112" i="8" s="1"/>
  <c r="J113" i="8" s="1"/>
  <c r="K105" i="8"/>
  <c r="J93" i="8"/>
  <c r="J95" i="8" s="1"/>
  <c r="J96" i="8" s="1"/>
  <c r="L50" i="8"/>
  <c r="K51" i="8"/>
  <c r="K55" i="8" s="1"/>
  <c r="K57" i="8" s="1"/>
  <c r="K58" i="8" s="1"/>
  <c r="M35" i="8"/>
  <c r="L36" i="8"/>
  <c r="L41" i="8" s="1"/>
  <c r="L42" i="8" s="1"/>
  <c r="O77" i="8"/>
  <c r="O81" i="8" s="1"/>
  <c r="O111" i="8"/>
  <c r="O115" i="8" s="1"/>
  <c r="N40" i="8"/>
  <c r="N44" i="8" s="1"/>
  <c r="K89" i="8"/>
  <c r="K93" i="8" s="1"/>
  <c r="K95" i="8" s="1"/>
  <c r="K96" i="8" s="1"/>
  <c r="L88" i="8"/>
  <c r="J122" i="8"/>
  <c r="J126" i="8" s="1"/>
  <c r="J128" i="8" s="1"/>
  <c r="J129" i="8" s="1"/>
  <c r="K121" i="8"/>
  <c r="M56" i="8"/>
  <c r="M60" i="8" s="1"/>
  <c r="O94" i="8"/>
  <c r="O98" i="8" s="1"/>
  <c r="L127" i="2"/>
  <c r="L131" i="2" s="1"/>
  <c r="P77" i="2"/>
  <c r="P81" i="2" s="1"/>
  <c r="N36" i="2"/>
  <c r="N24" i="10" l="1"/>
  <c r="R32" i="12"/>
  <c r="R42" i="12"/>
  <c r="R39" i="12" s="1"/>
  <c r="B39" i="17"/>
  <c r="T18" i="11"/>
  <c r="S31" i="12"/>
  <c r="S40" i="12"/>
  <c r="S41" i="12" s="1"/>
  <c r="Q39" i="12"/>
  <c r="Q43" i="12"/>
  <c r="Q115" i="2"/>
  <c r="R115" i="2" s="1"/>
  <c r="F24" i="9" s="1"/>
  <c r="O101" i="2"/>
  <c r="D24" i="9" s="1"/>
  <c r="L16" i="10"/>
  <c r="L15" i="10"/>
  <c r="L17" i="10" s="1"/>
  <c r="M25" i="10"/>
  <c r="M21" i="10"/>
  <c r="T25" i="12"/>
  <c r="T26" i="12" s="1"/>
  <c r="U21" i="12"/>
  <c r="N14" i="10"/>
  <c r="O13" i="10"/>
  <c r="O22" i="10"/>
  <c r="O23" i="10" s="1"/>
  <c r="N56" i="2"/>
  <c r="M60" i="2"/>
  <c r="N40" i="2"/>
  <c r="M44" i="2"/>
  <c r="Q6" i="10"/>
  <c r="P7" i="10"/>
  <c r="P8" i="10" s="1"/>
  <c r="S5" i="10"/>
  <c r="O40" i="8"/>
  <c r="O44" i="8" s="1"/>
  <c r="P77" i="8"/>
  <c r="P81" i="8" s="1"/>
  <c r="L51" i="8"/>
  <c r="L55" i="8" s="1"/>
  <c r="L57" i="8" s="1"/>
  <c r="L58" i="8" s="1"/>
  <c r="M50" i="8"/>
  <c r="L105" i="8"/>
  <c r="K106" i="8"/>
  <c r="K110" i="8" s="1"/>
  <c r="K112" i="8" s="1"/>
  <c r="K113" i="8" s="1"/>
  <c r="P94" i="8"/>
  <c r="P98" i="8" s="1"/>
  <c r="N56" i="8"/>
  <c r="N60" i="8" s="1"/>
  <c r="M88" i="8"/>
  <c r="L89" i="8"/>
  <c r="M127" i="8"/>
  <c r="M131" i="8" s="1"/>
  <c r="L121" i="8"/>
  <c r="K122" i="8"/>
  <c r="K126" i="8" s="1"/>
  <c r="K128" i="8" s="1"/>
  <c r="K129" i="8" s="1"/>
  <c r="P111" i="8"/>
  <c r="P115" i="8" s="1"/>
  <c r="M36" i="8"/>
  <c r="M41" i="8" s="1"/>
  <c r="M42" i="8" s="1"/>
  <c r="N35" i="8"/>
  <c r="K72" i="8"/>
  <c r="L71" i="8"/>
  <c r="M127" i="2"/>
  <c r="M131" i="2" s="1"/>
  <c r="Q77" i="2"/>
  <c r="P35" i="2"/>
  <c r="O36" i="2"/>
  <c r="S32" i="12" l="1"/>
  <c r="S42" i="12"/>
  <c r="O24" i="10"/>
  <c r="R43" i="12"/>
  <c r="S43" i="12"/>
  <c r="P13" i="10"/>
  <c r="P24" i="10" s="1"/>
  <c r="P22" i="10"/>
  <c r="P23" i="10" s="1"/>
  <c r="R6" i="10"/>
  <c r="Q7" i="10"/>
  <c r="Q8" i="10" s="1"/>
  <c r="O40" i="2"/>
  <c r="N44" i="2"/>
  <c r="T31" i="12"/>
  <c r="T40" i="12"/>
  <c r="T41" i="12" s="1"/>
  <c r="N21" i="10"/>
  <c r="N25" i="10"/>
  <c r="R34" i="12"/>
  <c r="R33" i="12"/>
  <c r="R35" i="12" s="1"/>
  <c r="O56" i="2"/>
  <c r="N60" i="2"/>
  <c r="M16" i="10"/>
  <c r="M15" i="10"/>
  <c r="M17" i="10" s="1"/>
  <c r="Q34" i="12"/>
  <c r="Q33" i="12"/>
  <c r="Q35" i="12" s="1"/>
  <c r="Q36" i="12" s="1"/>
  <c r="O14" i="10"/>
  <c r="S39" i="12"/>
  <c r="O67" i="2"/>
  <c r="D22" i="9" s="1"/>
  <c r="Q81" i="2"/>
  <c r="R81" i="2" s="1"/>
  <c r="F22" i="9" s="1"/>
  <c r="U25" i="12"/>
  <c r="U26" i="12" s="1"/>
  <c r="V21" i="12"/>
  <c r="M30" i="10"/>
  <c r="M31" i="10" s="1"/>
  <c r="F7" i="9" s="1"/>
  <c r="D7" i="9"/>
  <c r="T5" i="10"/>
  <c r="M71" i="8"/>
  <c r="L72" i="8"/>
  <c r="L76" i="8" s="1"/>
  <c r="L78" i="8" s="1"/>
  <c r="L79" i="8" s="1"/>
  <c r="L122" i="8"/>
  <c r="L126" i="8" s="1"/>
  <c r="L128" i="8" s="1"/>
  <c r="L129" i="8" s="1"/>
  <c r="M121" i="8"/>
  <c r="M89" i="8"/>
  <c r="M93" i="8" s="1"/>
  <c r="M95" i="8" s="1"/>
  <c r="M96" i="8" s="1"/>
  <c r="N88" i="8"/>
  <c r="Q94" i="8"/>
  <c r="Q98" i="8" s="1"/>
  <c r="R98" i="8" s="1"/>
  <c r="M51" i="8"/>
  <c r="M55" i="8" s="1"/>
  <c r="M57" i="8" s="1"/>
  <c r="M58" i="8" s="1"/>
  <c r="N50" i="8"/>
  <c r="N36" i="8"/>
  <c r="N41" i="8" s="1"/>
  <c r="N42" i="8" s="1"/>
  <c r="O35" i="8"/>
  <c r="L93" i="8"/>
  <c r="L95" i="8" s="1"/>
  <c r="L96" i="8" s="1"/>
  <c r="K76" i="8"/>
  <c r="K78" i="8" s="1"/>
  <c r="K79" i="8" s="1"/>
  <c r="Q111" i="8"/>
  <c r="Q115" i="8" s="1"/>
  <c r="R115" i="8" s="1"/>
  <c r="F17" i="9" s="1"/>
  <c r="O56" i="8"/>
  <c r="O60" i="8" s="1"/>
  <c r="P40" i="8"/>
  <c r="P44" i="8" s="1"/>
  <c r="N127" i="8"/>
  <c r="N131" i="8" s="1"/>
  <c r="L106" i="8"/>
  <c r="L110" i="8" s="1"/>
  <c r="L112" i="8" s="1"/>
  <c r="L113" i="8" s="1"/>
  <c r="M105" i="8"/>
  <c r="Q77" i="8"/>
  <c r="Q81" i="8" s="1"/>
  <c r="R81" i="8" s="1"/>
  <c r="F15" i="9" s="1"/>
  <c r="N127" i="2"/>
  <c r="N131" i="2" s="1"/>
  <c r="Q35" i="2"/>
  <c r="Q36" i="2" s="1"/>
  <c r="P36" i="2"/>
  <c r="T32" i="12" l="1"/>
  <c r="T42" i="12"/>
  <c r="T39" i="12"/>
  <c r="U31" i="12"/>
  <c r="U40" i="12"/>
  <c r="U41" i="12" s="1"/>
  <c r="F16" i="9"/>
  <c r="P56" i="2"/>
  <c r="O60" i="2"/>
  <c r="P40" i="2"/>
  <c r="O44" i="2"/>
  <c r="O25" i="10"/>
  <c r="O21" i="10"/>
  <c r="R36" i="12"/>
  <c r="T43" i="12"/>
  <c r="Q13" i="10"/>
  <c r="Q22" i="10"/>
  <c r="Q23" i="10" s="1"/>
  <c r="V25" i="12"/>
  <c r="V26" i="12" s="1"/>
  <c r="S34" i="12"/>
  <c r="S33" i="12"/>
  <c r="S35" i="12" s="1"/>
  <c r="N16" i="10"/>
  <c r="N15" i="10"/>
  <c r="N17" i="10" s="1"/>
  <c r="P14" i="10"/>
  <c r="S6" i="10"/>
  <c r="R7" i="10"/>
  <c r="R8" i="10" s="1"/>
  <c r="Q40" i="8"/>
  <c r="Q44" i="8" s="1"/>
  <c r="R44" i="8" s="1"/>
  <c r="F13" i="9" s="1"/>
  <c r="Q112" i="8"/>
  <c r="Q113" i="8" s="1"/>
  <c r="O101" i="8"/>
  <c r="D17" i="9" s="1"/>
  <c r="M72" i="8"/>
  <c r="N71" i="8"/>
  <c r="O127" i="8"/>
  <c r="O131" i="8" s="1"/>
  <c r="P35" i="8"/>
  <c r="O36" i="8"/>
  <c r="O41" i="8" s="1"/>
  <c r="O42" i="8" s="1"/>
  <c r="N121" i="8"/>
  <c r="M122" i="8"/>
  <c r="Q78" i="8"/>
  <c r="Q79" i="8" s="1"/>
  <c r="O67" i="8"/>
  <c r="D15" i="9" s="1"/>
  <c r="P56" i="8"/>
  <c r="P60" i="8" s="1"/>
  <c r="O84" i="8"/>
  <c r="D16" i="9" s="1"/>
  <c r="Q95" i="8"/>
  <c r="Q96" i="8" s="1"/>
  <c r="N105" i="8"/>
  <c r="M106" i="8"/>
  <c r="M110" i="8" s="1"/>
  <c r="M112" i="8" s="1"/>
  <c r="M113" i="8" s="1"/>
  <c r="O50" i="8"/>
  <c r="N51" i="8"/>
  <c r="N55" i="8" s="1"/>
  <c r="N57" i="8" s="1"/>
  <c r="N58" i="8" s="1"/>
  <c r="O88" i="8"/>
  <c r="N89" i="8"/>
  <c r="N93" i="8" s="1"/>
  <c r="N95" i="8" s="1"/>
  <c r="N96" i="8" s="1"/>
  <c r="O127" i="2"/>
  <c r="O131" i="2" s="1"/>
  <c r="Q24" i="10" l="1"/>
  <c r="U32" i="12"/>
  <c r="U42" i="12"/>
  <c r="U43" i="12"/>
  <c r="V31" i="12"/>
  <c r="V40" i="12"/>
  <c r="V41" i="12" s="1"/>
  <c r="P25" i="10"/>
  <c r="P21" i="10"/>
  <c r="Q40" i="2"/>
  <c r="P44" i="2"/>
  <c r="Q14" i="10"/>
  <c r="O15" i="10"/>
  <c r="O17" i="10" s="1"/>
  <c r="O16" i="10"/>
  <c r="Q56" i="2"/>
  <c r="P60" i="2"/>
  <c r="S36" i="12"/>
  <c r="R13" i="10"/>
  <c r="R22" i="10"/>
  <c r="R23" i="10" s="1"/>
  <c r="U39" i="12"/>
  <c r="T6" i="10"/>
  <c r="S7" i="10"/>
  <c r="S8" i="10" s="1"/>
  <c r="T33" i="12"/>
  <c r="T35" i="12" s="1"/>
  <c r="T34" i="12"/>
  <c r="Q35" i="8"/>
  <c r="Q36" i="8" s="1"/>
  <c r="Q41" i="8" s="1"/>
  <c r="Q42" i="8" s="1"/>
  <c r="P36" i="8"/>
  <c r="P41" i="8" s="1"/>
  <c r="P42" i="8" s="1"/>
  <c r="M76" i="8"/>
  <c r="M78" i="8" s="1"/>
  <c r="M79" i="8" s="1"/>
  <c r="N106" i="8"/>
  <c r="N110" i="8" s="1"/>
  <c r="N112" i="8" s="1"/>
  <c r="N113" i="8" s="1"/>
  <c r="O105" i="8"/>
  <c r="Q56" i="8"/>
  <c r="Q60" i="8" s="1"/>
  <c r="R60" i="8" s="1"/>
  <c r="F14" i="9" s="1"/>
  <c r="M126" i="8"/>
  <c r="M128" i="8" s="1"/>
  <c r="M129" i="8" s="1"/>
  <c r="P50" i="8"/>
  <c r="O51" i="8"/>
  <c r="O55" i="8" s="1"/>
  <c r="O57" i="8" s="1"/>
  <c r="O58" i="8" s="1"/>
  <c r="N122" i="8"/>
  <c r="N126" i="8" s="1"/>
  <c r="N128" i="8" s="1"/>
  <c r="N129" i="8" s="1"/>
  <c r="O121" i="8"/>
  <c r="P127" i="8"/>
  <c r="P131" i="8" s="1"/>
  <c r="O89" i="8"/>
  <c r="O93" i="8" s="1"/>
  <c r="O95" i="8" s="1"/>
  <c r="O96" i="8" s="1"/>
  <c r="P88" i="8"/>
  <c r="O71" i="8"/>
  <c r="N72" i="8"/>
  <c r="N76" i="8" s="1"/>
  <c r="N78" i="8" s="1"/>
  <c r="N79" i="8" s="1"/>
  <c r="O31" i="8"/>
  <c r="D13" i="9" s="1"/>
  <c r="P127" i="2"/>
  <c r="P131" i="2" s="1"/>
  <c r="V32" i="12" l="1"/>
  <c r="V42" i="12"/>
  <c r="R24" i="10"/>
  <c r="I43" i="8"/>
  <c r="V39" i="12"/>
  <c r="S13" i="10"/>
  <c r="S22" i="10"/>
  <c r="S23" i="10" s="1"/>
  <c r="Q60" i="2"/>
  <c r="R60" i="2" s="1"/>
  <c r="F21" i="9" s="1"/>
  <c r="O46" i="2"/>
  <c r="D21" i="9" s="1"/>
  <c r="R14" i="10"/>
  <c r="Q44" i="2"/>
  <c r="R44" i="2" s="1"/>
  <c r="F20" i="9" s="1"/>
  <c r="O31" i="2"/>
  <c r="D20" i="9" s="1"/>
  <c r="V43" i="12"/>
  <c r="T7" i="10"/>
  <c r="T8" i="10" s="1"/>
  <c r="T36" i="12"/>
  <c r="U33" i="12"/>
  <c r="U35" i="12" s="1"/>
  <c r="U34" i="12"/>
  <c r="Q25" i="10"/>
  <c r="Q21" i="10"/>
  <c r="P16" i="10"/>
  <c r="P15" i="10"/>
  <c r="P17" i="10" s="1"/>
  <c r="Q88" i="8"/>
  <c r="P89" i="8"/>
  <c r="Q127" i="8"/>
  <c r="Q131" i="8" s="1"/>
  <c r="R131" i="8" s="1"/>
  <c r="F18" i="9" s="1"/>
  <c r="P121" i="8"/>
  <c r="P122" i="8" s="1"/>
  <c r="O122" i="8"/>
  <c r="O126" i="8" s="1"/>
  <c r="O128" i="8" s="1"/>
  <c r="O129" i="8" s="1"/>
  <c r="P51" i="8"/>
  <c r="P55" i="8" s="1"/>
  <c r="P57" i="8" s="1"/>
  <c r="P58" i="8" s="1"/>
  <c r="Q50" i="8"/>
  <c r="Q57" i="8"/>
  <c r="Q58" i="8" s="1"/>
  <c r="O46" i="8"/>
  <c r="D14" i="9" s="1"/>
  <c r="O72" i="8"/>
  <c r="O76" i="8" s="1"/>
  <c r="O78" i="8" s="1"/>
  <c r="O79" i="8" s="1"/>
  <c r="P71" i="8"/>
  <c r="P105" i="8"/>
  <c r="O106" i="8"/>
  <c r="O110" i="8" s="1"/>
  <c r="O112" i="8" s="1"/>
  <c r="O113" i="8" s="1"/>
  <c r="Q127" i="2"/>
  <c r="E41" i="6"/>
  <c r="D14" i="6"/>
  <c r="E30" i="6" s="1"/>
  <c r="E31" i="6" s="1"/>
  <c r="E40" i="7"/>
  <c r="J29" i="7"/>
  <c r="F24" i="7"/>
  <c r="G24" i="7" s="1"/>
  <c r="H24" i="7" s="1"/>
  <c r="I24" i="7" s="1"/>
  <c r="J24" i="7" s="1"/>
  <c r="K24" i="7" s="1"/>
  <c r="L24" i="7" s="1"/>
  <c r="M24" i="7" s="1"/>
  <c r="N24" i="7" s="1"/>
  <c r="O24" i="7" s="1"/>
  <c r="P24" i="7" s="1"/>
  <c r="Q24" i="7" s="1"/>
  <c r="R24" i="7" s="1"/>
  <c r="S24" i="7" s="1"/>
  <c r="T24" i="7" s="1"/>
  <c r="U24" i="7" s="1"/>
  <c r="J17" i="7"/>
  <c r="P29" i="7" s="1"/>
  <c r="D14" i="7"/>
  <c r="E30" i="7" s="1"/>
  <c r="D11" i="7"/>
  <c r="F26" i="7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D44" i="6"/>
  <c r="D14" i="5"/>
  <c r="D14" i="4"/>
  <c r="E30" i="4" s="1"/>
  <c r="F24" i="6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J17" i="6"/>
  <c r="E29" i="6" s="1"/>
  <c r="D11" i="6"/>
  <c r="F25" i="6"/>
  <c r="G25" i="6" s="1"/>
  <c r="H25" i="6" s="1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E40" i="5"/>
  <c r="F24" i="5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T24" i="5" s="1"/>
  <c r="U24" i="5" s="1"/>
  <c r="J17" i="5"/>
  <c r="E29" i="5" s="1"/>
  <c r="D11" i="5"/>
  <c r="F14" i="7" l="1"/>
  <c r="S24" i="10"/>
  <c r="F40" i="5"/>
  <c r="F14" i="6"/>
  <c r="G29" i="5"/>
  <c r="L29" i="7"/>
  <c r="I59" i="8"/>
  <c r="H29" i="5"/>
  <c r="U29" i="7"/>
  <c r="F41" i="6"/>
  <c r="U36" i="12"/>
  <c r="F29" i="6"/>
  <c r="F23" i="7"/>
  <c r="Q131" i="2"/>
  <c r="R131" i="2" s="1"/>
  <c r="F25" i="9" s="1"/>
  <c r="O117" i="2"/>
  <c r="D25" i="9" s="1"/>
  <c r="J18" i="6"/>
  <c r="Q15" i="10"/>
  <c r="Q17" i="10" s="1"/>
  <c r="Q16" i="10"/>
  <c r="R29" i="5"/>
  <c r="J29" i="6"/>
  <c r="J30" i="5"/>
  <c r="E30" i="5"/>
  <c r="T13" i="10"/>
  <c r="T22" i="10"/>
  <c r="T23" i="10" s="1"/>
  <c r="V33" i="12"/>
  <c r="V35" i="12" s="1"/>
  <c r="B37" i="12" s="1"/>
  <c r="V34" i="12"/>
  <c r="R25" i="10"/>
  <c r="R21" i="10"/>
  <c r="P29" i="6"/>
  <c r="F25" i="7"/>
  <c r="G25" i="7" s="1"/>
  <c r="H25" i="7" s="1"/>
  <c r="I25" i="7" s="1"/>
  <c r="J25" i="7" s="1"/>
  <c r="K25" i="7" s="1"/>
  <c r="L25" i="7" s="1"/>
  <c r="M25" i="7" s="1"/>
  <c r="N25" i="7" s="1"/>
  <c r="O25" i="7" s="1"/>
  <c r="P25" i="7" s="1"/>
  <c r="Q25" i="7" s="1"/>
  <c r="R25" i="7" s="1"/>
  <c r="S25" i="7" s="1"/>
  <c r="T25" i="7" s="1"/>
  <c r="U25" i="7" s="1"/>
  <c r="H29" i="6"/>
  <c r="R29" i="6"/>
  <c r="S29" i="5"/>
  <c r="N29" i="6"/>
  <c r="J18" i="7"/>
  <c r="E29" i="7"/>
  <c r="F29" i="7"/>
  <c r="Q29" i="7"/>
  <c r="F40" i="7"/>
  <c r="G40" i="7" s="1"/>
  <c r="F45" i="6"/>
  <c r="F48" i="6"/>
  <c r="S14" i="10"/>
  <c r="G48" i="6"/>
  <c r="O117" i="8"/>
  <c r="D18" i="9" s="1"/>
  <c r="Q128" i="8"/>
  <c r="Q129" i="8" s="1"/>
  <c r="P106" i="8"/>
  <c r="P110" i="8" s="1"/>
  <c r="P112" i="8" s="1"/>
  <c r="P113" i="8" s="1"/>
  <c r="I114" i="8" s="1"/>
  <c r="Q105" i="8"/>
  <c r="Q71" i="8"/>
  <c r="P72" i="8"/>
  <c r="P126" i="8"/>
  <c r="P128" i="8" s="1"/>
  <c r="P129" i="8" s="1"/>
  <c r="P93" i="8"/>
  <c r="P95" i="8" s="1"/>
  <c r="F87" i="8"/>
  <c r="M30" i="7"/>
  <c r="I30" i="7"/>
  <c r="E31" i="7"/>
  <c r="L30" i="7"/>
  <c r="G30" i="7"/>
  <c r="K30" i="7"/>
  <c r="F30" i="7"/>
  <c r="H30" i="7"/>
  <c r="N30" i="7"/>
  <c r="G23" i="7"/>
  <c r="J30" i="7"/>
  <c r="S29" i="7"/>
  <c r="O29" i="7"/>
  <c r="K29" i="7"/>
  <c r="G29" i="7"/>
  <c r="W23" i="7"/>
  <c r="H29" i="7"/>
  <c r="M29" i="7"/>
  <c r="R29" i="7"/>
  <c r="I29" i="7"/>
  <c r="N29" i="7"/>
  <c r="T29" i="7"/>
  <c r="K30" i="6"/>
  <c r="G30" i="6"/>
  <c r="M30" i="6"/>
  <c r="I30" i="6"/>
  <c r="L30" i="6"/>
  <c r="J30" i="6"/>
  <c r="N30" i="6"/>
  <c r="F26" i="6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W23" i="6"/>
  <c r="F30" i="6"/>
  <c r="H30" i="6"/>
  <c r="G41" i="6"/>
  <c r="U29" i="6"/>
  <c r="Q29" i="6"/>
  <c r="M29" i="6"/>
  <c r="I29" i="6"/>
  <c r="S29" i="6"/>
  <c r="O29" i="6"/>
  <c r="K29" i="6"/>
  <c r="G29" i="6"/>
  <c r="L29" i="6"/>
  <c r="T29" i="6"/>
  <c r="W23" i="5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K30" i="5"/>
  <c r="G30" i="5"/>
  <c r="N30" i="5"/>
  <c r="I30" i="5"/>
  <c r="M30" i="5"/>
  <c r="H30" i="5"/>
  <c r="L30" i="5"/>
  <c r="U29" i="5"/>
  <c r="Q29" i="5"/>
  <c r="M29" i="5"/>
  <c r="I29" i="5"/>
  <c r="P29" i="5"/>
  <c r="K29" i="5"/>
  <c r="F29" i="5"/>
  <c r="T29" i="5"/>
  <c r="O29" i="5"/>
  <c r="J29" i="5"/>
  <c r="J18" i="5"/>
  <c r="L29" i="5"/>
  <c r="E31" i="5"/>
  <c r="G40" i="5"/>
  <c r="F23" i="5"/>
  <c r="N29" i="5"/>
  <c r="F30" i="5"/>
  <c r="E40" i="4"/>
  <c r="T24" i="10" l="1"/>
  <c r="I130" i="8"/>
  <c r="F27" i="7"/>
  <c r="F28" i="7" s="1"/>
  <c r="P96" i="8"/>
  <c r="I97" i="8" s="1"/>
  <c r="V36" i="12"/>
  <c r="E27" i="5"/>
  <c r="E28" i="5" s="1"/>
  <c r="R16" i="10"/>
  <c r="R15" i="10"/>
  <c r="R17" i="10" s="1"/>
  <c r="E27" i="7"/>
  <c r="E28" i="7" s="1"/>
  <c r="T14" i="10"/>
  <c r="E27" i="6"/>
  <c r="O30" i="7"/>
  <c r="S25" i="10"/>
  <c r="S21" i="10"/>
  <c r="E28" i="6"/>
  <c r="E35" i="6" s="1"/>
  <c r="E37" i="6" s="1"/>
  <c r="H48" i="6"/>
  <c r="G45" i="6"/>
  <c r="P76" i="8"/>
  <c r="P78" i="8" s="1"/>
  <c r="O30" i="6"/>
  <c r="F31" i="7"/>
  <c r="E32" i="7"/>
  <c r="G27" i="7"/>
  <c r="G28" i="7" s="1"/>
  <c r="H23" i="7"/>
  <c r="H40" i="7"/>
  <c r="E32" i="6"/>
  <c r="F31" i="6"/>
  <c r="F23" i="6"/>
  <c r="H41" i="6"/>
  <c r="O30" i="5"/>
  <c r="H40" i="5"/>
  <c r="E32" i="5"/>
  <c r="F31" i="5"/>
  <c r="G23" i="5"/>
  <c r="F26" i="5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D11" i="4"/>
  <c r="F14" i="4" s="1"/>
  <c r="J17" i="4"/>
  <c r="K290" i="1"/>
  <c r="L290" i="1" s="1"/>
  <c r="K289" i="1"/>
  <c r="L289" i="1" s="1"/>
  <c r="P79" i="8" l="1"/>
  <c r="I80" i="8" s="1"/>
  <c r="T21" i="10"/>
  <c r="T25" i="10"/>
  <c r="F27" i="5"/>
  <c r="F28" i="5" s="1"/>
  <c r="E33" i="6"/>
  <c r="E33" i="7"/>
  <c r="E35" i="7"/>
  <c r="E37" i="7" s="1"/>
  <c r="J18" i="4"/>
  <c r="E29" i="4"/>
  <c r="S15" i="10"/>
  <c r="S17" i="10" s="1"/>
  <c r="S16" i="10"/>
  <c r="I48" i="6"/>
  <c r="H45" i="6"/>
  <c r="I40" i="7"/>
  <c r="H27" i="7"/>
  <c r="H28" i="7" s="1"/>
  <c r="I23" i="7"/>
  <c r="F32" i="7"/>
  <c r="F33" i="7" s="1"/>
  <c r="G31" i="7"/>
  <c r="E33" i="5"/>
  <c r="E34" i="5" s="1"/>
  <c r="I41" i="6"/>
  <c r="G23" i="6"/>
  <c r="F27" i="6"/>
  <c r="F28" i="6" s="1"/>
  <c r="F32" i="6"/>
  <c r="G31" i="6"/>
  <c r="I40" i="5"/>
  <c r="G31" i="5"/>
  <c r="F32" i="5"/>
  <c r="H23" i="5"/>
  <c r="G27" i="5"/>
  <c r="G28" i="5" s="1"/>
  <c r="E31" i="4"/>
  <c r="E32" i="4" s="1"/>
  <c r="H30" i="4"/>
  <c r="L30" i="4"/>
  <c r="J30" i="4"/>
  <c r="G30" i="4"/>
  <c r="K30" i="4"/>
  <c r="I30" i="4"/>
  <c r="M30" i="4"/>
  <c r="N30" i="4"/>
  <c r="F30" i="4"/>
  <c r="I29" i="4"/>
  <c r="M29" i="4"/>
  <c r="Q29" i="4"/>
  <c r="U29" i="4"/>
  <c r="N29" i="4"/>
  <c r="G29" i="4"/>
  <c r="O29" i="4"/>
  <c r="F29" i="4"/>
  <c r="H29" i="4"/>
  <c r="P29" i="4"/>
  <c r="J29" i="4"/>
  <c r="R29" i="4"/>
  <c r="K29" i="4"/>
  <c r="S29" i="4"/>
  <c r="L29" i="4"/>
  <c r="T29" i="4"/>
  <c r="F40" i="4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K11" i="1"/>
  <c r="L11" i="1" s="1"/>
  <c r="K12" i="1"/>
  <c r="L12" i="1" s="1"/>
  <c r="K279" i="1"/>
  <c r="L279" i="1" s="1"/>
  <c r="K310" i="1"/>
  <c r="L310" i="1" s="1"/>
  <c r="K335" i="1"/>
  <c r="L335" i="1" s="1"/>
  <c r="K327" i="1"/>
  <c r="L327" i="1" s="1"/>
  <c r="K9" i="1"/>
  <c r="L9" i="1" s="1"/>
  <c r="K126" i="1"/>
  <c r="L126" i="1" s="1"/>
  <c r="K116" i="1"/>
  <c r="L116" i="1" s="1"/>
  <c r="K100" i="1"/>
  <c r="L100" i="1" s="1"/>
  <c r="K67" i="1"/>
  <c r="L67" i="1" s="1"/>
  <c r="F33" i="5" l="1"/>
  <c r="F34" i="5" s="1"/>
  <c r="E34" i="6"/>
  <c r="E36" i="6"/>
  <c r="E38" i="7"/>
  <c r="A35" i="10"/>
  <c r="B35" i="10" s="1"/>
  <c r="C35" i="10" s="1"/>
  <c r="D35" i="10" s="1"/>
  <c r="E35" i="10" s="1"/>
  <c r="F35" i="10" s="1"/>
  <c r="G35" i="10" s="1"/>
  <c r="H35" i="10" s="1"/>
  <c r="I35" i="10" s="1"/>
  <c r="J35" i="10" s="1"/>
  <c r="K35" i="10" s="1"/>
  <c r="L35" i="10" s="1"/>
  <c r="M35" i="10" s="1"/>
  <c r="N35" i="10" s="1"/>
  <c r="O35" i="10" s="1"/>
  <c r="P35" i="10" s="1"/>
  <c r="Q35" i="10" s="1"/>
  <c r="R35" i="10" s="1"/>
  <c r="S35" i="10" s="1"/>
  <c r="T35" i="10" s="1"/>
  <c r="F27" i="10"/>
  <c r="T30" i="10"/>
  <c r="T16" i="10"/>
  <c r="T15" i="10"/>
  <c r="T17" i="10" s="1"/>
  <c r="B19" i="10" s="1"/>
  <c r="Q40" i="4"/>
  <c r="E36" i="7"/>
  <c r="E42" i="7"/>
  <c r="E43" i="7" s="1"/>
  <c r="E44" i="7" s="1"/>
  <c r="E34" i="7"/>
  <c r="J48" i="6"/>
  <c r="I45" i="6"/>
  <c r="E43" i="6"/>
  <c r="E44" i="6" s="1"/>
  <c r="F33" i="6"/>
  <c r="F34" i="6" s="1"/>
  <c r="F34" i="7"/>
  <c r="F42" i="7"/>
  <c r="F43" i="7" s="1"/>
  <c r="F44" i="7" s="1"/>
  <c r="I27" i="7"/>
  <c r="I28" i="7" s="1"/>
  <c r="J23" i="7"/>
  <c r="F47" i="7"/>
  <c r="J40" i="7"/>
  <c r="G32" i="7"/>
  <c r="G33" i="7" s="1"/>
  <c r="H31" i="7"/>
  <c r="E42" i="5"/>
  <c r="E43" i="5" s="1"/>
  <c r="H31" i="6"/>
  <c r="G32" i="6"/>
  <c r="J41" i="6"/>
  <c r="G27" i="6"/>
  <c r="G28" i="6" s="1"/>
  <c r="G33" i="6" s="1"/>
  <c r="H23" i="6"/>
  <c r="J40" i="5"/>
  <c r="H31" i="5"/>
  <c r="G32" i="5"/>
  <c r="G33" i="5" s="1"/>
  <c r="I23" i="5"/>
  <c r="H27" i="5"/>
  <c r="H28" i="5" s="1"/>
  <c r="O30" i="4"/>
  <c r="F31" i="4"/>
  <c r="F32" i="4" s="1"/>
  <c r="K312" i="1"/>
  <c r="L312" i="1" s="1"/>
  <c r="R48" i="1"/>
  <c r="E101" i="2"/>
  <c r="H123" i="2" s="1"/>
  <c r="I123" i="2" s="1"/>
  <c r="J123" i="2" s="1"/>
  <c r="K123" i="2" s="1"/>
  <c r="L123" i="2" s="1"/>
  <c r="M123" i="2" s="1"/>
  <c r="N123" i="2" s="1"/>
  <c r="O123" i="2" s="1"/>
  <c r="P123" i="2" s="1"/>
  <c r="Q123" i="2" s="1"/>
  <c r="F84" i="2"/>
  <c r="F67" i="2"/>
  <c r="F117" i="2"/>
  <c r="E44" i="5" l="1"/>
  <c r="E45" i="5" s="1"/>
  <c r="F42" i="5"/>
  <c r="F43" i="5" s="1"/>
  <c r="R40" i="4"/>
  <c r="G47" i="7"/>
  <c r="F41" i="7"/>
  <c r="F35" i="7" s="1"/>
  <c r="F37" i="7" s="1"/>
  <c r="K48" i="6"/>
  <c r="J45" i="6"/>
  <c r="E41" i="5"/>
  <c r="F43" i="6"/>
  <c r="F44" i="6" s="1"/>
  <c r="F42" i="6" s="1"/>
  <c r="F35" i="6" s="1"/>
  <c r="F37" i="6" s="1"/>
  <c r="H32" i="7"/>
  <c r="H33" i="7" s="1"/>
  <c r="I31" i="7"/>
  <c r="G34" i="7"/>
  <c r="G42" i="7"/>
  <c r="G43" i="7" s="1"/>
  <c r="G44" i="7" s="1"/>
  <c r="K23" i="7"/>
  <c r="J27" i="7"/>
  <c r="J28" i="7" s="1"/>
  <c r="K40" i="7"/>
  <c r="G34" i="6"/>
  <c r="G43" i="6"/>
  <c r="G44" i="6" s="1"/>
  <c r="G42" i="6" s="1"/>
  <c r="G35" i="6" s="1"/>
  <c r="K41" i="6"/>
  <c r="H27" i="6"/>
  <c r="H28" i="6" s="1"/>
  <c r="I23" i="6"/>
  <c r="I31" i="6"/>
  <c r="H32" i="6"/>
  <c r="K40" i="5"/>
  <c r="G34" i="5"/>
  <c r="G42" i="5"/>
  <c r="G43" i="5" s="1"/>
  <c r="I27" i="5"/>
  <c r="I28" i="5" s="1"/>
  <c r="J23" i="5"/>
  <c r="H32" i="5"/>
  <c r="H33" i="5" s="1"/>
  <c r="I31" i="5"/>
  <c r="G31" i="4"/>
  <c r="G32" i="4" s="1"/>
  <c r="K344" i="1"/>
  <c r="L344" i="1" s="1"/>
  <c r="K346" i="1"/>
  <c r="L346" i="1" s="1"/>
  <c r="K265" i="1"/>
  <c r="L265" i="1" s="1"/>
  <c r="K158" i="1"/>
  <c r="L158" i="1" s="1"/>
  <c r="K96" i="1"/>
  <c r="L96" i="1" s="1"/>
  <c r="K32" i="1"/>
  <c r="L32" i="1" s="1"/>
  <c r="K30" i="1"/>
  <c r="L30" i="1" s="1"/>
  <c r="K120" i="1"/>
  <c r="L120" i="1" s="1"/>
  <c r="K318" i="1"/>
  <c r="L318" i="1" s="1"/>
  <c r="C4" i="9" l="1"/>
  <c r="E47" i="5"/>
  <c r="F44" i="5"/>
  <c r="F45" i="5" s="1"/>
  <c r="G44" i="5"/>
  <c r="G45" i="5" s="1"/>
  <c r="S40" i="4"/>
  <c r="E36" i="5"/>
  <c r="E35" i="5"/>
  <c r="E37" i="5" s="1"/>
  <c r="F14" i="5" s="1"/>
  <c r="F36" i="7"/>
  <c r="H47" i="7"/>
  <c r="G41" i="7"/>
  <c r="G35" i="7" s="1"/>
  <c r="G37" i="7" s="1"/>
  <c r="L48" i="6"/>
  <c r="K45" i="6"/>
  <c r="F36" i="6"/>
  <c r="L40" i="7"/>
  <c r="F38" i="7"/>
  <c r="J31" i="7"/>
  <c r="I32" i="7"/>
  <c r="I33" i="7" s="1"/>
  <c r="K27" i="7"/>
  <c r="K28" i="7" s="1"/>
  <c r="L23" i="7"/>
  <c r="H34" i="7"/>
  <c r="H42" i="7"/>
  <c r="H43" i="7" s="1"/>
  <c r="H44" i="7" s="1"/>
  <c r="H33" i="6"/>
  <c r="I32" i="6"/>
  <c r="J31" i="6"/>
  <c r="I27" i="6"/>
  <c r="I28" i="6" s="1"/>
  <c r="J23" i="6"/>
  <c r="L41" i="6"/>
  <c r="G37" i="6"/>
  <c r="G36" i="6"/>
  <c r="H34" i="5"/>
  <c r="H42" i="5"/>
  <c r="H43" i="5" s="1"/>
  <c r="I32" i="5"/>
  <c r="I33" i="5" s="1"/>
  <c r="J31" i="5"/>
  <c r="L40" i="5"/>
  <c r="J27" i="5"/>
  <c r="J28" i="5" s="1"/>
  <c r="K23" i="5"/>
  <c r="H31" i="4"/>
  <c r="H32" i="4" s="1"/>
  <c r="K128" i="1"/>
  <c r="L128" i="1" s="1"/>
  <c r="K345" i="1"/>
  <c r="L345" i="1" s="1"/>
  <c r="K271" i="1"/>
  <c r="L271" i="1" s="1"/>
  <c r="K297" i="1"/>
  <c r="L297" i="1" s="1"/>
  <c r="K296" i="1"/>
  <c r="L296" i="1" s="1"/>
  <c r="H38" i="2"/>
  <c r="H41" i="2" s="1"/>
  <c r="K302" i="1"/>
  <c r="L302" i="1" s="1"/>
  <c r="K301" i="1"/>
  <c r="L301" i="1" s="1"/>
  <c r="K288" i="1"/>
  <c r="L288" i="1" s="1"/>
  <c r="K189" i="1"/>
  <c r="L189" i="1" s="1"/>
  <c r="K268" i="1"/>
  <c r="L268" i="1" s="1"/>
  <c r="K261" i="1"/>
  <c r="L261" i="1" s="1"/>
  <c r="K198" i="1"/>
  <c r="L198" i="1" s="1"/>
  <c r="K197" i="1"/>
  <c r="L197" i="1" s="1"/>
  <c r="K196" i="1"/>
  <c r="L196" i="1" s="1"/>
  <c r="K195" i="1"/>
  <c r="L195" i="1" s="1"/>
  <c r="K239" i="1"/>
  <c r="L239" i="1" s="1"/>
  <c r="K231" i="1"/>
  <c r="L231" i="1" s="1"/>
  <c r="K133" i="1"/>
  <c r="L133" i="1" s="1"/>
  <c r="K202" i="1"/>
  <c r="L202" i="1" s="1"/>
  <c r="K199" i="1"/>
  <c r="L199" i="1" s="1"/>
  <c r="K193" i="1"/>
  <c r="L193" i="1" s="1"/>
  <c r="K192" i="1"/>
  <c r="L192" i="1" s="1"/>
  <c r="K184" i="1"/>
  <c r="L184" i="1" s="1"/>
  <c r="K180" i="1"/>
  <c r="L180" i="1" s="1"/>
  <c r="K177" i="1"/>
  <c r="L177" i="1" s="1"/>
  <c r="K176" i="1"/>
  <c r="L176" i="1" s="1"/>
  <c r="K175" i="1"/>
  <c r="L175" i="1" s="1"/>
  <c r="K93" i="1"/>
  <c r="L93" i="1" s="1"/>
  <c r="K122" i="1"/>
  <c r="L122" i="1" s="1"/>
  <c r="K121" i="1"/>
  <c r="L121" i="1" s="1"/>
  <c r="K118" i="1"/>
  <c r="L118" i="1" s="1"/>
  <c r="K117" i="1"/>
  <c r="L117" i="1" s="1"/>
  <c r="K119" i="1"/>
  <c r="L119" i="1" s="1"/>
  <c r="K35" i="1"/>
  <c r="L35" i="1" s="1"/>
  <c r="K90" i="1"/>
  <c r="L90" i="1" s="1"/>
  <c r="K89" i="1"/>
  <c r="L89" i="1" s="1"/>
  <c r="K205" i="1"/>
  <c r="L205" i="1" s="1"/>
  <c r="K172" i="1"/>
  <c r="L172" i="1" s="1"/>
  <c r="K166" i="1"/>
  <c r="L166" i="1" s="1"/>
  <c r="K162" i="1"/>
  <c r="L162" i="1" s="1"/>
  <c r="K105" i="1"/>
  <c r="L105" i="1" s="1"/>
  <c r="K83" i="1"/>
  <c r="L83" i="1" s="1"/>
  <c r="K76" i="1"/>
  <c r="L76" i="1" s="1"/>
  <c r="K65" i="1"/>
  <c r="L65" i="1" s="1"/>
  <c r="K66" i="1"/>
  <c r="L66" i="1" s="1"/>
  <c r="K82" i="1"/>
  <c r="L82" i="1" s="1"/>
  <c r="K80" i="1"/>
  <c r="L80" i="1" s="1"/>
  <c r="K79" i="1"/>
  <c r="L79" i="1" s="1"/>
  <c r="K78" i="1"/>
  <c r="L78" i="1" s="1"/>
  <c r="K8" i="1"/>
  <c r="L8" i="1" s="1"/>
  <c r="K24" i="1"/>
  <c r="L24" i="1" s="1"/>
  <c r="K42" i="1"/>
  <c r="L42" i="1" s="1"/>
  <c r="K41" i="1"/>
  <c r="L41" i="1" s="1"/>
  <c r="K40" i="1"/>
  <c r="K27" i="1"/>
  <c r="L27" i="1" s="1"/>
  <c r="K26" i="1"/>
  <c r="L26" i="1" s="1"/>
  <c r="K25" i="1"/>
  <c r="L25" i="1" s="1"/>
  <c r="K23" i="1"/>
  <c r="L23" i="1" s="1"/>
  <c r="K22" i="1"/>
  <c r="L22" i="1" s="1"/>
  <c r="K21" i="1"/>
  <c r="L21" i="1" s="1"/>
  <c r="L7" i="1"/>
  <c r="K77" i="1"/>
  <c r="L77" i="1" s="1"/>
  <c r="K64" i="1"/>
  <c r="L64" i="1" s="1"/>
  <c r="K232" i="1"/>
  <c r="L232" i="1" s="1"/>
  <c r="K111" i="1"/>
  <c r="L111" i="1" s="1"/>
  <c r="K110" i="1"/>
  <c r="L110" i="1" s="1"/>
  <c r="K109" i="1"/>
  <c r="L109" i="1" s="1"/>
  <c r="K108" i="1"/>
  <c r="L108" i="1" s="1"/>
  <c r="K139" i="1"/>
  <c r="L139" i="1" s="1"/>
  <c r="K347" i="1"/>
  <c r="L347" i="1" s="1"/>
  <c r="K334" i="1"/>
  <c r="L334" i="1" s="1"/>
  <c r="K332" i="1"/>
  <c r="L332" i="1" s="1"/>
  <c r="K330" i="1"/>
  <c r="L330" i="1" s="1"/>
  <c r="K329" i="1"/>
  <c r="L329" i="1" s="1"/>
  <c r="K326" i="1"/>
  <c r="L326" i="1" s="1"/>
  <c r="K325" i="1"/>
  <c r="L325" i="1" s="1"/>
  <c r="K324" i="1"/>
  <c r="L324" i="1" s="1"/>
  <c r="K323" i="1"/>
  <c r="L323" i="1" s="1"/>
  <c r="K321" i="1"/>
  <c r="L321" i="1" s="1"/>
  <c r="K320" i="1"/>
  <c r="L320" i="1" s="1"/>
  <c r="K319" i="1"/>
  <c r="L319" i="1" s="1"/>
  <c r="K316" i="1"/>
  <c r="L316" i="1" s="1"/>
  <c r="K314" i="1"/>
  <c r="L314" i="1" s="1"/>
  <c r="K313" i="1"/>
  <c r="L313" i="1" s="1"/>
  <c r="K311" i="1"/>
  <c r="L311" i="1" s="1"/>
  <c r="K308" i="1"/>
  <c r="L308" i="1" s="1"/>
  <c r="K306" i="1"/>
  <c r="L306" i="1" s="1"/>
  <c r="K305" i="1"/>
  <c r="L305" i="1" s="1"/>
  <c r="K291" i="1"/>
  <c r="L291" i="1" s="1"/>
  <c r="K286" i="1"/>
  <c r="L286" i="1" s="1"/>
  <c r="K285" i="1"/>
  <c r="L285" i="1" s="1"/>
  <c r="K284" i="1"/>
  <c r="L284" i="1" s="1"/>
  <c r="K283" i="1"/>
  <c r="L283" i="1" s="1"/>
  <c r="K282" i="1"/>
  <c r="L282" i="1" s="1"/>
  <c r="K281" i="1"/>
  <c r="L281" i="1" s="1"/>
  <c r="K276" i="1"/>
  <c r="L276" i="1" s="1"/>
  <c r="K275" i="1"/>
  <c r="L275" i="1" s="1"/>
  <c r="K260" i="1"/>
  <c r="L260" i="1" s="1"/>
  <c r="K256" i="1"/>
  <c r="L256" i="1" s="1"/>
  <c r="K252" i="1"/>
  <c r="L252" i="1" s="1"/>
  <c r="K249" i="1"/>
  <c r="L249" i="1" s="1"/>
  <c r="K248" i="1"/>
  <c r="L248" i="1" s="1"/>
  <c r="K245" i="1"/>
  <c r="L245" i="1" s="1"/>
  <c r="K241" i="1"/>
  <c r="L241" i="1" s="1"/>
  <c r="K238" i="1"/>
  <c r="L238" i="1" s="1"/>
  <c r="K236" i="1"/>
  <c r="L236" i="1" s="1"/>
  <c r="K235" i="1"/>
  <c r="L235" i="1" s="1"/>
  <c r="K234" i="1"/>
  <c r="L234" i="1" s="1"/>
  <c r="K226" i="1"/>
  <c r="L226" i="1" s="1"/>
  <c r="K225" i="1"/>
  <c r="L225" i="1" s="1"/>
  <c r="K229" i="1"/>
  <c r="L229" i="1" s="1"/>
  <c r="K223" i="1"/>
  <c r="L223" i="1" s="1"/>
  <c r="K218" i="1"/>
  <c r="L218" i="1" s="1"/>
  <c r="K216" i="1"/>
  <c r="L216" i="1" s="1"/>
  <c r="K215" i="1"/>
  <c r="L215" i="1" s="1"/>
  <c r="K212" i="1"/>
  <c r="L212" i="1" s="1"/>
  <c r="K211" i="1"/>
  <c r="L211" i="1" s="1"/>
  <c r="K194" i="1"/>
  <c r="L194" i="1" s="1"/>
  <c r="K191" i="1"/>
  <c r="L191" i="1" s="1"/>
  <c r="K181" i="1"/>
  <c r="L181" i="1" s="1"/>
  <c r="K179" i="1"/>
  <c r="L179" i="1" s="1"/>
  <c r="K178" i="1"/>
  <c r="L178" i="1" s="1"/>
  <c r="K171" i="1"/>
  <c r="L171" i="1" s="1"/>
  <c r="K165" i="1"/>
  <c r="L165" i="1" s="1"/>
  <c r="K161" i="1"/>
  <c r="L161" i="1" s="1"/>
  <c r="K160" i="1"/>
  <c r="L160" i="1" s="1"/>
  <c r="K159" i="1"/>
  <c r="L159" i="1" s="1"/>
  <c r="K157" i="1"/>
  <c r="L157" i="1" s="1"/>
  <c r="K156" i="1"/>
  <c r="L156" i="1" s="1"/>
  <c r="K153" i="1"/>
  <c r="L153" i="1" s="1"/>
  <c r="K152" i="1"/>
  <c r="L152" i="1" s="1"/>
  <c r="K150" i="1"/>
  <c r="L150" i="1" s="1"/>
  <c r="K149" i="1"/>
  <c r="L149" i="1" s="1"/>
  <c r="K148" i="1"/>
  <c r="L148" i="1" s="1"/>
  <c r="K147" i="1"/>
  <c r="L147" i="1" s="1"/>
  <c r="K145" i="1"/>
  <c r="L145" i="1" s="1"/>
  <c r="K140" i="1"/>
  <c r="L140" i="1" s="1"/>
  <c r="K142" i="1"/>
  <c r="L142" i="1" s="1"/>
  <c r="K138" i="1"/>
  <c r="L138" i="1" s="1"/>
  <c r="K137" i="1"/>
  <c r="L137" i="1" s="1"/>
  <c r="K136" i="1"/>
  <c r="L136" i="1" s="1"/>
  <c r="K135" i="1"/>
  <c r="L135" i="1" s="1"/>
  <c r="K134" i="1"/>
  <c r="L134" i="1" s="1"/>
  <c r="K132" i="1"/>
  <c r="L132" i="1" s="1"/>
  <c r="K131" i="1"/>
  <c r="L131" i="1" s="1"/>
  <c r="K130" i="1"/>
  <c r="L130" i="1" s="1"/>
  <c r="K127" i="1"/>
  <c r="L127" i="1" s="1"/>
  <c r="K125" i="1"/>
  <c r="L125" i="1" s="1"/>
  <c r="K114" i="1"/>
  <c r="L114" i="1" s="1"/>
  <c r="K113" i="1"/>
  <c r="L113" i="1" s="1"/>
  <c r="K112" i="1"/>
  <c r="L112" i="1" s="1"/>
  <c r="K115" i="1"/>
  <c r="L115" i="1" s="1"/>
  <c r="K102" i="1"/>
  <c r="L102" i="1" s="1"/>
  <c r="K99" i="1"/>
  <c r="L99" i="1" s="1"/>
  <c r="K98" i="1"/>
  <c r="L98" i="1" s="1"/>
  <c r="K97" i="1"/>
  <c r="L97" i="1" s="1"/>
  <c r="K92" i="1"/>
  <c r="L92" i="1" s="1"/>
  <c r="K91" i="1"/>
  <c r="L91" i="1" s="1"/>
  <c r="K73" i="1"/>
  <c r="L73" i="1" s="1"/>
  <c r="K69" i="1"/>
  <c r="L69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39" i="1"/>
  <c r="L39" i="1" s="1"/>
  <c r="K38" i="1"/>
  <c r="L38" i="1" s="1"/>
  <c r="K36" i="1"/>
  <c r="L36" i="1" s="1"/>
  <c r="K33" i="1"/>
  <c r="L33" i="1" s="1"/>
  <c r="K31" i="1"/>
  <c r="L31" i="1" s="1"/>
  <c r="K28" i="1"/>
  <c r="L28" i="1" s="1"/>
  <c r="K20" i="1"/>
  <c r="L20" i="1" s="1"/>
  <c r="K19" i="1"/>
  <c r="L19" i="1" s="1"/>
  <c r="K18" i="1"/>
  <c r="L18" i="1" s="1"/>
  <c r="K17" i="1"/>
  <c r="L17" i="1" s="1"/>
  <c r="K16" i="1"/>
  <c r="L16" i="1" s="1"/>
  <c r="K14" i="1"/>
  <c r="L14" i="1" s="1"/>
  <c r="K13" i="1"/>
  <c r="L13" i="1" s="1"/>
  <c r="K15" i="1"/>
  <c r="L15" i="1" s="1"/>
  <c r="K10" i="1"/>
  <c r="L10" i="1" s="1"/>
  <c r="F41" i="5" l="1"/>
  <c r="F47" i="5"/>
  <c r="G47" i="5"/>
  <c r="G41" i="5"/>
  <c r="G35" i="5" s="1"/>
  <c r="G37" i="5" s="1"/>
  <c r="H44" i="5"/>
  <c r="H45" i="5" s="1"/>
  <c r="E38" i="5"/>
  <c r="T40" i="4"/>
  <c r="G36" i="7"/>
  <c r="I47" i="7"/>
  <c r="H41" i="7"/>
  <c r="H35" i="7" s="1"/>
  <c r="H37" i="7" s="1"/>
  <c r="M48" i="6"/>
  <c r="L45" i="6"/>
  <c r="I38" i="2"/>
  <c r="H42" i="2"/>
  <c r="I33" i="6"/>
  <c r="I43" i="6" s="1"/>
  <c r="I44" i="6" s="1"/>
  <c r="I42" i="6" s="1"/>
  <c r="I35" i="6" s="1"/>
  <c r="I34" i="7"/>
  <c r="I42" i="7"/>
  <c r="I43" i="7" s="1"/>
  <c r="I44" i="7" s="1"/>
  <c r="L27" i="7"/>
  <c r="L28" i="7" s="1"/>
  <c r="M23" i="7"/>
  <c r="J32" i="7"/>
  <c r="J33" i="7" s="1"/>
  <c r="K31" i="7"/>
  <c r="G38" i="7"/>
  <c r="M40" i="7"/>
  <c r="K31" i="6"/>
  <c r="J32" i="6"/>
  <c r="J27" i="6"/>
  <c r="J28" i="6" s="1"/>
  <c r="K23" i="6"/>
  <c r="H34" i="6"/>
  <c r="H43" i="6"/>
  <c r="H44" i="6" s="1"/>
  <c r="H42" i="6" s="1"/>
  <c r="H35" i="6" s="1"/>
  <c r="M41" i="6"/>
  <c r="I34" i="5"/>
  <c r="I42" i="5"/>
  <c r="I43" i="5" s="1"/>
  <c r="L23" i="5"/>
  <c r="K27" i="5"/>
  <c r="K28" i="5" s="1"/>
  <c r="K31" i="5"/>
  <c r="J32" i="5"/>
  <c r="J33" i="5" s="1"/>
  <c r="M40" i="5"/>
  <c r="I31" i="4"/>
  <c r="I32" i="4" s="1"/>
  <c r="E117" i="2"/>
  <c r="H47" i="5" l="1"/>
  <c r="H41" i="5"/>
  <c r="H35" i="5" s="1"/>
  <c r="H37" i="5" s="1"/>
  <c r="I44" i="5"/>
  <c r="I45" i="5" s="1"/>
  <c r="G36" i="5"/>
  <c r="F35" i="5"/>
  <c r="F37" i="5" s="1"/>
  <c r="F38" i="5" s="1"/>
  <c r="G38" i="5" s="1"/>
  <c r="H38" i="5" s="1"/>
  <c r="F36" i="5"/>
  <c r="I34" i="6"/>
  <c r="H36" i="5"/>
  <c r="U40" i="4"/>
  <c r="H36" i="7"/>
  <c r="J47" i="7"/>
  <c r="I41" i="7"/>
  <c r="I35" i="7" s="1"/>
  <c r="I37" i="7" s="1"/>
  <c r="N48" i="6"/>
  <c r="M45" i="6"/>
  <c r="J38" i="2"/>
  <c r="I41" i="2"/>
  <c r="I42" i="2" s="1"/>
  <c r="J33" i="6"/>
  <c r="J43" i="6" s="1"/>
  <c r="J44" i="6" s="1"/>
  <c r="J42" i="6" s="1"/>
  <c r="J35" i="6" s="1"/>
  <c r="M27" i="7"/>
  <c r="M28" i="7" s="1"/>
  <c r="N23" i="7"/>
  <c r="N40" i="7"/>
  <c r="K32" i="7"/>
  <c r="K33" i="7" s="1"/>
  <c r="L31" i="7"/>
  <c r="J34" i="7"/>
  <c r="J42" i="7"/>
  <c r="J43" i="7" s="1"/>
  <c r="J44" i="7" s="1"/>
  <c r="H38" i="7"/>
  <c r="L31" i="6"/>
  <c r="K32" i="6"/>
  <c r="N41" i="6"/>
  <c r="K27" i="6"/>
  <c r="K28" i="6" s="1"/>
  <c r="L23" i="6"/>
  <c r="I36" i="6"/>
  <c r="I37" i="6"/>
  <c r="H36" i="6"/>
  <c r="H37" i="6"/>
  <c r="J34" i="5"/>
  <c r="J42" i="5"/>
  <c r="J43" i="5" s="1"/>
  <c r="N40" i="5"/>
  <c r="L31" i="5"/>
  <c r="K32" i="5"/>
  <c r="K33" i="5" s="1"/>
  <c r="M23" i="5"/>
  <c r="L27" i="5"/>
  <c r="L28" i="5" s="1"/>
  <c r="J31" i="4"/>
  <c r="J32" i="4" s="1"/>
  <c r="F24" i="4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E67" i="2"/>
  <c r="E84" i="2"/>
  <c r="E49" i="2"/>
  <c r="G353" i="1"/>
  <c r="I41" i="5" l="1"/>
  <c r="I47" i="5"/>
  <c r="J44" i="5"/>
  <c r="J45" i="5" s="1"/>
  <c r="I36" i="7"/>
  <c r="K33" i="6"/>
  <c r="K34" i="6" s="1"/>
  <c r="K47" i="7"/>
  <c r="J41" i="7"/>
  <c r="J35" i="7" s="1"/>
  <c r="J37" i="7" s="1"/>
  <c r="N45" i="6"/>
  <c r="K38" i="2"/>
  <c r="J41" i="2"/>
  <c r="J42" i="2" s="1"/>
  <c r="H66" i="2"/>
  <c r="E54" i="2"/>
  <c r="H100" i="2"/>
  <c r="H83" i="2"/>
  <c r="H116" i="2"/>
  <c r="E118" i="2"/>
  <c r="J34" i="6"/>
  <c r="L32" i="7"/>
  <c r="L33" i="7" s="1"/>
  <c r="M31" i="7"/>
  <c r="O23" i="7"/>
  <c r="N27" i="7"/>
  <c r="N28" i="7" s="1"/>
  <c r="K34" i="7"/>
  <c r="K42" i="7"/>
  <c r="K43" i="7" s="1"/>
  <c r="K44" i="7" s="1"/>
  <c r="O40" i="7"/>
  <c r="I38" i="7"/>
  <c r="K43" i="6"/>
  <c r="K44" i="6" s="1"/>
  <c r="K42" i="6" s="1"/>
  <c r="K35" i="6" s="1"/>
  <c r="O41" i="6"/>
  <c r="J37" i="6"/>
  <c r="J36" i="6"/>
  <c r="M23" i="6"/>
  <c r="L27" i="6"/>
  <c r="L28" i="6" s="1"/>
  <c r="L32" i="6"/>
  <c r="M31" i="6"/>
  <c r="K34" i="5"/>
  <c r="K42" i="5"/>
  <c r="K43" i="5" s="1"/>
  <c r="L32" i="5"/>
  <c r="L33" i="5" s="1"/>
  <c r="M31" i="5"/>
  <c r="M27" i="5"/>
  <c r="M28" i="5" s="1"/>
  <c r="N23" i="5"/>
  <c r="O40" i="5"/>
  <c r="K31" i="4"/>
  <c r="K32" i="4" s="1"/>
  <c r="F26" i="4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F25" i="4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E68" i="2"/>
  <c r="W23" i="4"/>
  <c r="E85" i="2"/>
  <c r="E96" i="2"/>
  <c r="J41" i="5" l="1"/>
  <c r="J35" i="5" s="1"/>
  <c r="J37" i="5" s="1"/>
  <c r="J47" i="5"/>
  <c r="K44" i="5"/>
  <c r="K45" i="5" s="1"/>
  <c r="I35" i="5"/>
  <c r="I37" i="5" s="1"/>
  <c r="I38" i="5" s="1"/>
  <c r="I36" i="5"/>
  <c r="J38" i="5"/>
  <c r="J36" i="5"/>
  <c r="J36" i="7"/>
  <c r="D5" i="9"/>
  <c r="O48" i="6"/>
  <c r="O49" i="6" s="1"/>
  <c r="F5" i="9" s="1"/>
  <c r="L47" i="7"/>
  <c r="K41" i="7"/>
  <c r="K36" i="7" s="1"/>
  <c r="O45" i="6"/>
  <c r="H102" i="2"/>
  <c r="H101" i="2" s="1"/>
  <c r="J109" i="2"/>
  <c r="N109" i="2"/>
  <c r="H109" i="2"/>
  <c r="K109" i="2"/>
  <c r="O109" i="2"/>
  <c r="L109" i="2"/>
  <c r="P109" i="2"/>
  <c r="I109" i="2"/>
  <c r="M109" i="2"/>
  <c r="Q109" i="2"/>
  <c r="Q110" i="2" s="1"/>
  <c r="Q112" i="2" s="1"/>
  <c r="L38" i="2"/>
  <c r="K41" i="2"/>
  <c r="K42" i="2" s="1"/>
  <c r="J125" i="2"/>
  <c r="N125" i="2"/>
  <c r="H125" i="2"/>
  <c r="K125" i="2"/>
  <c r="O125" i="2"/>
  <c r="H118" i="2"/>
  <c r="L125" i="2"/>
  <c r="P125" i="2"/>
  <c r="I125" i="2"/>
  <c r="M125" i="2"/>
  <c r="Q125" i="2"/>
  <c r="H92" i="2"/>
  <c r="I92" i="2"/>
  <c r="M92" i="2"/>
  <c r="Q92" i="2"/>
  <c r="J92" i="2"/>
  <c r="N92" i="2"/>
  <c r="K92" i="2"/>
  <c r="O92" i="2"/>
  <c r="H85" i="2"/>
  <c r="H84" i="2" s="1"/>
  <c r="L92" i="2"/>
  <c r="P92" i="2"/>
  <c r="J75" i="2"/>
  <c r="N75" i="2"/>
  <c r="H75" i="2"/>
  <c r="K75" i="2"/>
  <c r="O75" i="2"/>
  <c r="L75" i="2"/>
  <c r="P75" i="2"/>
  <c r="I75" i="2"/>
  <c r="M75" i="2"/>
  <c r="Q75" i="2"/>
  <c r="Q76" i="2" s="1"/>
  <c r="Q78" i="2" s="1"/>
  <c r="H68" i="2"/>
  <c r="H67" i="2" s="1"/>
  <c r="L54" i="2"/>
  <c r="P54" i="2"/>
  <c r="I54" i="2"/>
  <c r="M54" i="2"/>
  <c r="Q54" i="2"/>
  <c r="Q55" i="2" s="1"/>
  <c r="Q57" i="2" s="1"/>
  <c r="J54" i="2"/>
  <c r="N54" i="2"/>
  <c r="H54" i="2"/>
  <c r="K54" i="2"/>
  <c r="O54" i="2"/>
  <c r="H47" i="2"/>
  <c r="H46" i="2" s="1"/>
  <c r="J38" i="7"/>
  <c r="L33" i="6"/>
  <c r="L34" i="6" s="1"/>
  <c r="O27" i="7"/>
  <c r="P23" i="7"/>
  <c r="O28" i="7"/>
  <c r="N31" i="7"/>
  <c r="M32" i="7"/>
  <c r="M33" i="7" s="1"/>
  <c r="P40" i="7"/>
  <c r="L34" i="7"/>
  <c r="L42" i="7"/>
  <c r="L43" i="7" s="1"/>
  <c r="L44" i="7" s="1"/>
  <c r="M27" i="6"/>
  <c r="M28" i="6" s="1"/>
  <c r="N23" i="6"/>
  <c r="K36" i="6"/>
  <c r="K37" i="6"/>
  <c r="M32" i="6"/>
  <c r="N31" i="6"/>
  <c r="P41" i="6"/>
  <c r="L34" i="5"/>
  <c r="L42" i="5"/>
  <c r="L43" i="5" s="1"/>
  <c r="N27" i="5"/>
  <c r="N28" i="5" s="1"/>
  <c r="O23" i="5"/>
  <c r="P40" i="5"/>
  <c r="M32" i="5"/>
  <c r="M33" i="5" s="1"/>
  <c r="N31" i="5"/>
  <c r="L31" i="4"/>
  <c r="L32" i="4" s="1"/>
  <c r="E27" i="4"/>
  <c r="E28" i="4" s="1"/>
  <c r="E33" i="4" s="1"/>
  <c r="F23" i="4"/>
  <c r="K41" i="5" l="1"/>
  <c r="K35" i="5" s="1"/>
  <c r="K37" i="5" s="1"/>
  <c r="K47" i="5"/>
  <c r="L44" i="5"/>
  <c r="L45" i="5" s="1"/>
  <c r="K35" i="7"/>
  <c r="K37" i="7" s="1"/>
  <c r="K36" i="5"/>
  <c r="K38" i="5"/>
  <c r="E42" i="4"/>
  <c r="E43" i="4" s="1"/>
  <c r="E44" i="4" s="1"/>
  <c r="E34" i="4"/>
  <c r="Q93" i="2"/>
  <c r="Q95" i="2" s="1"/>
  <c r="M47" i="7"/>
  <c r="L41" i="7"/>
  <c r="L35" i="7" s="1"/>
  <c r="L37" i="7" s="1"/>
  <c r="P45" i="6"/>
  <c r="K104" i="2"/>
  <c r="O104" i="2"/>
  <c r="H104" i="2"/>
  <c r="H105" i="2" s="1"/>
  <c r="L104" i="2"/>
  <c r="P104" i="2"/>
  <c r="Q104" i="2"/>
  <c r="Q113" i="2" s="1"/>
  <c r="I104" i="2"/>
  <c r="M104" i="2"/>
  <c r="J104" i="2"/>
  <c r="N104" i="2"/>
  <c r="K70" i="2"/>
  <c r="O70" i="2"/>
  <c r="L70" i="2"/>
  <c r="P70" i="2"/>
  <c r="I70" i="2"/>
  <c r="M70" i="2"/>
  <c r="Q70" i="2"/>
  <c r="Q79" i="2" s="1"/>
  <c r="J70" i="2"/>
  <c r="N70" i="2"/>
  <c r="H70" i="2"/>
  <c r="H71" i="2" s="1"/>
  <c r="M38" i="2"/>
  <c r="L41" i="2"/>
  <c r="L42" i="2" s="1"/>
  <c r="H49" i="2"/>
  <c r="H50" i="2" s="1"/>
  <c r="J49" i="2"/>
  <c r="M49" i="2"/>
  <c r="L49" i="2"/>
  <c r="Q49" i="2"/>
  <c r="Q58" i="2" s="1"/>
  <c r="P49" i="2"/>
  <c r="O49" i="2"/>
  <c r="K49" i="2"/>
  <c r="N49" i="2"/>
  <c r="I49" i="2"/>
  <c r="I87" i="2"/>
  <c r="M87" i="2"/>
  <c r="Q87" i="2"/>
  <c r="J87" i="2"/>
  <c r="N87" i="2"/>
  <c r="H87" i="2"/>
  <c r="H88" i="2" s="1"/>
  <c r="K87" i="2"/>
  <c r="O87" i="2"/>
  <c r="L87" i="2"/>
  <c r="P87" i="2"/>
  <c r="H117" i="2"/>
  <c r="H120" i="2" s="1"/>
  <c r="K38" i="7"/>
  <c r="M33" i="6"/>
  <c r="M34" i="6" s="1"/>
  <c r="L43" i="6"/>
  <c r="L44" i="6" s="1"/>
  <c r="L42" i="6" s="1"/>
  <c r="Q40" i="7"/>
  <c r="P27" i="7"/>
  <c r="P28" i="7" s="1"/>
  <c r="P33" i="7" s="1"/>
  <c r="Q23" i="7"/>
  <c r="M34" i="7"/>
  <c r="M42" i="7"/>
  <c r="M43" i="7" s="1"/>
  <c r="M44" i="7" s="1"/>
  <c r="N32" i="7"/>
  <c r="N33" i="7" s="1"/>
  <c r="O33" i="7"/>
  <c r="Q41" i="6"/>
  <c r="N32" i="6"/>
  <c r="O31" i="6"/>
  <c r="O32" i="6" s="1"/>
  <c r="O23" i="6"/>
  <c r="N27" i="6"/>
  <c r="N28" i="6" s="1"/>
  <c r="N32" i="5"/>
  <c r="N33" i="5" s="1"/>
  <c r="M34" i="5"/>
  <c r="M42" i="5"/>
  <c r="M43" i="5" s="1"/>
  <c r="O27" i="5"/>
  <c r="O28" i="5" s="1"/>
  <c r="P23" i="5"/>
  <c r="Q40" i="5"/>
  <c r="E45" i="4"/>
  <c r="C3" i="9" s="1"/>
  <c r="G23" i="4"/>
  <c r="F27" i="4"/>
  <c r="F28" i="4" s="1"/>
  <c r="F33" i="4" s="1"/>
  <c r="M31" i="4"/>
  <c r="M32" i="4" s="1"/>
  <c r="L47" i="5" l="1"/>
  <c r="L41" i="5"/>
  <c r="L35" i="5" s="1"/>
  <c r="L37" i="5" s="1"/>
  <c r="M44" i="5"/>
  <c r="M45" i="5" s="1"/>
  <c r="I105" i="2"/>
  <c r="L38" i="5"/>
  <c r="Q96" i="2"/>
  <c r="L36" i="7"/>
  <c r="M43" i="6"/>
  <c r="M44" i="6" s="1"/>
  <c r="M42" i="6" s="1"/>
  <c r="M35" i="6" s="1"/>
  <c r="M37" i="6" s="1"/>
  <c r="E47" i="4"/>
  <c r="N47" i="7"/>
  <c r="M41" i="7"/>
  <c r="M36" i="7" s="1"/>
  <c r="Q45" i="6"/>
  <c r="L36" i="6"/>
  <c r="L35" i="6"/>
  <c r="L37" i="6" s="1"/>
  <c r="H72" i="2"/>
  <c r="H76" i="2" s="1"/>
  <c r="H78" i="2" s="1"/>
  <c r="H79" i="2" s="1"/>
  <c r="I71" i="2"/>
  <c r="H121" i="2"/>
  <c r="L120" i="2"/>
  <c r="P120" i="2"/>
  <c r="I120" i="2"/>
  <c r="M120" i="2"/>
  <c r="J120" i="2"/>
  <c r="N120" i="2"/>
  <c r="K120" i="2"/>
  <c r="O120" i="2"/>
  <c r="H89" i="2"/>
  <c r="H93" i="2" s="1"/>
  <c r="H95" i="2" s="1"/>
  <c r="H96" i="2" s="1"/>
  <c r="I88" i="2"/>
  <c r="H51" i="2"/>
  <c r="H55" i="2" s="1"/>
  <c r="H57" i="2" s="1"/>
  <c r="H58" i="2" s="1"/>
  <c r="I50" i="2"/>
  <c r="I106" i="2"/>
  <c r="I110" i="2" s="1"/>
  <c r="I112" i="2" s="1"/>
  <c r="I113" i="2" s="1"/>
  <c r="J105" i="2"/>
  <c r="N38" i="2"/>
  <c r="M41" i="2"/>
  <c r="M42" i="2" s="1"/>
  <c r="H106" i="2"/>
  <c r="H110" i="2" s="1"/>
  <c r="H112" i="2" s="1"/>
  <c r="H113" i="2" s="1"/>
  <c r="L38" i="7"/>
  <c r="N33" i="6"/>
  <c r="N34" i="6" s="1"/>
  <c r="P34" i="7"/>
  <c r="P42" i="7"/>
  <c r="P43" i="7" s="1"/>
  <c r="P44" i="7" s="1"/>
  <c r="O34" i="7"/>
  <c r="O42" i="7"/>
  <c r="O43" i="7" s="1"/>
  <c r="O44" i="7" s="1"/>
  <c r="Q27" i="7"/>
  <c r="Q28" i="7" s="1"/>
  <c r="Q33" i="7" s="1"/>
  <c r="Q34" i="7" s="1"/>
  <c r="R23" i="7"/>
  <c r="N34" i="7"/>
  <c r="N42" i="7"/>
  <c r="N43" i="7" s="1"/>
  <c r="N44" i="7" s="1"/>
  <c r="R40" i="7"/>
  <c r="O33" i="5"/>
  <c r="O34" i="5" s="1"/>
  <c r="O27" i="6"/>
  <c r="O28" i="6" s="1"/>
  <c r="O33" i="6" s="1"/>
  <c r="P23" i="6"/>
  <c r="R41" i="6"/>
  <c r="R40" i="5"/>
  <c r="N34" i="5"/>
  <c r="N42" i="5"/>
  <c r="N43" i="5" s="1"/>
  <c r="Q23" i="5"/>
  <c r="P27" i="5"/>
  <c r="P28" i="5" s="1"/>
  <c r="P33" i="5" s="1"/>
  <c r="E41" i="4"/>
  <c r="E35" i="4" s="1"/>
  <c r="E37" i="4" s="1"/>
  <c r="E38" i="4" s="1"/>
  <c r="F34" i="4"/>
  <c r="F42" i="4"/>
  <c r="H23" i="4"/>
  <c r="G27" i="4"/>
  <c r="G28" i="4" s="1"/>
  <c r="G33" i="4" s="1"/>
  <c r="N31" i="4"/>
  <c r="N32" i="4" s="1"/>
  <c r="M41" i="5" l="1"/>
  <c r="M35" i="5" s="1"/>
  <c r="M37" i="5" s="1"/>
  <c r="M47" i="5"/>
  <c r="N44" i="5"/>
  <c r="N45" i="5" s="1"/>
  <c r="L36" i="5"/>
  <c r="M38" i="5"/>
  <c r="M36" i="6"/>
  <c r="Q42" i="7"/>
  <c r="Q43" i="7" s="1"/>
  <c r="Q44" i="7" s="1"/>
  <c r="M36" i="5"/>
  <c r="M35" i="7"/>
  <c r="M37" i="7" s="1"/>
  <c r="M38" i="7" s="1"/>
  <c r="N41" i="7"/>
  <c r="N35" i="7" s="1"/>
  <c r="N37" i="7" s="1"/>
  <c r="R45" i="6"/>
  <c r="I121" i="2"/>
  <c r="H122" i="2"/>
  <c r="H126" i="2" s="1"/>
  <c r="H128" i="2" s="1"/>
  <c r="H129" i="2" s="1"/>
  <c r="J106" i="2"/>
  <c r="J110" i="2" s="1"/>
  <c r="J112" i="2" s="1"/>
  <c r="J113" i="2" s="1"/>
  <c r="K105" i="2"/>
  <c r="I89" i="2"/>
  <c r="I93" i="2" s="1"/>
  <c r="I95" i="2" s="1"/>
  <c r="I96" i="2" s="1"/>
  <c r="J88" i="2"/>
  <c r="Q121" i="2"/>
  <c r="I72" i="2"/>
  <c r="I76" i="2" s="1"/>
  <c r="I78" i="2" s="1"/>
  <c r="I79" i="2" s="1"/>
  <c r="J71" i="2"/>
  <c r="O38" i="2"/>
  <c r="N41" i="2"/>
  <c r="N42" i="2" s="1"/>
  <c r="I51" i="2"/>
  <c r="I55" i="2" s="1"/>
  <c r="I57" i="2" s="1"/>
  <c r="I58" i="2" s="1"/>
  <c r="J50" i="2"/>
  <c r="N43" i="6"/>
  <c r="N44" i="6" s="1"/>
  <c r="N42" i="6" s="1"/>
  <c r="R27" i="7"/>
  <c r="R28" i="7" s="1"/>
  <c r="R33" i="7" s="1"/>
  <c r="R34" i="7" s="1"/>
  <c r="S23" i="7"/>
  <c r="S40" i="7"/>
  <c r="O42" i="5"/>
  <c r="O43" i="5" s="1"/>
  <c r="O34" i="6"/>
  <c r="O43" i="6"/>
  <c r="O44" i="6" s="1"/>
  <c r="O42" i="6" s="1"/>
  <c r="O35" i="6" s="1"/>
  <c r="S41" i="6"/>
  <c r="P27" i="6"/>
  <c r="P28" i="6" s="1"/>
  <c r="P33" i="6" s="1"/>
  <c r="Q23" i="6"/>
  <c r="P34" i="5"/>
  <c r="P42" i="5"/>
  <c r="P43" i="5" s="1"/>
  <c r="Q27" i="5"/>
  <c r="Q28" i="5" s="1"/>
  <c r="Q33" i="5" s="1"/>
  <c r="R23" i="5"/>
  <c r="S40" i="5"/>
  <c r="G34" i="4"/>
  <c r="G42" i="4"/>
  <c r="E36" i="4"/>
  <c r="I23" i="4"/>
  <c r="H27" i="4"/>
  <c r="H28" i="4" s="1"/>
  <c r="H33" i="4" s="1"/>
  <c r="O31" i="4"/>
  <c r="O32" i="4" s="1"/>
  <c r="N47" i="5" l="1"/>
  <c r="N41" i="5"/>
  <c r="N35" i="5" s="1"/>
  <c r="N37" i="5" s="1"/>
  <c r="O44" i="5"/>
  <c r="O45" i="5" s="1"/>
  <c r="P44" i="5"/>
  <c r="P45" i="5" s="1"/>
  <c r="P41" i="5" s="1"/>
  <c r="N38" i="5"/>
  <c r="N36" i="5"/>
  <c r="D6" i="9"/>
  <c r="O47" i="7"/>
  <c r="O48" i="7" s="1"/>
  <c r="F6" i="9" s="1"/>
  <c r="N36" i="7"/>
  <c r="N38" i="7"/>
  <c r="O41" i="7"/>
  <c r="S45" i="6"/>
  <c r="N36" i="6"/>
  <c r="N35" i="6"/>
  <c r="N37" i="6" s="1"/>
  <c r="P38" i="2"/>
  <c r="O41" i="2"/>
  <c r="O42" i="2" s="1"/>
  <c r="J51" i="2"/>
  <c r="J55" i="2" s="1"/>
  <c r="J57" i="2" s="1"/>
  <c r="J58" i="2" s="1"/>
  <c r="K50" i="2"/>
  <c r="J72" i="2"/>
  <c r="J76" i="2" s="1"/>
  <c r="J78" i="2" s="1"/>
  <c r="J79" i="2" s="1"/>
  <c r="K71" i="2"/>
  <c r="I122" i="2"/>
  <c r="I126" i="2" s="1"/>
  <c r="I128" i="2" s="1"/>
  <c r="I129" i="2" s="1"/>
  <c r="J121" i="2"/>
  <c r="L105" i="2"/>
  <c r="K106" i="2"/>
  <c r="K110" i="2" s="1"/>
  <c r="K112" i="2" s="1"/>
  <c r="K113" i="2" s="1"/>
  <c r="J89" i="2"/>
  <c r="J93" i="2" s="1"/>
  <c r="J95" i="2" s="1"/>
  <c r="J96" i="2" s="1"/>
  <c r="K88" i="2"/>
  <c r="T40" i="7"/>
  <c r="S27" i="7"/>
  <c r="S28" i="7" s="1"/>
  <c r="S33" i="7" s="1"/>
  <c r="T23" i="7"/>
  <c r="R42" i="7"/>
  <c r="R43" i="7" s="1"/>
  <c r="R44" i="7" s="1"/>
  <c r="P34" i="6"/>
  <c r="P43" i="6"/>
  <c r="P44" i="6" s="1"/>
  <c r="P42" i="6" s="1"/>
  <c r="P35" i="6" s="1"/>
  <c r="Q27" i="6"/>
  <c r="Q28" i="6" s="1"/>
  <c r="Q33" i="6" s="1"/>
  <c r="R23" i="6"/>
  <c r="T41" i="6"/>
  <c r="O37" i="6"/>
  <c r="O36" i="6"/>
  <c r="Q34" i="5"/>
  <c r="Q42" i="5"/>
  <c r="Q43" i="5" s="1"/>
  <c r="R27" i="5"/>
  <c r="R28" i="5" s="1"/>
  <c r="R33" i="5" s="1"/>
  <c r="S23" i="5"/>
  <c r="T40" i="5"/>
  <c r="H34" i="4"/>
  <c r="H42" i="4"/>
  <c r="J23" i="4"/>
  <c r="I27" i="4"/>
  <c r="I28" i="4" s="1"/>
  <c r="I33" i="4" s="1"/>
  <c r="P35" i="5" l="1"/>
  <c r="P37" i="5" s="1"/>
  <c r="P36" i="5"/>
  <c r="O41" i="5"/>
  <c r="O35" i="5" s="1"/>
  <c r="O37" i="5" s="1"/>
  <c r="O38" i="5" s="1"/>
  <c r="P38" i="5" s="1"/>
  <c r="D4" i="9"/>
  <c r="O47" i="5"/>
  <c r="O48" i="5" s="1"/>
  <c r="F4" i="9" s="1"/>
  <c r="Q44" i="5"/>
  <c r="Q45" i="5" s="1"/>
  <c r="Q41" i="5" s="1"/>
  <c r="O36" i="5"/>
  <c r="P41" i="7"/>
  <c r="O36" i="7"/>
  <c r="O35" i="7"/>
  <c r="O37" i="7" s="1"/>
  <c r="O38" i="7" s="1"/>
  <c r="T45" i="6"/>
  <c r="J122" i="2"/>
  <c r="J126" i="2" s="1"/>
  <c r="J128" i="2" s="1"/>
  <c r="J129" i="2" s="1"/>
  <c r="K121" i="2"/>
  <c r="L88" i="2"/>
  <c r="K89" i="2"/>
  <c r="K93" i="2" s="1"/>
  <c r="K95" i="2" s="1"/>
  <c r="K96" i="2" s="1"/>
  <c r="K51" i="2"/>
  <c r="K55" i="2" s="1"/>
  <c r="K57" i="2" s="1"/>
  <c r="K58" i="2" s="1"/>
  <c r="L50" i="2"/>
  <c r="K72" i="2"/>
  <c r="K76" i="2" s="1"/>
  <c r="K78" i="2" s="1"/>
  <c r="K79" i="2" s="1"/>
  <c r="L71" i="2"/>
  <c r="L106" i="2"/>
  <c r="L110" i="2" s="1"/>
  <c r="L112" i="2" s="1"/>
  <c r="L113" i="2" s="1"/>
  <c r="M105" i="2"/>
  <c r="Q38" i="2"/>
  <c r="Q41" i="2" s="1"/>
  <c r="Q42" i="2" s="1"/>
  <c r="P41" i="2"/>
  <c r="P42" i="2" s="1"/>
  <c r="S34" i="7"/>
  <c r="S42" i="7"/>
  <c r="S43" i="7" s="1"/>
  <c r="S44" i="7" s="1"/>
  <c r="U23" i="7"/>
  <c r="T27" i="7"/>
  <c r="T28" i="7" s="1"/>
  <c r="T33" i="7" s="1"/>
  <c r="T34" i="7" s="1"/>
  <c r="U40" i="7"/>
  <c r="Q34" i="6"/>
  <c r="Q43" i="6"/>
  <c r="Q44" i="6" s="1"/>
  <c r="Q42" i="6" s="1"/>
  <c r="Q35" i="6" s="1"/>
  <c r="U41" i="6"/>
  <c r="R27" i="6"/>
  <c r="R28" i="6" s="1"/>
  <c r="R33" i="6" s="1"/>
  <c r="S23" i="6"/>
  <c r="P36" i="6"/>
  <c r="P37" i="6"/>
  <c r="R34" i="5"/>
  <c r="R42" i="5"/>
  <c r="R43" i="5" s="1"/>
  <c r="S27" i="5"/>
  <c r="S28" i="5" s="1"/>
  <c r="S33" i="5" s="1"/>
  <c r="T23" i="5"/>
  <c r="U40" i="5"/>
  <c r="I34" i="4"/>
  <c r="I42" i="4"/>
  <c r="K23" i="4"/>
  <c r="J27" i="4"/>
  <c r="J28" i="4" s="1"/>
  <c r="J33" i="4" s="1"/>
  <c r="Q35" i="5" l="1"/>
  <c r="Q37" i="5" s="1"/>
  <c r="Q36" i="5"/>
  <c r="R44" i="5"/>
  <c r="R45" i="5" s="1"/>
  <c r="R41" i="5" s="1"/>
  <c r="I43" i="2"/>
  <c r="Q38" i="5"/>
  <c r="Q41" i="7"/>
  <c r="P35" i="7"/>
  <c r="P37" i="7" s="1"/>
  <c r="P38" i="7" s="1"/>
  <c r="P36" i="7"/>
  <c r="U45" i="6"/>
  <c r="L89" i="2"/>
  <c r="L93" i="2" s="1"/>
  <c r="L95" i="2" s="1"/>
  <c r="L96" i="2" s="1"/>
  <c r="M88" i="2"/>
  <c r="N105" i="2"/>
  <c r="M106" i="2"/>
  <c r="M110" i="2" s="1"/>
  <c r="M112" i="2" s="1"/>
  <c r="M113" i="2" s="1"/>
  <c r="M50" i="2"/>
  <c r="L51" i="2"/>
  <c r="L55" i="2" s="1"/>
  <c r="L57" i="2" s="1"/>
  <c r="L58" i="2" s="1"/>
  <c r="L121" i="2"/>
  <c r="K122" i="2"/>
  <c r="K126" i="2" s="1"/>
  <c r="K128" i="2" s="1"/>
  <c r="K129" i="2" s="1"/>
  <c r="L72" i="2"/>
  <c r="L76" i="2" s="1"/>
  <c r="L78" i="2" s="1"/>
  <c r="L79" i="2" s="1"/>
  <c r="M71" i="2"/>
  <c r="T42" i="7"/>
  <c r="T43" i="7" s="1"/>
  <c r="T44" i="7" s="1"/>
  <c r="U27" i="7"/>
  <c r="U28" i="7" s="1"/>
  <c r="U33" i="7" s="1"/>
  <c r="U34" i="7" s="1"/>
  <c r="Q36" i="6"/>
  <c r="Q37" i="6"/>
  <c r="R34" i="6"/>
  <c r="R43" i="6"/>
  <c r="R44" i="6" s="1"/>
  <c r="R42" i="6" s="1"/>
  <c r="R35" i="6" s="1"/>
  <c r="S27" i="6"/>
  <c r="S28" i="6" s="1"/>
  <c r="S33" i="6" s="1"/>
  <c r="T23" i="6"/>
  <c r="S34" i="5"/>
  <c r="S42" i="5"/>
  <c r="S43" i="5" s="1"/>
  <c r="T27" i="5"/>
  <c r="T28" i="5" s="1"/>
  <c r="T33" i="5" s="1"/>
  <c r="U23" i="5"/>
  <c r="J34" i="4"/>
  <c r="J42" i="4"/>
  <c r="L23" i="4"/>
  <c r="K27" i="4"/>
  <c r="K28" i="4" s="1"/>
  <c r="K33" i="4" s="1"/>
  <c r="R35" i="5" l="1"/>
  <c r="R37" i="5" s="1"/>
  <c r="R36" i="5"/>
  <c r="S44" i="5"/>
  <c r="S45" i="5" s="1"/>
  <c r="S41" i="5" s="1"/>
  <c r="R41" i="7"/>
  <c r="Q36" i="7"/>
  <c r="Q35" i="7"/>
  <c r="Q37" i="7" s="1"/>
  <c r="Q38" i="7" s="1"/>
  <c r="L122" i="2"/>
  <c r="L126" i="2" s="1"/>
  <c r="L128" i="2" s="1"/>
  <c r="L129" i="2" s="1"/>
  <c r="M121" i="2"/>
  <c r="O105" i="2"/>
  <c r="N106" i="2"/>
  <c r="N110" i="2" s="1"/>
  <c r="N112" i="2" s="1"/>
  <c r="N113" i="2" s="1"/>
  <c r="M72" i="2"/>
  <c r="M76" i="2" s="1"/>
  <c r="M78" i="2" s="1"/>
  <c r="M79" i="2" s="1"/>
  <c r="N71" i="2"/>
  <c r="M89" i="2"/>
  <c r="M93" i="2" s="1"/>
  <c r="M95" i="2" s="1"/>
  <c r="M96" i="2" s="1"/>
  <c r="N88" i="2"/>
  <c r="N50" i="2"/>
  <c r="M51" i="2"/>
  <c r="M55" i="2" s="1"/>
  <c r="M57" i="2" s="1"/>
  <c r="M58" i="2" s="1"/>
  <c r="R38" i="5"/>
  <c r="U42" i="7"/>
  <c r="U43" i="7" s="1"/>
  <c r="U44" i="7" s="1"/>
  <c r="S34" i="6"/>
  <c r="S43" i="6"/>
  <c r="S44" i="6" s="1"/>
  <c r="S42" i="6" s="1"/>
  <c r="S35" i="6" s="1"/>
  <c r="R37" i="6"/>
  <c r="R36" i="6"/>
  <c r="U23" i="6"/>
  <c r="T27" i="6"/>
  <c r="T28" i="6" s="1"/>
  <c r="T33" i="6" s="1"/>
  <c r="T34" i="5"/>
  <c r="T42" i="5"/>
  <c r="T43" i="5" s="1"/>
  <c r="U27" i="5"/>
  <c r="U28" i="5" s="1"/>
  <c r="U33" i="5" s="1"/>
  <c r="K34" i="4"/>
  <c r="K42" i="4"/>
  <c r="M23" i="4"/>
  <c r="L27" i="4"/>
  <c r="L28" i="4" s="1"/>
  <c r="L33" i="4" s="1"/>
  <c r="S35" i="5" l="1"/>
  <c r="S37" i="5" s="1"/>
  <c r="S36" i="5"/>
  <c r="T44" i="5"/>
  <c r="T45" i="5" s="1"/>
  <c r="T41" i="5" s="1"/>
  <c r="S38" i="5"/>
  <c r="S41" i="7"/>
  <c r="R36" i="7"/>
  <c r="R35" i="7"/>
  <c r="R37" i="7" s="1"/>
  <c r="R38" i="7" s="1"/>
  <c r="O50" i="2"/>
  <c r="N51" i="2"/>
  <c r="N55" i="2" s="1"/>
  <c r="N57" i="2" s="1"/>
  <c r="N58" i="2" s="1"/>
  <c r="O88" i="2"/>
  <c r="N89" i="2"/>
  <c r="N93" i="2" s="1"/>
  <c r="N95" i="2" s="1"/>
  <c r="N96" i="2" s="1"/>
  <c r="O106" i="2"/>
  <c r="O110" i="2" s="1"/>
  <c r="O112" i="2" s="1"/>
  <c r="O113" i="2" s="1"/>
  <c r="P105" i="2"/>
  <c r="N72" i="2"/>
  <c r="N76" i="2" s="1"/>
  <c r="N78" i="2" s="1"/>
  <c r="N79" i="2" s="1"/>
  <c r="O71" i="2"/>
  <c r="M122" i="2"/>
  <c r="M126" i="2" s="1"/>
  <c r="M128" i="2" s="1"/>
  <c r="M129" i="2" s="1"/>
  <c r="N121" i="2"/>
  <c r="T34" i="6"/>
  <c r="T43" i="6"/>
  <c r="T44" i="6" s="1"/>
  <c r="T42" i="6" s="1"/>
  <c r="T35" i="6" s="1"/>
  <c r="U27" i="6"/>
  <c r="U28" i="6" s="1"/>
  <c r="U33" i="6" s="1"/>
  <c r="S36" i="6"/>
  <c r="S37" i="6"/>
  <c r="U34" i="5"/>
  <c r="U42" i="5"/>
  <c r="U43" i="5" s="1"/>
  <c r="L34" i="4"/>
  <c r="L42" i="4"/>
  <c r="N23" i="4"/>
  <c r="M27" i="4"/>
  <c r="M28" i="4" s="1"/>
  <c r="M33" i="4" s="1"/>
  <c r="T35" i="5" l="1"/>
  <c r="T37" i="5" s="1"/>
  <c r="T36" i="5"/>
  <c r="U44" i="5"/>
  <c r="U45" i="5" s="1"/>
  <c r="T38" i="5"/>
  <c r="S36" i="7"/>
  <c r="S35" i="7"/>
  <c r="S37" i="7" s="1"/>
  <c r="S38" i="7" s="1"/>
  <c r="T41" i="7"/>
  <c r="O51" i="2"/>
  <c r="O55" i="2" s="1"/>
  <c r="O57" i="2" s="1"/>
  <c r="O58" i="2" s="1"/>
  <c r="P50" i="2"/>
  <c r="O72" i="2"/>
  <c r="O76" i="2" s="1"/>
  <c r="O78" i="2" s="1"/>
  <c r="O79" i="2" s="1"/>
  <c r="P71" i="2"/>
  <c r="O89" i="2"/>
  <c r="O93" i="2" s="1"/>
  <c r="O95" i="2" s="1"/>
  <c r="O96" i="2" s="1"/>
  <c r="P88" i="2"/>
  <c r="N122" i="2"/>
  <c r="N126" i="2" s="1"/>
  <c r="N128" i="2" s="1"/>
  <c r="N129" i="2" s="1"/>
  <c r="O121" i="2"/>
  <c r="P106" i="2"/>
  <c r="P110" i="2" s="1"/>
  <c r="P112" i="2" s="1"/>
  <c r="Q105" i="2"/>
  <c r="T36" i="6"/>
  <c r="T37" i="6"/>
  <c r="U34" i="6"/>
  <c r="U43" i="6"/>
  <c r="U44" i="6" s="1"/>
  <c r="U42" i="6" s="1"/>
  <c r="U35" i="6" s="1"/>
  <c r="M34" i="4"/>
  <c r="M42" i="4"/>
  <c r="O23" i="4"/>
  <c r="N27" i="4"/>
  <c r="N28" i="4" s="1"/>
  <c r="N33" i="4" s="1"/>
  <c r="F37" i="2"/>
  <c r="I46" i="5" l="1"/>
  <c r="U41" i="5"/>
  <c r="U35" i="5" s="1"/>
  <c r="U37" i="5" s="1"/>
  <c r="U36" i="5"/>
  <c r="P113" i="2"/>
  <c r="I114" i="2" s="1"/>
  <c r="T35" i="7"/>
  <c r="T37" i="7" s="1"/>
  <c r="T38" i="7" s="1"/>
  <c r="T36" i="7"/>
  <c r="U41" i="7"/>
  <c r="P121" i="2"/>
  <c r="P122" i="2" s="1"/>
  <c r="P126" i="2" s="1"/>
  <c r="P128" i="2" s="1"/>
  <c r="P129" i="2" s="1"/>
  <c r="O122" i="2"/>
  <c r="O126" i="2" s="1"/>
  <c r="O128" i="2" s="1"/>
  <c r="O129" i="2" s="1"/>
  <c r="P72" i="2"/>
  <c r="P76" i="2" s="1"/>
  <c r="P78" i="2" s="1"/>
  <c r="Q71" i="2"/>
  <c r="P89" i="2"/>
  <c r="P93" i="2" s="1"/>
  <c r="P95" i="2" s="1"/>
  <c r="Q88" i="2"/>
  <c r="Q50" i="2"/>
  <c r="P51" i="2"/>
  <c r="P55" i="2" s="1"/>
  <c r="P57" i="2" s="1"/>
  <c r="U38" i="5"/>
  <c r="W45" i="7"/>
  <c r="U36" i="6"/>
  <c r="U37" i="6"/>
  <c r="E51" i="5"/>
  <c r="F51" i="5" s="1"/>
  <c r="G51" i="5" s="1"/>
  <c r="H51" i="5" s="1"/>
  <c r="I51" i="5" s="1"/>
  <c r="J51" i="5" s="1"/>
  <c r="K51" i="5" s="1"/>
  <c r="L51" i="5" s="1"/>
  <c r="M51" i="5" s="1"/>
  <c r="N51" i="5" s="1"/>
  <c r="O51" i="5" s="1"/>
  <c r="P51" i="5" s="1"/>
  <c r="Q51" i="5" s="1"/>
  <c r="R51" i="5" s="1"/>
  <c r="S51" i="5" s="1"/>
  <c r="T51" i="5" s="1"/>
  <c r="U51" i="5" s="1"/>
  <c r="V51" i="5" s="1"/>
  <c r="W51" i="5" s="1"/>
  <c r="X51" i="5" s="1"/>
  <c r="W45" i="5"/>
  <c r="N34" i="4"/>
  <c r="N42" i="4"/>
  <c r="P23" i="4"/>
  <c r="O27" i="4"/>
  <c r="O28" i="4" s="1"/>
  <c r="O33" i="4" s="1"/>
  <c r="P96" i="2" l="1"/>
  <c r="I97" i="2" s="1"/>
  <c r="P79" i="2"/>
  <c r="I80" i="2" s="1"/>
  <c r="P58" i="2"/>
  <c r="I59" i="2" s="1"/>
  <c r="U36" i="7"/>
  <c r="U35" i="7"/>
  <c r="U37" i="7" s="1"/>
  <c r="U38" i="7" s="1"/>
  <c r="E51" i="7"/>
  <c r="F51" i="7" s="1"/>
  <c r="G51" i="7" s="1"/>
  <c r="H51" i="7" s="1"/>
  <c r="I51" i="7" s="1"/>
  <c r="J51" i="7" s="1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W46" i="6"/>
  <c r="E52" i="6"/>
  <c r="F52" i="6" s="1"/>
  <c r="G52" i="6" s="1"/>
  <c r="H52" i="6" s="1"/>
  <c r="I52" i="6" s="1"/>
  <c r="J52" i="6" s="1"/>
  <c r="K52" i="6" s="1"/>
  <c r="L52" i="6" s="1"/>
  <c r="M52" i="6" s="1"/>
  <c r="N52" i="6" s="1"/>
  <c r="O52" i="6" s="1"/>
  <c r="P52" i="6" s="1"/>
  <c r="Q52" i="6" s="1"/>
  <c r="R52" i="6" s="1"/>
  <c r="S52" i="6" s="1"/>
  <c r="T52" i="6" s="1"/>
  <c r="U52" i="6" s="1"/>
  <c r="V52" i="6" s="1"/>
  <c r="W52" i="6" s="1"/>
  <c r="X52" i="6" s="1"/>
  <c r="B39" i="5"/>
  <c r="O34" i="4"/>
  <c r="O42" i="4"/>
  <c r="Q23" i="4"/>
  <c r="P27" i="4"/>
  <c r="P28" i="4" s="1"/>
  <c r="P33" i="4" s="1"/>
  <c r="P34" i="4" l="1"/>
  <c r="P42" i="4"/>
  <c r="B39" i="7"/>
  <c r="B39" i="6"/>
  <c r="R23" i="4"/>
  <c r="Q27" i="4"/>
  <c r="Q28" i="4" s="1"/>
  <c r="Q33" i="4" s="1"/>
  <c r="Q34" i="4" l="1"/>
  <c r="Q42" i="4"/>
  <c r="S23" i="4"/>
  <c r="R27" i="4"/>
  <c r="R28" i="4" s="1"/>
  <c r="R33" i="4" s="1"/>
  <c r="R34" i="4" l="1"/>
  <c r="R42" i="4"/>
  <c r="T23" i="4"/>
  <c r="T27" i="4" s="1"/>
  <c r="S27" i="4"/>
  <c r="S28" i="4" s="1"/>
  <c r="S33" i="4" s="1"/>
  <c r="S34" i="4" l="1"/>
  <c r="S42" i="4"/>
  <c r="U23" i="4"/>
  <c r="U27" i="4" s="1"/>
  <c r="T28" i="4"/>
  <c r="T33" i="4" s="1"/>
  <c r="T34" i="4" l="1"/>
  <c r="T42" i="4"/>
  <c r="U28" i="4"/>
  <c r="U33" i="4" s="1"/>
  <c r="U34" i="4" l="1"/>
  <c r="U42" i="4"/>
  <c r="Q122" i="2" l="1"/>
  <c r="Q126" i="2" l="1"/>
  <c r="Q128" i="2" s="1"/>
  <c r="I43" i="4"/>
  <c r="I44" i="4" s="1"/>
  <c r="U43" i="4"/>
  <c r="O43" i="4"/>
  <c r="O44" i="4" s="1"/>
  <c r="T43" i="4"/>
  <c r="T44" i="4" s="1"/>
  <c r="P43" i="4"/>
  <c r="P44" i="4" s="1"/>
  <c r="L43" i="4"/>
  <c r="L44" i="4" s="1"/>
  <c r="J43" i="4"/>
  <c r="S43" i="4"/>
  <c r="S44" i="4" s="1"/>
  <c r="K43" i="4"/>
  <c r="K44" i="4" s="1"/>
  <c r="G43" i="4"/>
  <c r="G44" i="4" s="1"/>
  <c r="F43" i="4"/>
  <c r="F44" i="4" s="1"/>
  <c r="N43" i="4"/>
  <c r="H43" i="4"/>
  <c r="R43" i="4"/>
  <c r="R44" i="4" s="1"/>
  <c r="Q43" i="4"/>
  <c r="M43" i="4"/>
  <c r="U44" i="4" l="1"/>
  <c r="U45" i="4" s="1"/>
  <c r="Q44" i="4"/>
  <c r="Q45" i="4" s="1"/>
  <c r="Q41" i="4" s="1"/>
  <c r="N44" i="4"/>
  <c r="N45" i="4" s="1"/>
  <c r="J44" i="4"/>
  <c r="J45" i="4" s="1"/>
  <c r="H44" i="4"/>
  <c r="H45" i="4" s="1"/>
  <c r="M44" i="4"/>
  <c r="M45" i="4" s="1"/>
  <c r="Q129" i="2"/>
  <c r="I130" i="2" s="1"/>
  <c r="R45" i="4"/>
  <c r="R41" i="4" s="1"/>
  <c r="R35" i="4" s="1"/>
  <c r="S45" i="4"/>
  <c r="S41" i="4" s="1"/>
  <c r="S35" i="4" s="1"/>
  <c r="P45" i="4"/>
  <c r="P41" i="4" s="1"/>
  <c r="P35" i="4" s="1"/>
  <c r="T45" i="4"/>
  <c r="T41" i="4" s="1"/>
  <c r="T35" i="4" s="1"/>
  <c r="W45" i="4"/>
  <c r="F45" i="4"/>
  <c r="I45" i="4"/>
  <c r="G45" i="4"/>
  <c r="O45" i="4"/>
  <c r="K45" i="4"/>
  <c r="L45" i="4"/>
  <c r="M41" i="4" l="1"/>
  <c r="M35" i="4" s="1"/>
  <c r="M37" i="4" s="1"/>
  <c r="M47" i="4"/>
  <c r="H47" i="4"/>
  <c r="H41" i="4"/>
  <c r="H35" i="4" s="1"/>
  <c r="H37" i="4" s="1"/>
  <c r="J41" i="4"/>
  <c r="J35" i="4" s="1"/>
  <c r="J37" i="4" s="1"/>
  <c r="J47" i="4"/>
  <c r="N41" i="4"/>
  <c r="N35" i="4" s="1"/>
  <c r="N37" i="4" s="1"/>
  <c r="N47" i="4"/>
  <c r="Q35" i="4"/>
  <c r="Q37" i="4" s="1"/>
  <c r="Q36" i="4"/>
  <c r="U41" i="4"/>
  <c r="I46" i="4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J36" i="4"/>
  <c r="H36" i="4"/>
  <c r="L41" i="4"/>
  <c r="L35" i="4" s="1"/>
  <c r="L37" i="4" s="1"/>
  <c r="L47" i="4"/>
  <c r="O41" i="4"/>
  <c r="O35" i="4" s="1"/>
  <c r="O37" i="4" s="1"/>
  <c r="O47" i="4"/>
  <c r="D3" i="9"/>
  <c r="N36" i="4"/>
  <c r="K41" i="4"/>
  <c r="K35" i="4" s="1"/>
  <c r="K37" i="4" s="1"/>
  <c r="K47" i="4"/>
  <c r="G41" i="4"/>
  <c r="G35" i="4" s="1"/>
  <c r="G37" i="4" s="1"/>
  <c r="G47" i="4"/>
  <c r="F41" i="4"/>
  <c r="F35" i="4" s="1"/>
  <c r="F37" i="4" s="1"/>
  <c r="F47" i="4"/>
  <c r="M36" i="4"/>
  <c r="I41" i="4"/>
  <c r="I35" i="4" s="1"/>
  <c r="I37" i="4" s="1"/>
  <c r="I47" i="4"/>
  <c r="T37" i="4"/>
  <c r="T36" i="4"/>
  <c r="S37" i="4"/>
  <c r="S36" i="4"/>
  <c r="P37" i="4"/>
  <c r="P36" i="4"/>
  <c r="R37" i="4"/>
  <c r="R36" i="4"/>
  <c r="U35" i="4" l="1"/>
  <c r="U37" i="4" s="1"/>
  <c r="U36" i="4"/>
  <c r="F36" i="4"/>
  <c r="K36" i="4"/>
  <c r="I36" i="4"/>
  <c r="B39" i="4"/>
  <c r="L36" i="4"/>
  <c r="O48" i="4"/>
  <c r="F3" i="9" s="1"/>
  <c r="G36" i="4"/>
  <c r="O36" i="4"/>
  <c r="F38" i="4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E38" i="6"/>
  <c r="F38" i="6" s="1"/>
  <c r="G38" i="6" s="1"/>
  <c r="H38" i="6" s="1"/>
  <c r="I38" i="6" s="1"/>
  <c r="J38" i="6" s="1"/>
  <c r="K38" i="6" s="1"/>
  <c r="L38" i="6" s="1"/>
  <c r="M38" i="6" s="1"/>
  <c r="N38" i="6" s="1"/>
  <c r="O38" i="6" s="1"/>
  <c r="P38" i="6" s="1"/>
  <c r="Q38" i="6" s="1"/>
  <c r="R38" i="6" s="1"/>
  <c r="S38" i="6" s="1"/>
  <c r="T38" i="6" s="1"/>
  <c r="U38" i="6" s="1"/>
  <c r="D18" i="10"/>
  <c r="E18" i="10" s="1"/>
  <c r="F18" i="10" s="1"/>
  <c r="G18" i="10" s="1"/>
  <c r="H18" i="10" s="1"/>
  <c r="I18" i="10" s="1"/>
  <c r="J18" i="10" s="1"/>
  <c r="K18" i="10" s="1"/>
  <c r="L18" i="10" l="1"/>
  <c r="M18" i="10" s="1"/>
  <c r="N18" i="10" s="1"/>
  <c r="O18" i="10" s="1"/>
  <c r="P18" i="10" s="1"/>
  <c r="Q18" i="10" s="1"/>
  <c r="R18" i="10" s="1"/>
  <c r="S18" i="10" s="1"/>
  <c r="T18" i="10" s="1"/>
  <c r="F39" i="20"/>
  <c r="F34" i="20" s="1"/>
  <c r="F33" i="20" l="1"/>
  <c r="F35" i="20" s="1"/>
  <c r="F36" i="20" s="1"/>
  <c r="G36" i="20" s="1"/>
  <c r="H36" i="20" s="1"/>
  <c r="I36" i="20" s="1"/>
  <c r="J36" i="20" s="1"/>
  <c r="K36" i="20" s="1"/>
  <c r="L36" i="20" s="1"/>
  <c r="M36" i="20" s="1"/>
  <c r="N36" i="20" s="1"/>
  <c r="O36" i="20" s="1"/>
  <c r="P36" i="20" s="1"/>
  <c r="Q36" i="20" s="1"/>
  <c r="R36" i="20" s="1"/>
  <c r="S36" i="20" s="1"/>
  <c r="T36" i="20" s="1"/>
  <c r="U36" i="20" s="1"/>
  <c r="V36" i="20" s="1"/>
  <c r="N12" i="20" l="1"/>
  <c r="B37" i="20" s="1"/>
</calcChain>
</file>

<file path=xl/sharedStrings.xml><?xml version="1.0" encoding="utf-8"?>
<sst xmlns="http://schemas.openxmlformats.org/spreadsheetml/2006/main" count="2578" uniqueCount="1011">
  <si>
    <t>Erinevate allikate andmed valdade ja linnade kaupa.</t>
  </si>
  <si>
    <t>Harjumaa</t>
  </si>
  <si>
    <t>Aegviidu vald</t>
  </si>
  <si>
    <t>KOV</t>
  </si>
  <si>
    <t>Piirkond</t>
  </si>
  <si>
    <t>Müük MWh</t>
  </si>
  <si>
    <t>Ettevõtja</t>
  </si>
  <si>
    <t>puudub</t>
  </si>
  <si>
    <t>Anija</t>
  </si>
  <si>
    <t>Kehra</t>
  </si>
  <si>
    <t>Alavere</t>
  </si>
  <si>
    <t>Harku</t>
  </si>
  <si>
    <t>Tabasalu</t>
  </si>
  <si>
    <t>Harku-Järve</t>
  </si>
  <si>
    <t>Jõelähtme</t>
  </si>
  <si>
    <t>Loo</t>
  </si>
  <si>
    <t>Kostivere</t>
  </si>
  <si>
    <t>Keila linn</t>
  </si>
  <si>
    <t>Keila v.</t>
  </si>
  <si>
    <t>Klooga</t>
  </si>
  <si>
    <t>Kernu</t>
  </si>
  <si>
    <t>Haiba</t>
  </si>
  <si>
    <t>Kiili</t>
  </si>
  <si>
    <t>Kose</t>
  </si>
  <si>
    <t>Kose-Uuemõisa</t>
  </si>
  <si>
    <t>Ravila</t>
  </si>
  <si>
    <t>Kõue</t>
  </si>
  <si>
    <t>Ardu</t>
  </si>
  <si>
    <t>Kuusalu</t>
  </si>
  <si>
    <t>Kolga</t>
  </si>
  <si>
    <t>Loksa linn</t>
  </si>
  <si>
    <t>Maardu linn</t>
  </si>
  <si>
    <t>?</t>
  </si>
  <si>
    <t>Nissi</t>
  </si>
  <si>
    <t>Riisipere</t>
  </si>
  <si>
    <t>Turba</t>
  </si>
  <si>
    <t>Padise</t>
  </si>
  <si>
    <t>Paldiski linn</t>
  </si>
  <si>
    <t>Raasiku</t>
  </si>
  <si>
    <t>Aruküla</t>
  </si>
  <si>
    <t>Rae</t>
  </si>
  <si>
    <t>Jüri</t>
  </si>
  <si>
    <t>Vaida</t>
  </si>
  <si>
    <t>Kuldala</t>
  </si>
  <si>
    <t>Lehmja</t>
  </si>
  <si>
    <t>Saku</t>
  </si>
  <si>
    <t>Kurtna</t>
  </si>
  <si>
    <t>Saue linn</t>
  </si>
  <si>
    <t>Saue v.</t>
  </si>
  <si>
    <t>Laagri</t>
  </si>
  <si>
    <t>Vasalemma</t>
  </si>
  <si>
    <t>Rummu</t>
  </si>
  <si>
    <t>Viimsi</t>
  </si>
  <si>
    <t>Haabneeme</t>
  </si>
  <si>
    <t>Tallinn</t>
  </si>
  <si>
    <t>Tallinn,Maardu</t>
  </si>
  <si>
    <t>Nõmme</t>
  </si>
  <si>
    <t>Hiiumaa</t>
  </si>
  <si>
    <t>Kärdla linn</t>
  </si>
  <si>
    <t>Emmaste</t>
  </si>
  <si>
    <t>Käina</t>
  </si>
  <si>
    <t>Kõrgessaare</t>
  </si>
  <si>
    <t>Pühalepa</t>
  </si>
  <si>
    <t>Suuremõisa</t>
  </si>
  <si>
    <t>Ida-Virumaa</t>
  </si>
  <si>
    <t>Alajõe</t>
  </si>
  <si>
    <t>Aseri</t>
  </si>
  <si>
    <t>Avinurme</t>
  </si>
  <si>
    <t>Iisaku</t>
  </si>
  <si>
    <t>Illuka</t>
  </si>
  <si>
    <t>Kiviõli linn</t>
  </si>
  <si>
    <t>Kiviõli</t>
  </si>
  <si>
    <t>Kohtla</t>
  </si>
  <si>
    <t>K-Järve-Jõhvi-Ahtme</t>
  </si>
  <si>
    <t>Jõhvi,Kohtla Järve</t>
  </si>
  <si>
    <t>Kohtla-Nõmme</t>
  </si>
  <si>
    <t>Lüganuse</t>
  </si>
  <si>
    <t>Lohusuu</t>
  </si>
  <si>
    <t>Kooli KM</t>
  </si>
  <si>
    <t>Jüri KM,Lagedi KM,Assaku KM,</t>
  </si>
  <si>
    <t>Kalevi KM,Rimi KM,Skanska KM,Baltcas KM</t>
  </si>
  <si>
    <t>Maidla</t>
  </si>
  <si>
    <t>Mäetaguse</t>
  </si>
  <si>
    <t>Narva -Jõesuu linn</t>
  </si>
  <si>
    <t>Püssi linn</t>
  </si>
  <si>
    <t>Sillamäe linn</t>
  </si>
  <si>
    <t>Toila</t>
  </si>
  <si>
    <t>Tudulinna</t>
  </si>
  <si>
    <t>Vaivara</t>
  </si>
  <si>
    <t>Narva linn</t>
  </si>
  <si>
    <t>Püssi</t>
  </si>
  <si>
    <t>Narva-Jõesuu</t>
  </si>
  <si>
    <t>Sillamäe</t>
  </si>
  <si>
    <t>Loksa</t>
  </si>
  <si>
    <t>Jõgevamaa</t>
  </si>
  <si>
    <t>Jõgeva linn</t>
  </si>
  <si>
    <t>Jõgeva</t>
  </si>
  <si>
    <t>Jõgeva v.</t>
  </si>
  <si>
    <t>Kasepää</t>
  </si>
  <si>
    <t>Mustvee linn</t>
  </si>
  <si>
    <t>Pajusi</t>
  </si>
  <si>
    <t>Pala</t>
  </si>
  <si>
    <t>Palamuse</t>
  </si>
  <si>
    <t>Kaarepere</t>
  </si>
  <si>
    <t>Luua</t>
  </si>
  <si>
    <t>Põltsamaa linn</t>
  </si>
  <si>
    <t>Põltsamaa v.</t>
  </si>
  <si>
    <t>Puurmani</t>
  </si>
  <si>
    <t>Saare</t>
  </si>
  <si>
    <t>Voore</t>
  </si>
  <si>
    <t>Tabivere</t>
  </si>
  <si>
    <t>Torma</t>
  </si>
  <si>
    <t>Mustvee</t>
  </si>
  <si>
    <t>Adavere</t>
  </si>
  <si>
    <t>Väike-Kumari</t>
  </si>
  <si>
    <t>Võisiku</t>
  </si>
  <si>
    <t>Järvamaa</t>
  </si>
  <si>
    <t>Albu</t>
  </si>
  <si>
    <t>Ambla</t>
  </si>
  <si>
    <t>Aravete</t>
  </si>
  <si>
    <t>Imavere</t>
  </si>
  <si>
    <t>Järva -Jaani</t>
  </si>
  <si>
    <t>Järva-Jaani</t>
  </si>
  <si>
    <t>Kareda</t>
  </si>
  <si>
    <t>Koeru</t>
  </si>
  <si>
    <t>Vao</t>
  </si>
  <si>
    <t>Koigi</t>
  </si>
  <si>
    <t>Päinurme</t>
  </si>
  <si>
    <t>Paide linn</t>
  </si>
  <si>
    <t>Paide</t>
  </si>
  <si>
    <t>Paide v.</t>
  </si>
  <si>
    <t>Tarbja</t>
  </si>
  <si>
    <t>Roosna-Alliku</t>
  </si>
  <si>
    <t>Türi v.</t>
  </si>
  <si>
    <t>Oisu</t>
  </si>
  <si>
    <t>Türi-Alliku</t>
  </si>
  <si>
    <t xml:space="preserve">Türi </t>
  </si>
  <si>
    <t>Särevere</t>
  </si>
  <si>
    <t>Väätsa</t>
  </si>
  <si>
    <t>Roosna -Alliku</t>
  </si>
  <si>
    <t>Läänemaa</t>
  </si>
  <si>
    <t>Haapsalu linn</t>
  </si>
  <si>
    <t>Haapsalu</t>
  </si>
  <si>
    <t>Hanila</t>
  </si>
  <si>
    <t>Kullamaa</t>
  </si>
  <si>
    <t>Lihula</t>
  </si>
  <si>
    <t>Martna</t>
  </si>
  <si>
    <t>Noarootsi</t>
  </si>
  <si>
    <t>Nõva</t>
  </si>
  <si>
    <t>Virtsu KM</t>
  </si>
  <si>
    <t>Oru</t>
  </si>
  <si>
    <t>Linnamäe</t>
  </si>
  <si>
    <t>Ridala</t>
  </si>
  <si>
    <t>Uuemõisa</t>
  </si>
  <si>
    <t>Risti</t>
  </si>
  <si>
    <t>Koluvere KM</t>
  </si>
  <si>
    <t>Taebla</t>
  </si>
  <si>
    <t>Palivere</t>
  </si>
  <si>
    <t>Lääne-Virumaa</t>
  </si>
  <si>
    <t>Haljala</t>
  </si>
  <si>
    <t>Rohuküla KM,Uksetehas KM</t>
  </si>
  <si>
    <t>Kadrina</t>
  </si>
  <si>
    <t>Hulja</t>
  </si>
  <si>
    <t>Kunda linn</t>
  </si>
  <si>
    <t>Kunda</t>
  </si>
  <si>
    <t>Laekvere</t>
  </si>
  <si>
    <t>Rakke</t>
  </si>
  <si>
    <t>Rakvere linn</t>
  </si>
  <si>
    <t>Rakvere</t>
  </si>
  <si>
    <t>Rakvere v.</t>
  </si>
  <si>
    <t>Rägavere</t>
  </si>
  <si>
    <t>Ulvi KM,Rägavere 2KM</t>
  </si>
  <si>
    <t>Sõmeru</t>
  </si>
  <si>
    <t>Näpi</t>
  </si>
  <si>
    <t>Uhtna KM,Sõmeru KM-d</t>
  </si>
  <si>
    <t>Tamsalu</t>
  </si>
  <si>
    <t>Tapa</t>
  </si>
  <si>
    <t>Tapa Leina KM</t>
  </si>
  <si>
    <t>Vihula</t>
  </si>
  <si>
    <t>Vinni</t>
  </si>
  <si>
    <t>Pajusti</t>
  </si>
  <si>
    <t>Roela</t>
  </si>
  <si>
    <t>Võhu vein KM</t>
  </si>
  <si>
    <t>Viru-Nigula</t>
  </si>
  <si>
    <t>Väike-Maarja</t>
  </si>
  <si>
    <t>Vasta kooli KM</t>
  </si>
  <si>
    <t>Põlvamaa</t>
  </si>
  <si>
    <t>Ahja</t>
  </si>
  <si>
    <t>Kanepi</t>
  </si>
  <si>
    <t>Kõlleste</t>
  </si>
  <si>
    <t>Laheda</t>
  </si>
  <si>
    <t>Tilsi</t>
  </si>
  <si>
    <t>Mikitamäe</t>
  </si>
  <si>
    <t>Mooste</t>
  </si>
  <si>
    <t>Orava</t>
  </si>
  <si>
    <t>Põlva linn</t>
  </si>
  <si>
    <t>Põlva</t>
  </si>
  <si>
    <t>Põlva v.</t>
  </si>
  <si>
    <t>Mammaste</t>
  </si>
  <si>
    <t>Peri</t>
  </si>
  <si>
    <t>Räpina</t>
  </si>
  <si>
    <t>Valgjärve</t>
  </si>
  <si>
    <t>Saverna</t>
  </si>
  <si>
    <t>Vastse-Kuuste</t>
  </si>
  <si>
    <t>Veriora</t>
  </si>
  <si>
    <t>Värska</t>
  </si>
  <si>
    <t>Pärnumaa</t>
  </si>
  <si>
    <t>Pärnu linn</t>
  </si>
  <si>
    <t>Pärnu</t>
  </si>
  <si>
    <t>Are</t>
  </si>
  <si>
    <t>Audru</t>
  </si>
  <si>
    <t>Lokaalsed KM</t>
  </si>
  <si>
    <t>Halinga</t>
  </si>
  <si>
    <t>Kihnu</t>
  </si>
  <si>
    <t>Koonga</t>
  </si>
  <si>
    <t>Lavassaare</t>
  </si>
  <si>
    <t>Paikuse</t>
  </si>
  <si>
    <t>Seljametsa</t>
  </si>
  <si>
    <t>Saarde</t>
  </si>
  <si>
    <t>Sauga</t>
  </si>
  <si>
    <t>Sindi linn</t>
  </si>
  <si>
    <t>Sindi</t>
  </si>
  <si>
    <t>Surju</t>
  </si>
  <si>
    <t>Lokaalsed KM-d</t>
  </si>
  <si>
    <t>Tahkuranna</t>
  </si>
  <si>
    <t>Uulu</t>
  </si>
  <si>
    <t>Tootsi</t>
  </si>
  <si>
    <t>Tori</t>
  </si>
  <si>
    <t>Selja</t>
  </si>
  <si>
    <t>Jõesuu</t>
  </si>
  <si>
    <t>Tõstamaa</t>
  </si>
  <si>
    <t>Varbla</t>
  </si>
  <si>
    <t>Varbla KM</t>
  </si>
  <si>
    <t>11 lokaalKM</t>
  </si>
  <si>
    <t>Raplamaa</t>
  </si>
  <si>
    <t>Rapla linn</t>
  </si>
  <si>
    <t>Rapla</t>
  </si>
  <si>
    <t>Võsa tn.</t>
  </si>
  <si>
    <t>Juuru</t>
  </si>
  <si>
    <t>Järvakandi</t>
  </si>
  <si>
    <t>Kaiu</t>
  </si>
  <si>
    <t>Kehtna</t>
  </si>
  <si>
    <t>Kaerepere</t>
  </si>
  <si>
    <t>Kohila</t>
  </si>
  <si>
    <t>Käru</t>
  </si>
  <si>
    <t>Märjamaa</t>
  </si>
  <si>
    <t>Raiküla</t>
  </si>
  <si>
    <t>Rapla v.</t>
  </si>
  <si>
    <t>Alu</t>
  </si>
  <si>
    <t>Vigala</t>
  </si>
  <si>
    <t>Saaremaa</t>
  </si>
  <si>
    <t>Kuressaare linn</t>
  </si>
  <si>
    <t>Kuressaare</t>
  </si>
  <si>
    <t>Kihelkonna</t>
  </si>
  <si>
    <t>Laimjala</t>
  </si>
  <si>
    <t>Leisi</t>
  </si>
  <si>
    <t>Pärsama</t>
  </si>
  <si>
    <t>Muhu</t>
  </si>
  <si>
    <t>Mustjala</t>
  </si>
  <si>
    <t>Orissaare</t>
  </si>
  <si>
    <t>Pihtla</t>
  </si>
  <si>
    <t>Pöide</t>
  </si>
  <si>
    <t>Ruhnu</t>
  </si>
  <si>
    <t>Puudub</t>
  </si>
  <si>
    <t>Vormsi</t>
  </si>
  <si>
    <t>Salme</t>
  </si>
  <si>
    <t>Torgu</t>
  </si>
  <si>
    <t>Valjala</t>
  </si>
  <si>
    <t>Kaarma</t>
  </si>
  <si>
    <t>Kärla</t>
  </si>
  <si>
    <t>Lümanda</t>
  </si>
  <si>
    <t>Tartumaa</t>
  </si>
  <si>
    <t>Alatskivi</t>
  </si>
  <si>
    <t>Elva linn</t>
  </si>
  <si>
    <t>Elva</t>
  </si>
  <si>
    <t>Haaslava</t>
  </si>
  <si>
    <t>Kallaste linn</t>
  </si>
  <si>
    <t>Kambja</t>
  </si>
  <si>
    <t>Konguta</t>
  </si>
  <si>
    <t>Laeva</t>
  </si>
  <si>
    <t>Luunja</t>
  </si>
  <si>
    <t>Lohkva</t>
  </si>
  <si>
    <t>Meeksi</t>
  </si>
  <si>
    <t>Mäksa</t>
  </si>
  <si>
    <t>Nõo</t>
  </si>
  <si>
    <t>Tõravare</t>
  </si>
  <si>
    <t>Peipsiääre</t>
  </si>
  <si>
    <t>Piirissaare</t>
  </si>
  <si>
    <t>Puhja</t>
  </si>
  <si>
    <t>Rannu</t>
  </si>
  <si>
    <t>Rõngu</t>
  </si>
  <si>
    <t>Tartu linn</t>
  </si>
  <si>
    <t>Tartu v.</t>
  </si>
  <si>
    <t>Lähte</t>
  </si>
  <si>
    <t>Tähtvere</t>
  </si>
  <si>
    <t>Märja</t>
  </si>
  <si>
    <t>Vara</t>
  </si>
  <si>
    <t>Võnnu</t>
  </si>
  <si>
    <t>Ülenurme</t>
  </si>
  <si>
    <t>Valgamaa</t>
  </si>
  <si>
    <t>Helme</t>
  </si>
  <si>
    <t>Hummuli</t>
  </si>
  <si>
    <t>Karula</t>
  </si>
  <si>
    <t>Otepää</t>
  </si>
  <si>
    <t>Palupera</t>
  </si>
  <si>
    <t>Puka</t>
  </si>
  <si>
    <t>Põdrala</t>
  </si>
  <si>
    <t>Leebiku</t>
  </si>
  <si>
    <t>Sangaste</t>
  </si>
  <si>
    <t>Taheva</t>
  </si>
  <si>
    <t>Tõlliste</t>
  </si>
  <si>
    <t>Tõrva linn</t>
  </si>
  <si>
    <t>Valga linn</t>
  </si>
  <si>
    <t>Õru</t>
  </si>
  <si>
    <t>Viljandimaa</t>
  </si>
  <si>
    <t>Abja</t>
  </si>
  <si>
    <t>Järve KM</t>
  </si>
  <si>
    <t>Karksi</t>
  </si>
  <si>
    <t>Karksi-Nuia</t>
  </si>
  <si>
    <t>Abja-Paluoja</t>
  </si>
  <si>
    <t>Mõisaküla l.</t>
  </si>
  <si>
    <t>Halliste</t>
  </si>
  <si>
    <t>Paistu</t>
  </si>
  <si>
    <t>Tarvastu</t>
  </si>
  <si>
    <t>Kõpu</t>
  </si>
  <si>
    <t>Pärsti</t>
  </si>
  <si>
    <t>Ramsi</t>
  </si>
  <si>
    <t>Viiratsi</t>
  </si>
  <si>
    <t>Vana-Võidu</t>
  </si>
  <si>
    <t>Saarepeedi</t>
  </si>
  <si>
    <t>Viljandi linn</t>
  </si>
  <si>
    <t>Viljandi,Jämejala</t>
  </si>
  <si>
    <t>Suure-Jaani</t>
  </si>
  <si>
    <t>Kolga-Jaani</t>
  </si>
  <si>
    <t>Kõo</t>
  </si>
  <si>
    <t>Võrumaa</t>
  </si>
  <si>
    <t>Antsla</t>
  </si>
  <si>
    <t>Vana.Antsla</t>
  </si>
  <si>
    <t>Haanja</t>
  </si>
  <si>
    <t>Võru linn</t>
  </si>
  <si>
    <t>Võru</t>
  </si>
  <si>
    <t>Lasva</t>
  </si>
  <si>
    <t>Meremäe</t>
  </si>
  <si>
    <t xml:space="preserve">Misso </t>
  </si>
  <si>
    <t>Mõniste</t>
  </si>
  <si>
    <t>Rõuge</t>
  </si>
  <si>
    <t>Viitina</t>
  </si>
  <si>
    <t>Sõmerpalu</t>
  </si>
  <si>
    <t>Urvaste</t>
  </si>
  <si>
    <t>Varstu</t>
  </si>
  <si>
    <t>Vastseliina</t>
  </si>
  <si>
    <t>Võru v.</t>
  </si>
  <si>
    <t>Puiga</t>
  </si>
  <si>
    <t>Väimela</t>
  </si>
  <si>
    <t>Kultuurimaja KM,Kastani KM</t>
  </si>
  <si>
    <t>Avoterm</t>
  </si>
  <si>
    <t>Lokaalsed katlad valla hoonetele</t>
  </si>
  <si>
    <t>5 lokaalKM</t>
  </si>
  <si>
    <t>EN.maj AK</t>
  </si>
  <si>
    <t>Parksepa</t>
  </si>
  <si>
    <t>Rõuge Kommunaal</t>
  </si>
  <si>
    <t>Mustla</t>
  </si>
  <si>
    <t>Lokaalkatlad</t>
  </si>
  <si>
    <t>Ilmatsalu</t>
  </si>
  <si>
    <t>Käärdi</t>
  </si>
  <si>
    <t>Ala</t>
  </si>
  <si>
    <t>Nooda</t>
  </si>
  <si>
    <t>Päri</t>
  </si>
  <si>
    <t>Õisu</t>
  </si>
  <si>
    <t>Paldiski</t>
  </si>
  <si>
    <t>Saue</t>
  </si>
  <si>
    <t>Vald</t>
  </si>
  <si>
    <t>Orissaare Soojus</t>
  </si>
  <si>
    <t>Nõva Kilk</t>
  </si>
  <si>
    <t>Sindi Majavalitsus</t>
  </si>
  <si>
    <t>Koeru Kommunaal</t>
  </si>
  <si>
    <t>Tamsalu Kalor</t>
  </si>
  <si>
    <t>Mõisaküla</t>
  </si>
  <si>
    <t>Puiatu</t>
  </si>
  <si>
    <t>Olustvere</t>
  </si>
  <si>
    <t>Sürgavere</t>
  </si>
  <si>
    <t>Uusna küla KM-d</t>
  </si>
  <si>
    <t>9 lokaalkatelt</t>
  </si>
  <si>
    <t>Saatse</t>
  </si>
  <si>
    <t>Triigi</t>
  </si>
  <si>
    <t>Ristipalo</t>
  </si>
  <si>
    <t>Linte</t>
  </si>
  <si>
    <t>Tiskre-Hansu</t>
  </si>
  <si>
    <t xml:space="preserve">Keila </t>
  </si>
  <si>
    <t>Sompa</t>
  </si>
  <si>
    <t>Kukruse</t>
  </si>
  <si>
    <t>Kiikla</t>
  </si>
  <si>
    <t>Narva</t>
  </si>
  <si>
    <t>Järva-Jaani Kalda</t>
  </si>
  <si>
    <t>Linnamäe Kodu</t>
  </si>
  <si>
    <t>Tapa Lõuna</t>
  </si>
  <si>
    <t>35 kortermaja !</t>
  </si>
  <si>
    <t>6 lokaalset KM</t>
  </si>
  <si>
    <t>Ruusa</t>
  </si>
  <si>
    <t>Häädemeeste</t>
  </si>
  <si>
    <t>Orgita</t>
  </si>
  <si>
    <t>Sõmera</t>
  </si>
  <si>
    <t>Kuressare Soojuse võrk</t>
  </si>
  <si>
    <t>Keeni</t>
  </si>
  <si>
    <t>Tõrva</t>
  </si>
  <si>
    <t>Valga</t>
  </si>
  <si>
    <t>81,01 Tiskre kommunaal</t>
  </si>
  <si>
    <t>Kärdla</t>
  </si>
  <si>
    <t>Toila,Voka lokaalsed KM</t>
  </si>
  <si>
    <t>Olgino</t>
  </si>
  <si>
    <t>Sinimäe</t>
  </si>
  <si>
    <t>lokaalsed KM</t>
  </si>
  <si>
    <t>Kääpa(Saare)</t>
  </si>
  <si>
    <t>Lustivere,Esku lokaal KM-d</t>
  </si>
  <si>
    <t>Lokaal KM-d</t>
  </si>
  <si>
    <t>SM AK</t>
  </si>
  <si>
    <t>Kadrina Soojus</t>
  </si>
  <si>
    <t>Uhtna LA</t>
  </si>
  <si>
    <t>Uhtna PK</t>
  </si>
  <si>
    <t>Uhtna HK</t>
  </si>
  <si>
    <t xml:space="preserve">Vändra </t>
  </si>
  <si>
    <t>Liiva KM(puit)</t>
  </si>
  <si>
    <t>Liiva</t>
  </si>
  <si>
    <t>Tornimäe KM</t>
  </si>
  <si>
    <t>Vasula ei ole töös Lokaal KM-d</t>
  </si>
  <si>
    <t>Reola</t>
  </si>
  <si>
    <t>Lokaal KM-d Arengukavas kaugküte</t>
  </si>
  <si>
    <t>Võhma l.</t>
  </si>
  <si>
    <t>Võhma</t>
  </si>
  <si>
    <t>Saverna Teenus</t>
  </si>
  <si>
    <t>P.Gümnaasiumi</t>
  </si>
  <si>
    <t>4 lokaalset KM</t>
  </si>
  <si>
    <t>Kallavere</t>
  </si>
  <si>
    <t>Tallinna mahus</t>
  </si>
  <si>
    <t>Puidukatla ehitus</t>
  </si>
  <si>
    <t>P:Avraal</t>
  </si>
  <si>
    <t>Kokku:</t>
  </si>
  <si>
    <t>Keila-Joa1</t>
  </si>
  <si>
    <t>Keila-Joa2</t>
  </si>
  <si>
    <t>Kõik allikad</t>
  </si>
  <si>
    <t>Tartu1</t>
  </si>
  <si>
    <t>Tartu2</t>
  </si>
  <si>
    <t>Fortum Tartu mahus</t>
  </si>
  <si>
    <t>Ühine Paikusega</t>
  </si>
  <si>
    <t>Soojamajanduse OÜ</t>
  </si>
  <si>
    <t>KA koduleht+ KOV</t>
  </si>
  <si>
    <t>Investeeringud</t>
  </si>
  <si>
    <t>Pelletikatel</t>
  </si>
  <si>
    <t>Maasoojuspump</t>
  </si>
  <si>
    <t>Õhk-õhk soojuspump</t>
  </si>
  <si>
    <t>Õhk-vesi soojuspump</t>
  </si>
  <si>
    <t>Päikesepaneelid soe vesi</t>
  </si>
  <si>
    <t>Päikesepaneelid elekter</t>
  </si>
  <si>
    <t>Väike tuulegeneraator</t>
  </si>
  <si>
    <t>Elekter</t>
  </si>
  <si>
    <t>Elektrivõrguga liitumistasu</t>
  </si>
  <si>
    <t>EUR/A</t>
  </si>
  <si>
    <t>1 MW liitumine</t>
  </si>
  <si>
    <t>1MW=</t>
  </si>
  <si>
    <t>A</t>
  </si>
  <si>
    <t>EUR</t>
  </si>
  <si>
    <t>Elektri osakaal</t>
  </si>
  <si>
    <t>maasoojuspump</t>
  </si>
  <si>
    <t>Õhk-vesi sp.</t>
  </si>
  <si>
    <t>Õhk-õhk sp.</t>
  </si>
  <si>
    <t xml:space="preserve">Elektri -ja võrgutasu </t>
  </si>
  <si>
    <t>EUR/MWh</t>
  </si>
  <si>
    <t xml:space="preserve">Pelleti hind </t>
  </si>
  <si>
    <t>Katla kasutegur</t>
  </si>
  <si>
    <t>K</t>
  </si>
  <si>
    <t>Pelletikatla kütusekompenent</t>
  </si>
  <si>
    <t xml:space="preserve">Pelleti alumine kütteväärtus </t>
  </si>
  <si>
    <t>1 MW katla toodang aastas MWh</t>
  </si>
  <si>
    <t>Pellet</t>
  </si>
  <si>
    <t>Tööaeg aastat</t>
  </si>
  <si>
    <t>Investeeringu osa</t>
  </si>
  <si>
    <t>EUR/MW</t>
  </si>
  <si>
    <t>Kütuse kulu</t>
  </si>
  <si>
    <t>EUR MWh</t>
  </si>
  <si>
    <t>Tegevuskulud</t>
  </si>
  <si>
    <t xml:space="preserve">Intressid </t>
  </si>
  <si>
    <t>Liitumine</t>
  </si>
  <si>
    <t>Hoolduskulud</t>
  </si>
  <si>
    <t>Hoolsuskulud</t>
  </si>
  <si>
    <t>Õhk-Õhk soojuspump</t>
  </si>
  <si>
    <t>Lokaalküttele ülemineku soojuse  hinnad</t>
  </si>
  <si>
    <t>Soojuse hinnad:</t>
  </si>
  <si>
    <t>Toodang</t>
  </si>
  <si>
    <t>MW</t>
  </si>
  <si>
    <t>a</t>
  </si>
  <si>
    <t>MWh</t>
  </si>
  <si>
    <t>gaas</t>
  </si>
  <si>
    <t>Tootsi Turvas</t>
  </si>
  <si>
    <t>SWE</t>
  </si>
  <si>
    <t>Eraküte</t>
  </si>
  <si>
    <t>Mistra Autex</t>
  </si>
  <si>
    <t>Adven</t>
  </si>
  <si>
    <t>Tondi</t>
  </si>
  <si>
    <t>Kasvu tn.</t>
  </si>
  <si>
    <t>Metsavahi tee</t>
  </si>
  <si>
    <t>Nõmme tee</t>
  </si>
  <si>
    <t>Rahu tn.</t>
  </si>
  <si>
    <t>Vabaduse pst.</t>
  </si>
  <si>
    <t>Kopli</t>
  </si>
  <si>
    <t>Ristiku</t>
  </si>
  <si>
    <t>Puuvilla</t>
  </si>
  <si>
    <t>Põltsamaa Välja</t>
  </si>
  <si>
    <t>Põltsamaa Pajusi</t>
  </si>
  <si>
    <t>Põltsamaa Ringtee</t>
  </si>
  <si>
    <t>Vändra Jannseni</t>
  </si>
  <si>
    <t>Kuldala soojus</t>
  </si>
  <si>
    <t>Elveso</t>
  </si>
  <si>
    <t>Vaiko AS</t>
  </si>
  <si>
    <t>Merirahu</t>
  </si>
  <si>
    <t>Lavassaare Kommunaal</t>
  </si>
  <si>
    <t>Andmed on koondatud MKM andmebaasidest, KA andmebaasidest, tootjate vastustest, KOV kodulehtedelt ja KOV vastustest järelepärimistele.</t>
  </si>
  <si>
    <t>Soojuse hinnaprognoos 2030-2050</t>
  </si>
  <si>
    <t>Eeldused hindade arvutamiseks:</t>
  </si>
  <si>
    <t>katla võimsus MW</t>
  </si>
  <si>
    <t>Soojustrassi pikkus km</t>
  </si>
  <si>
    <t>Aastane tarbimine MWh</t>
  </si>
  <si>
    <t xml:space="preserve">Katla kasutegur </t>
  </si>
  <si>
    <t>Kadu trassis %</t>
  </si>
  <si>
    <t>Puidu hind täna EUR/MWh</t>
  </si>
  <si>
    <t>Investeeringud  EUR</t>
  </si>
  <si>
    <t>sh.katel</t>
  </si>
  <si>
    <t>sh.trass</t>
  </si>
  <si>
    <t>Laen 10 a.</t>
  </si>
  <si>
    <t>intress %</t>
  </si>
  <si>
    <t>Amort periood a.</t>
  </si>
  <si>
    <t>Töötajate arv</t>
  </si>
  <si>
    <t>Puidu kallinemine aastas</t>
  </si>
  <si>
    <t>Kuupalk bruto in.</t>
  </si>
  <si>
    <t>Palgakasv a.</t>
  </si>
  <si>
    <t>Lubatud tootlus</t>
  </si>
  <si>
    <t>Puidu maksumus</t>
  </si>
  <si>
    <t>Elektri kulu</t>
  </si>
  <si>
    <t>Saastetasu</t>
  </si>
  <si>
    <t>Muud kulud %</t>
  </si>
  <si>
    <t>Elektri kulu  täna 5%</t>
  </si>
  <si>
    <t>Saastetasu täna 7%</t>
  </si>
  <si>
    <t>Elektri kallinemine %</t>
  </si>
  <si>
    <t>Saastetasude keskmine tõus %</t>
  </si>
  <si>
    <t>2014.a. SO2 29%, CO 10%, tahked osakesed 30%, NOx 10%, raskemetallid 1%,</t>
  </si>
  <si>
    <t>Palgakulu</t>
  </si>
  <si>
    <t>Soojuse hind täna EUR/MWh</t>
  </si>
  <si>
    <t>Muud tegevuskulud</t>
  </si>
  <si>
    <t>Amortisatsioon</t>
  </si>
  <si>
    <t>2030 a. soojuse müügihind puiduhakke küttel olevas kaugküttepiirkonnas on</t>
  </si>
  <si>
    <t>Müügitulu</t>
  </si>
  <si>
    <t>Tulukus 5% reguleeritud kapitalist</t>
  </si>
  <si>
    <t>Hinnates 2050 a. soojuse hinda eeldame tootjahindade kasvu 2% aastas tõstame soojuse müügihinda samavõrra.</t>
  </si>
  <si>
    <t>1. Puiduhakkel töötav katlamaja</t>
  </si>
  <si>
    <t>2. Gaasiküttel katlamaja.</t>
  </si>
  <si>
    <t>Päikesepaneel</t>
  </si>
  <si>
    <t>Elektri osakaal %</t>
  </si>
  <si>
    <t>Ei sisalda amorti ja baseerub Vao näitel</t>
  </si>
  <si>
    <t>Sooj.trass</t>
  </si>
  <si>
    <t>Tarbimis-</t>
  </si>
  <si>
    <t>tihedus</t>
  </si>
  <si>
    <t>Tarbimistihedus</t>
  </si>
  <si>
    <t>hoonete soojustamisel</t>
  </si>
  <si>
    <t>Vändra vana</t>
  </si>
  <si>
    <t>m</t>
  </si>
  <si>
    <t>Haiko Teenused</t>
  </si>
  <si>
    <t>Tall.Küte</t>
  </si>
  <si>
    <t>Ämari lokaalkatlad</t>
  </si>
  <si>
    <t>hind EUR/MWh</t>
  </si>
  <si>
    <t>Saku Maja</t>
  </si>
  <si>
    <t>Nissi Soojus</t>
  </si>
  <si>
    <t>Soojusenergia</t>
  </si>
  <si>
    <t>V.Pärnu mnt.</t>
  </si>
  <si>
    <t>Haldja</t>
  </si>
  <si>
    <t>Põllu p.</t>
  </si>
  <si>
    <t>Keskl.Pirita</t>
  </si>
  <si>
    <t>Saku tn</t>
  </si>
  <si>
    <t>Haraka tn</t>
  </si>
  <si>
    <t>Sõjakooli</t>
  </si>
  <si>
    <t>P-Tallinn</t>
  </si>
  <si>
    <t>WTC</t>
  </si>
  <si>
    <t>Järve Keskus</t>
  </si>
  <si>
    <t>Padriku</t>
  </si>
  <si>
    <t>TTP</t>
  </si>
  <si>
    <t>Merirahu Võrgud</t>
  </si>
  <si>
    <t>WTC Tallinna KV</t>
  </si>
  <si>
    <t>Silikaat</t>
  </si>
  <si>
    <t>Iisaku Elamumajandus</t>
  </si>
  <si>
    <t>Kiviõli Soojus</t>
  </si>
  <si>
    <t>Mäetaguse Kommunaal</t>
  </si>
  <si>
    <t>Sillamäe SEJ</t>
  </si>
  <si>
    <t>Narva Soojusvõrk</t>
  </si>
  <si>
    <t>Väätsa Soojus</t>
  </si>
  <si>
    <t>Lihula Soojus</t>
  </si>
  <si>
    <t>Märkused</t>
  </si>
  <si>
    <t>Pogi</t>
  </si>
  <si>
    <t>Noarootsi Soojus</t>
  </si>
  <si>
    <t>Taebla Kodu</t>
  </si>
  <si>
    <t>Uuemõisa Teenus</t>
  </si>
  <si>
    <t>U-M Soojus</t>
  </si>
  <si>
    <t>Suuremõisa PK</t>
  </si>
  <si>
    <t>VKG Soojus</t>
  </si>
  <si>
    <t>Haljala Soojus</t>
  </si>
  <si>
    <t>Rakvere Soojus</t>
  </si>
  <si>
    <t>Termoring Grupp</t>
  </si>
  <si>
    <t>Vao soojatarbijate Ühistu</t>
  </si>
  <si>
    <t>Põlva Soojus</t>
  </si>
  <si>
    <t>Peri Põllimajandus</t>
  </si>
  <si>
    <t>Avraal</t>
  </si>
  <si>
    <t>SU-FE</t>
  </si>
  <si>
    <t>Pääsküla Maja</t>
  </si>
  <si>
    <t>Kuressaare Soojus</t>
  </si>
  <si>
    <t>FortumTartu</t>
  </si>
  <si>
    <t>Valla Kommunaal</t>
  </si>
  <si>
    <t>Olme</t>
  </si>
  <si>
    <t>Sanva</t>
  </si>
  <si>
    <t>Esro</t>
  </si>
  <si>
    <t>Suur-Jaani Haldus</t>
  </si>
  <si>
    <t>Võhma ELKO</t>
  </si>
  <si>
    <t>Võru Soojus</t>
  </si>
  <si>
    <t>Abja Elamu</t>
  </si>
  <si>
    <t>Puiga Soojus</t>
  </si>
  <si>
    <t>Vee-Ekspert</t>
  </si>
  <si>
    <t>Par-Cal</t>
  </si>
  <si>
    <t>Fortum Eesti</t>
  </si>
  <si>
    <t>Termox</t>
  </si>
  <si>
    <t>Järvakandi Soojus</t>
  </si>
  <si>
    <t>Aseri Kommunaal</t>
  </si>
  <si>
    <t>Avinurme Soojus</t>
  </si>
  <si>
    <t>Velko AV</t>
  </si>
  <si>
    <t>Strantum</t>
  </si>
  <si>
    <t>Kõue Varahaldus</t>
  </si>
  <si>
    <t>Kuusalu Soojus</t>
  </si>
  <si>
    <t>Kiiu</t>
  </si>
  <si>
    <t>H-Ristil LKM-d</t>
  </si>
  <si>
    <t>Padise Soojus</t>
  </si>
  <si>
    <t>1,3 €/m2</t>
  </si>
  <si>
    <t>Raven</t>
  </si>
  <si>
    <t>Põrguvälja Soojus</t>
  </si>
  <si>
    <t>Uued trassid ja uued hooned</t>
  </si>
  <si>
    <t>Kasevälja</t>
  </si>
  <si>
    <t>Kooli</t>
  </si>
  <si>
    <t>Imavere Soojus</t>
  </si>
  <si>
    <t>Suurem osa võrgust tootmise tarbeks</t>
  </si>
  <si>
    <t>Jõhvi</t>
  </si>
  <si>
    <t>Mustvee Linnavara</t>
  </si>
  <si>
    <t>Tudulinna Kommunaal</t>
  </si>
  <si>
    <t>Ühendatakse +500 m trassi</t>
  </si>
  <si>
    <t>Kogumüük</t>
  </si>
  <si>
    <t>Ahja Soojus</t>
  </si>
  <si>
    <t>2013 plaanitav müük 2250 MWh</t>
  </si>
  <si>
    <t>Torma Soojus</t>
  </si>
  <si>
    <t>Põltsamaa AK</t>
  </si>
  <si>
    <t>Võisiku Kodu</t>
  </si>
  <si>
    <t xml:space="preserve">Võrk ei töötanud 2012.a. </t>
  </si>
  <si>
    <t>Lokaal KM</t>
  </si>
  <si>
    <t>Kohtla-Järve</t>
  </si>
  <si>
    <t>Kommunaal</t>
  </si>
  <si>
    <t>Sõmeru PK</t>
  </si>
  <si>
    <t>Roela Soojus</t>
  </si>
  <si>
    <t>Askoterm</t>
  </si>
  <si>
    <t>Flex Heat</t>
  </si>
  <si>
    <t>Anton Invest</t>
  </si>
  <si>
    <t>Revekor</t>
  </si>
  <si>
    <t xml:space="preserve">Räpina </t>
  </si>
  <si>
    <t>V-Kuuste Soojus</t>
  </si>
  <si>
    <t>FIE</t>
  </si>
  <si>
    <t>Raivo Remont</t>
  </si>
  <si>
    <t>Järlepa</t>
  </si>
  <si>
    <t>Soval Teenus</t>
  </si>
  <si>
    <t>Orgita Elamu</t>
  </si>
  <si>
    <t>Kaalutud keskmine hind</t>
  </si>
  <si>
    <t>10 a.laenu intress</t>
  </si>
  <si>
    <t>10 a laenuintressid 5%</t>
  </si>
  <si>
    <t>10 a. laenuintressid 5%</t>
  </si>
  <si>
    <t>Hoolekandeteenused</t>
  </si>
  <si>
    <t>Elva Soojus</t>
  </si>
  <si>
    <t>Cambi</t>
  </si>
  <si>
    <t>Trassid renoveeritud KIK</t>
  </si>
  <si>
    <t>Ekvi Soojus</t>
  </si>
  <si>
    <t>Sangla Turvas</t>
  </si>
  <si>
    <t>JKHK</t>
  </si>
  <si>
    <t>Kenadron</t>
  </si>
  <si>
    <t>Toruorel</t>
  </si>
  <si>
    <t>Helme Teenus</t>
  </si>
  <si>
    <t>Otepää Veevärk</t>
  </si>
  <si>
    <t>OÜ Ati</t>
  </si>
  <si>
    <t>Läks 15.07 2013 SWE-le</t>
  </si>
  <si>
    <t xml:space="preserve">Töötunde </t>
  </si>
  <si>
    <t>Töötunnid</t>
  </si>
  <si>
    <t>Tegevuskulu aastas</t>
  </si>
  <si>
    <t>Lasva Liimpuit</t>
  </si>
  <si>
    <t>Vaks OÜ</t>
  </si>
  <si>
    <t>mail</t>
  </si>
  <si>
    <t>Ramsi Turvas</t>
  </si>
  <si>
    <t>Argo Jõgi 4351370 Textuur</t>
  </si>
  <si>
    <t>Otepää Linn</t>
  </si>
  <si>
    <t>Otepää Keskus</t>
  </si>
  <si>
    <t>E-Piim</t>
  </si>
  <si>
    <t>Gümnaasium</t>
  </si>
  <si>
    <t>LKM-d SWE</t>
  </si>
  <si>
    <t>Omatarbeks 1092 MWh</t>
  </si>
  <si>
    <t>Lokaalsed KM SWE</t>
  </si>
  <si>
    <t>Ühendatud VKG võrguga</t>
  </si>
  <si>
    <t>Eelisol.torud</t>
  </si>
  <si>
    <t>MWh/t</t>
  </si>
  <si>
    <t>Taanlaste hinnad</t>
  </si>
  <si>
    <t>Taanlased</t>
  </si>
  <si>
    <t>Müüjad täna</t>
  </si>
  <si>
    <t>Puidu hind 2030 23,17 EUR/MWh</t>
  </si>
  <si>
    <t>Taanlastel eeldus 21,6</t>
  </si>
  <si>
    <t>Taanlaste eeldusel</t>
  </si>
  <si>
    <t>10 a refin laenu intressid</t>
  </si>
  <si>
    <t>Soojuspumbaliidu andmed:</t>
  </si>
  <si>
    <t>Tallinn kokku</t>
  </si>
  <si>
    <t>Textuur</t>
  </si>
  <si>
    <t>Bakeri OÜ andmetel</t>
  </si>
  <si>
    <t>Hoone 1 MW soojuse vajaduse katteks 50% osaga</t>
  </si>
  <si>
    <t>2,57 m2 kollektor 1 kW soojusvajadusele</t>
  </si>
  <si>
    <t>1,8 kW kollektor 1 kW soojusvajaduse katteks 50% osaga</t>
  </si>
  <si>
    <t>Schüco süsteem</t>
  </si>
  <si>
    <t>Täpsustada</t>
  </si>
  <si>
    <t>MA Sovel</t>
  </si>
  <si>
    <t>Järvekalda MTÜ</t>
  </si>
  <si>
    <t>Taanlaste eeldused</t>
  </si>
  <si>
    <t>Kohalike pakkujate eeldused</t>
  </si>
  <si>
    <t>Ülenurme,Tõrvandi</t>
  </si>
  <si>
    <t>Amordinorm katlale</t>
  </si>
  <si>
    <t>Amordinorm trassile</t>
  </si>
  <si>
    <t>$</t>
  </si>
  <si>
    <t>Reguleeritud kapital</t>
  </si>
  <si>
    <t>Laenu tagasimakse</t>
  </si>
  <si>
    <t>Tegevuskulud kokku</t>
  </si>
  <si>
    <t>Laenujääk</t>
  </si>
  <si>
    <t>Intress</t>
  </si>
  <si>
    <t>Kokku kulud</t>
  </si>
  <si>
    <t>Põhivarade jääkväärtus</t>
  </si>
  <si>
    <t>Kulud MWh kohta, EUR/MWh</t>
  </si>
  <si>
    <t>Kulud+lubatud tootlikkus, müügitulu</t>
  </si>
  <si>
    <t>Müügihind MWh kohta</t>
  </si>
  <si>
    <t>Puhas rahavoog</t>
  </si>
  <si>
    <t>Ärikasum</t>
  </si>
  <si>
    <t>Puhaskasum</t>
  </si>
  <si>
    <t>Kumuleeruv rahavoog</t>
  </si>
  <si>
    <t>NPV</t>
  </si>
  <si>
    <t>Tulukus reguleeritud kapitalist</t>
  </si>
  <si>
    <t>Omafin</t>
  </si>
  <si>
    <t>laenuintress %</t>
  </si>
  <si>
    <t>omafin</t>
  </si>
  <si>
    <t>NPV (OF)</t>
  </si>
  <si>
    <t>OF</t>
  </si>
  <si>
    <t>Laenumakse</t>
  </si>
  <si>
    <t>Investeering</t>
  </si>
  <si>
    <t>Aasta</t>
  </si>
  <si>
    <t>MWh/a</t>
  </si>
  <si>
    <t>aastas</t>
  </si>
  <si>
    <t>Rahavoog</t>
  </si>
  <si>
    <t>Laen</t>
  </si>
  <si>
    <t xml:space="preserve">Tulude-kulude hinnatõus </t>
  </si>
  <si>
    <t>Kulud kokku</t>
  </si>
  <si>
    <t>Amort</t>
  </si>
  <si>
    <t>Müügihind 2014</t>
  </si>
  <si>
    <t xml:space="preserve">Amortisatsioon </t>
  </si>
  <si>
    <t>ÕHK-ÕHK</t>
  </si>
  <si>
    <t>ELEKTER</t>
  </si>
  <si>
    <t>Investeeringu kirjeldus</t>
  </si>
  <si>
    <t>Elektrihind, EUR/MWh</t>
  </si>
  <si>
    <t>Rahuldav müügihind 2014, EUR/MWh</t>
  </si>
  <si>
    <t>NPV(OF)</t>
  </si>
  <si>
    <t>Reguleeritud, trassid+katel</t>
  </si>
  <si>
    <t>Reguleeritud, katel</t>
  </si>
  <si>
    <t>Turumajandus, trass+katel</t>
  </si>
  <si>
    <t>Turumajandus, katel</t>
  </si>
  <si>
    <t>Rahuldav müügihind 2023, EUR/MWh</t>
  </si>
  <si>
    <t>Õhk-vesi</t>
  </si>
  <si>
    <t>Õhk-õhk</t>
  </si>
  <si>
    <t>Elektriküte</t>
  </si>
  <si>
    <t>Päikesekollektor</t>
  </si>
  <si>
    <t>Klassikaline kaugküte</t>
  </si>
  <si>
    <t>Kohtküte</t>
  </si>
  <si>
    <t>m2</t>
  </si>
  <si>
    <t>kWh/m2/a</t>
  </si>
  <si>
    <t>Majapidamise 10 aasta arve</t>
  </si>
  <si>
    <t>El.keskm hind EUR/MWh</t>
  </si>
  <si>
    <t>Elektri kulu MWh/a</t>
  </si>
  <si>
    <t>Elektri hind EUR/MWh</t>
  </si>
  <si>
    <t>Gaasi hind suurtarbijale 2013.a. EUR/MWh</t>
  </si>
  <si>
    <t>Võrgutasu</t>
  </si>
  <si>
    <t xml:space="preserve">Elektri kulu soojusele </t>
  </si>
  <si>
    <t>Aktsiis</t>
  </si>
  <si>
    <t>Gaasi hind kokku suurtarbijale 2013.a. EUR/MWh</t>
  </si>
  <si>
    <t>Energy Analyses hinnaprognoos 2013.a.</t>
  </si>
  <si>
    <t>Keskkonnatasud gaas</t>
  </si>
  <si>
    <t>Eriheitmed kg/Miljard BTU e.</t>
  </si>
  <si>
    <t>Aastakulu EUR</t>
  </si>
  <si>
    <t>2030.a.</t>
  </si>
  <si>
    <t>SO2</t>
  </si>
  <si>
    <t>EUR/t</t>
  </si>
  <si>
    <t>Hinnakasv % tänasest hinnast(Taanlaste eeldus)</t>
  </si>
  <si>
    <t>CO</t>
  </si>
  <si>
    <t>Hinnaprognoos 2030.a. sama kasvu juures</t>
  </si>
  <si>
    <t>CO2</t>
  </si>
  <si>
    <t>Hind koos võrgutasude ja aktsiisiga EUR/MWh</t>
  </si>
  <si>
    <t>Eeldus, et võrgutasu ja aktsiis ei muutu</t>
  </si>
  <si>
    <t>Tahkes os.</t>
  </si>
  <si>
    <t>Katla võimsus  MW</t>
  </si>
  <si>
    <t>NOx</t>
  </si>
  <si>
    <t>Raskemetallid</t>
  </si>
  <si>
    <t>Soojatrassi pikkus km</t>
  </si>
  <si>
    <t>Kokku</t>
  </si>
  <si>
    <t>Kadu trassis</t>
  </si>
  <si>
    <t>Keskkonnatasu 2013.a. MWh soojusele</t>
  </si>
  <si>
    <t>katel</t>
  </si>
  <si>
    <t>AL Energia hinnad+paigaldus</t>
  </si>
  <si>
    <t>trass</t>
  </si>
  <si>
    <t xml:space="preserve">EUR </t>
  </si>
  <si>
    <t>Laenuintress %</t>
  </si>
  <si>
    <t>Amort norm katel</t>
  </si>
  <si>
    <t>Amort norm trass</t>
  </si>
  <si>
    <t>Brutopalk</t>
  </si>
  <si>
    <t>Soojuse müük MWh</t>
  </si>
  <si>
    <t>Gaasikatlamaja</t>
  </si>
  <si>
    <t>Gaasi maksumus</t>
  </si>
  <si>
    <t>Saastetasude kasv aastas</t>
  </si>
  <si>
    <t>Muud tegevuskulud 4%</t>
  </si>
  <si>
    <t>Kulud MWh.le</t>
  </si>
  <si>
    <t>Tulukus 5% reg kap.</t>
  </si>
  <si>
    <t>Kulud+tootlus,müügitulu</t>
  </si>
  <si>
    <t>Müügihind</t>
  </si>
  <si>
    <t>Gaasihinna kasv</t>
  </si>
  <si>
    <t>Palga kasv</t>
  </si>
  <si>
    <t>El hinna kasv</t>
  </si>
  <si>
    <t>a.       Elektri hind (2012) = 39,2 EUR / MWh (NPS 2012 keskmine)</t>
  </si>
  <si>
    <t>b.      Võrgutasud (2013) = 37,9 EUR / MWh (2013)</t>
  </si>
  <si>
    <t>c.       Taastuvenergiatasu (2013) = 8,7 EUR / MWh (2013)</t>
  </si>
  <si>
    <t>d.      Aktsiis (2013) = 4,5 EUR / MWh (2013)</t>
  </si>
  <si>
    <t>KOKKU (2013) = 90,3 EUR / MWh + 20 % KM = 108 EUR / MWh</t>
  </si>
  <si>
    <t>Elektri hind 2013.a.</t>
  </si>
  <si>
    <t>Investeering 1 MW väljundvõimsuse saamiseks</t>
  </si>
  <si>
    <t>2030.a. on gaasikatlamaja soojuse müügihind</t>
  </si>
  <si>
    <t>KWh/m2 aastas</t>
  </si>
  <si>
    <t>m2 pind</t>
  </si>
  <si>
    <t>küttearve EUR/a</t>
  </si>
  <si>
    <t xml:space="preserve">Eeldades tootjahindade kasvu </t>
  </si>
  <si>
    <t>aastas. Tõstame soojuse müügihinda sama suuruse võrra aastas.</t>
  </si>
  <si>
    <t>2. Gaasiküttel katlamaja eeldused.</t>
  </si>
  <si>
    <t xml:space="preserve">Gaasi hind 2030.a. 1,5% hinnatõusu korral </t>
  </si>
  <si>
    <t>koos võrgutasude ja aktsiisiga</t>
  </si>
  <si>
    <t>Gaasikatel+trassid</t>
  </si>
  <si>
    <t/>
  </si>
  <si>
    <t>Katlamaja asendamine ORC tehnoloogial põhineva CHP-ga</t>
  </si>
  <si>
    <t>Eeldused:</t>
  </si>
  <si>
    <t>Jaama võimsus</t>
  </si>
  <si>
    <t>MWs</t>
  </si>
  <si>
    <t>MWe</t>
  </si>
  <si>
    <t>Jaama kasutegur</t>
  </si>
  <si>
    <t>Aastatarbimine</t>
  </si>
  <si>
    <t>MWhs</t>
  </si>
  <si>
    <t>Töötunde</t>
  </si>
  <si>
    <t>Puidu hind</t>
  </si>
  <si>
    <t>Elektri keskmine müügihind=spoti hind 2013 6 kuud EUR/MWh</t>
  </si>
  <si>
    <t>Müüdud soojus</t>
  </si>
  <si>
    <t>Soojuse hind</t>
  </si>
  <si>
    <t xml:space="preserve">Elektri toodang </t>
  </si>
  <si>
    <t>MEUR/MWe</t>
  </si>
  <si>
    <t xml:space="preserve">ORC tehnoloogiaga jaama maksumus </t>
  </si>
  <si>
    <t xml:space="preserve">jaama eluiga </t>
  </si>
  <si>
    <t>Amort.norm</t>
  </si>
  <si>
    <t>10 a laen intress</t>
  </si>
  <si>
    <t>Kuupank br.</t>
  </si>
  <si>
    <t>Omatarve</t>
  </si>
  <si>
    <t>Tulu</t>
  </si>
  <si>
    <t>Elektri müük</t>
  </si>
  <si>
    <t>Kallinemised</t>
  </si>
  <si>
    <t>1,5%aastas</t>
  </si>
  <si>
    <t>Keskmine jaama koormus 4000 tunni jooksul</t>
  </si>
  <si>
    <t>Kulu</t>
  </si>
  <si>
    <t>Puidu ost</t>
  </si>
  <si>
    <t>EUR/MWhs</t>
  </si>
  <si>
    <t>Laenu jääk</t>
  </si>
  <si>
    <t>Kulud MWhs kohta</t>
  </si>
  <si>
    <t>Kulud+lubatud tootlus</t>
  </si>
  <si>
    <t>Müügihind MWhs kohta</t>
  </si>
  <si>
    <t>Tulukus reg kap.5%</t>
  </si>
  <si>
    <t>Saastetasu kasv</t>
  </si>
  <si>
    <t xml:space="preserve">Seade </t>
  </si>
  <si>
    <t>Hoone</t>
  </si>
  <si>
    <t>Järelevalve,mk.</t>
  </si>
  <si>
    <t>Projekt,uuringud</t>
  </si>
  <si>
    <t>Montaaž,abiseadm.</t>
  </si>
  <si>
    <t>Elektri jt hinnamuutus aastas kallinemine %</t>
  </si>
  <si>
    <t>Tulude-kulude hinnamuutus %</t>
  </si>
  <si>
    <t>Gaasikatel+trassid, market</t>
  </si>
  <si>
    <t>RKV</t>
  </si>
  <si>
    <t>VKG</t>
  </si>
  <si>
    <t>müügimaht</t>
  </si>
  <si>
    <t>võrgu pikkus</t>
  </si>
  <si>
    <t>Eeldused arvutustele.</t>
  </si>
  <si>
    <t>Modelleeritud tüüpkoormusgraafikgraafik</t>
  </si>
  <si>
    <t>Kuu</t>
  </si>
  <si>
    <t>keskmineMW</t>
  </si>
  <si>
    <t>tunnid</t>
  </si>
  <si>
    <t>võimsus MW</t>
  </si>
  <si>
    <t>Kogu tarbimine MWh</t>
  </si>
  <si>
    <t>Tarbimise kestvuse eelduseks on hoonete soojustamine</t>
  </si>
  <si>
    <t xml:space="preserve">Töötundide arv </t>
  </si>
  <si>
    <t>ja ventilatsiooni soojuse tagastussüsteemi ehitusega</t>
  </si>
  <si>
    <t>Koormuskestvusgraafik</t>
  </si>
  <si>
    <t>Võrdluseks tüüpilise väikese kaugküttepiirkonna graafik.</t>
  </si>
  <si>
    <t xml:space="preserve">Töötunnid vähenevad seoses tarbimise vähenemisega </t>
  </si>
  <si>
    <t>Arvutuste aluseks on teoreetiline soojusvõrk, mille tarbimisgraafik on modelleeritud arvestades hoonete soojustamisel saavutatavat 35% soojuse tarbimise vähenemist ja tänu</t>
  </si>
  <si>
    <t>ventilatsioonisüsteemi soojustagastuse ehitamist ka kütteperioodi lühenemist kevadel ja sügisel.</t>
  </si>
  <si>
    <t xml:space="preserve">Tarbimine </t>
  </si>
  <si>
    <t>Elektri hinna alused:</t>
  </si>
  <si>
    <t>Investeeringute suuruste hindamise aluseks on Energy Analyses eeldused, Soojuspumbaliidu andmed, Baker OÜ mudelarvutused, katelde ja seadmete tootjate pakkumused.</t>
  </si>
  <si>
    <t>Puidukatel</t>
  </si>
  <si>
    <t>Gaasikatel</t>
  </si>
  <si>
    <t>ORC</t>
  </si>
  <si>
    <t>Investeeringud koos projekteerimise, montaaži ja seadistamisega.</t>
  </si>
  <si>
    <t>Elektri osakaal soojuse tootmisel</t>
  </si>
  <si>
    <t>Õhk-Vesi soojuspump</t>
  </si>
  <si>
    <t>Elektrivõrguga liitumisel on eelduseks, et tarbijad liituvad vastavalt jaotusvõrguettevõtja liitumise hinnakirjale 134 EUR/A</t>
  </si>
  <si>
    <t>(see on ka eelduseks energiaühistute liitumisel, kuna nad asuvad ka täna elektrivõrgus)</t>
  </si>
  <si>
    <t>Kütuste hinnad:</t>
  </si>
  <si>
    <t>Gaas.</t>
  </si>
  <si>
    <t>Puit</t>
  </si>
  <si>
    <t xml:space="preserve">Hakkepuidu hind täna </t>
  </si>
  <si>
    <t>Hinnakasv aastas</t>
  </si>
  <si>
    <t>Tänane hind kohaletoomisega</t>
  </si>
  <si>
    <t>Amortisatsiooninormid:</t>
  </si>
  <si>
    <t>Päiksekollektor</t>
  </si>
  <si>
    <t>Saastetasud:</t>
  </si>
  <si>
    <t>EUR/MWe</t>
  </si>
  <si>
    <t>EUR/MWs</t>
  </si>
  <si>
    <t>Kohtkütte mudelis kallinemine aastas</t>
  </si>
  <si>
    <t xml:space="preserve">Elektri hind ilma subsiidiumiteta  </t>
  </si>
  <si>
    <t xml:space="preserve">Keskkonnatasud </t>
  </si>
  <si>
    <t>Puit g/GJ</t>
  </si>
  <si>
    <t>Kadu renoveerimata soojusvõrgus</t>
  </si>
  <si>
    <t>Kadu renoveeritud majade ja võrguga</t>
  </si>
  <si>
    <t>Koht -ja lokaalkütte investeeringuks on arvestatud eeldustes oleva tarbimise katmiseks vajalikke kulutusi.</t>
  </si>
  <si>
    <t>Madessaare OÜ</t>
  </si>
  <si>
    <t>Kallinemine aastas gaasikatlamaja ja ORC</t>
  </si>
  <si>
    <t>2013 a, kuue kuu keskmine</t>
  </si>
  <si>
    <t>1 MWh=3600 MJ</t>
  </si>
  <si>
    <t>Miljard BTU=293 MWh</t>
  </si>
  <si>
    <t>Kasutegurid:</t>
  </si>
  <si>
    <t>Lubatud tootlus reguleeritud kapitalile</t>
  </si>
  <si>
    <t xml:space="preserve">Lokaal KM-d </t>
  </si>
  <si>
    <t>Lõpetab tegevuse</t>
  </si>
  <si>
    <t>1 maja</t>
  </si>
  <si>
    <t xml:space="preserve">Seljuures puudvad andmed: </t>
  </si>
  <si>
    <t>Lisa 2</t>
  </si>
  <si>
    <t>Kokku soojustrasse:</t>
  </si>
  <si>
    <t>Kadu MWh</t>
  </si>
  <si>
    <t>Modelleeritud tüüpkoormusgraafik koos sooja tarbevee tootmisega</t>
  </si>
  <si>
    <t>Keskmine MW</t>
  </si>
  <si>
    <t>Keskmine kadu %</t>
  </si>
  <si>
    <t>Turba hind täna EUR/MWh</t>
  </si>
  <si>
    <t>CO2 heide t/MWh</t>
  </si>
  <si>
    <t>CO2 kulu</t>
  </si>
  <si>
    <t>CO2 hind EUR/t</t>
  </si>
  <si>
    <t>2030 a. soojuse müügihind freesturba küttel olevas kaugküttepiirkonnas on</t>
  </si>
  <si>
    <t>koos sooja tarbevee tootmisega</t>
  </si>
  <si>
    <t xml:space="preserve">CO2 hind </t>
  </si>
  <si>
    <t>CO2 heide</t>
  </si>
  <si>
    <t>t/MWh</t>
  </si>
  <si>
    <t>Soe vesi</t>
  </si>
  <si>
    <t>Elektriga sooja vee tootmine</t>
  </si>
  <si>
    <t>Maksumus</t>
  </si>
  <si>
    <t>Tarbimine sooja tarbevee tootmisel</t>
  </si>
  <si>
    <t>Hind €/MWh</t>
  </si>
  <si>
    <t>Investeering ORC</t>
  </si>
  <si>
    <t>Katla toodang</t>
  </si>
  <si>
    <t>Kadu</t>
  </si>
  <si>
    <t>Katla toodang MWh</t>
  </si>
  <si>
    <t>Elektri kulu katlamajas MWh/a</t>
  </si>
  <si>
    <t>Katlamaja aastane elektri kulu</t>
  </si>
  <si>
    <t xml:space="preserve">Katlamaja elektrikulu aastas 75 MWh on hinnanguline ja arvestab kogu elektri kulu kaasa arvatud tsirkulatsioonipumbad. </t>
  </si>
  <si>
    <t>Soojuse hinna mõju tarbimise suurusest</t>
  </si>
  <si>
    <t>Soojuse hinna sõltuvus müüdud kogustest</t>
  </si>
  <si>
    <t>Koos sooja tarbeveega</t>
  </si>
  <si>
    <t>Metoodika:</t>
  </si>
  <si>
    <r>
      <t>Turutingimustel tulemuste saamiseks on võetud kriteeriumiks</t>
    </r>
    <r>
      <rPr>
        <b/>
        <sz val="11"/>
        <color theme="1"/>
        <rFont val="Calibri"/>
        <family val="2"/>
        <charset val="186"/>
        <scheme val="minor"/>
      </rPr>
      <t xml:space="preserve"> IRR=10% </t>
    </r>
    <r>
      <rPr>
        <sz val="11"/>
        <color theme="1"/>
        <rFont val="Calibri"/>
        <family val="2"/>
        <charset val="186"/>
        <scheme val="minor"/>
      </rPr>
      <t xml:space="preserve">ja sisestades müügihindu leida </t>
    </r>
    <r>
      <rPr>
        <b/>
        <sz val="11"/>
        <color theme="1"/>
        <rFont val="Calibri"/>
        <family val="2"/>
        <charset val="186"/>
        <scheme val="minor"/>
      </rPr>
      <t xml:space="preserve">null või positiivne NPV </t>
    </r>
  </si>
  <si>
    <t>Reguleeritud tootmise puhul on võetud eelduseks 5% tootlus reguleeritud kapitalile ja kulubaasi ning tootluse alusel leitud hind ja vastav IRR ja NPV</t>
  </si>
  <si>
    <t>Müügitulu soojusest</t>
  </si>
  <si>
    <t xml:space="preserve">Soojuse hinnamuutus </t>
  </si>
  <si>
    <t>sh.</t>
  </si>
  <si>
    <t>Kõiki sisendandmeid saab muuta.</t>
  </si>
  <si>
    <t>Maasoojuspumba erinevate elektri osakaalude  ja hinna sõltuvus.</t>
  </si>
  <si>
    <t>Õhk-vesi soojuspumba hinnsõltuvus elektri osakaalust</t>
  </si>
  <si>
    <t>EUR/A KM-ga</t>
  </si>
  <si>
    <t>Turvas reg.</t>
  </si>
  <si>
    <t>Turvas market</t>
  </si>
  <si>
    <t xml:space="preserve">CO2 hinnamõju </t>
  </si>
  <si>
    <t>Soojuse hind 2014</t>
  </si>
  <si>
    <t>Soojuse hind 2023</t>
  </si>
  <si>
    <t>ORC market</t>
  </si>
  <si>
    <t>KWh/m2*a</t>
  </si>
  <si>
    <t>Puurkaevuga</t>
  </si>
  <si>
    <t>EG keskmine suurtarbija hind</t>
  </si>
  <si>
    <t>Turba maksumus</t>
  </si>
  <si>
    <t>Pakkumused 175 Eur/t kohaletoomisega</t>
  </si>
  <si>
    <t>Alla 1,0 tarbimistihedusega võrkude aastatarbimine</t>
  </si>
  <si>
    <t>2014.a. SO2 29%, CO 10%, tahked osakesed 30%, NOx 10%, raskemetallid 1%, tuhk,</t>
  </si>
  <si>
    <t>Turba kallinemine aastas</t>
  </si>
  <si>
    <t>Kokkulepitud eeldus</t>
  </si>
  <si>
    <t>1. Turbal töötav katlamaja</t>
  </si>
  <si>
    <t>1.Turbal töötav katlamaja</t>
  </si>
  <si>
    <t>Sisaldab kõiki kulusi</t>
  </si>
  <si>
    <t>Sisaldab kõiki saastetasusi v.a. CO2</t>
  </si>
  <si>
    <t>165 EUR/t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</si>
</sst>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kr&quot;;[Red]\-#,##0.00\ &quot;kr&quot;"/>
    <numFmt numFmtId="165" formatCode="0.0"/>
    <numFmt numFmtId="166" formatCode="0.0%"/>
    <numFmt numFmtId="167" formatCode="#,##0.0"/>
    <numFmt numFmtId="168" formatCode="0.0000"/>
    <numFmt numFmtId="169" formatCode="0.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92D05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sz val="11"/>
      <color rgb="FF00B0F0"/>
      <name val="Calibri"/>
      <family val="2"/>
      <charset val="186"/>
      <scheme val="minor"/>
    </font>
    <font>
      <sz val="11"/>
      <color rgb="FFFFC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u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9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4" fillId="0" borderId="0" xfId="0" applyNumberFormat="1" applyFont="1"/>
    <xf numFmtId="2" fontId="1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0" fillId="0" borderId="9" xfId="0" applyBorder="1"/>
    <xf numFmtId="0" fontId="7" fillId="0" borderId="0" xfId="0" applyFont="1"/>
    <xf numFmtId="0" fontId="0" fillId="0" borderId="1" xfId="0" applyBorder="1"/>
    <xf numFmtId="0" fontId="0" fillId="0" borderId="0" xfId="0" applyBorder="1"/>
    <xf numFmtId="166" fontId="0" fillId="0" borderId="0" xfId="0" applyNumberFormat="1"/>
    <xf numFmtId="10" fontId="0" fillId="0" borderId="0" xfId="0" applyNumberFormat="1"/>
    <xf numFmtId="0" fontId="3" fillId="0" borderId="0" xfId="0" applyFont="1"/>
    <xf numFmtId="0" fontId="3" fillId="0" borderId="7" xfId="0" applyFont="1" applyBorder="1"/>
    <xf numFmtId="1" fontId="1" fillId="0" borderId="10" xfId="0" applyNumberFormat="1" applyFont="1" applyBorder="1"/>
    <xf numFmtId="0" fontId="0" fillId="0" borderId="11" xfId="0" applyBorder="1"/>
    <xf numFmtId="1" fontId="1" fillId="0" borderId="0" xfId="0" applyNumberFormat="1" applyFont="1"/>
    <xf numFmtId="0" fontId="8" fillId="0" borderId="0" xfId="0" applyFont="1"/>
    <xf numFmtId="0" fontId="0" fillId="0" borderId="12" xfId="0" applyBorder="1"/>
    <xf numFmtId="0" fontId="0" fillId="0" borderId="13" xfId="0" applyBorder="1"/>
    <xf numFmtId="0" fontId="0" fillId="0" borderId="1" xfId="0" applyFill="1" applyBorder="1"/>
    <xf numFmtId="0" fontId="0" fillId="0" borderId="14" xfId="0" applyBorder="1"/>
    <xf numFmtId="0" fontId="0" fillId="0" borderId="15" xfId="0" applyBorder="1"/>
    <xf numFmtId="2" fontId="8" fillId="0" borderId="0" xfId="0" applyNumberFormat="1" applyFont="1"/>
    <xf numFmtId="4" fontId="1" fillId="0" borderId="0" xfId="0" applyNumberFormat="1" applyFont="1"/>
    <xf numFmtId="0" fontId="9" fillId="0" borderId="0" xfId="0" applyFont="1"/>
    <xf numFmtId="164" fontId="0" fillId="0" borderId="0" xfId="0" applyNumberFormat="1"/>
    <xf numFmtId="0" fontId="10" fillId="0" borderId="0" xfId="0" applyFont="1"/>
    <xf numFmtId="10" fontId="1" fillId="0" borderId="0" xfId="0" applyNumberFormat="1" applyFont="1"/>
    <xf numFmtId="10" fontId="10" fillId="0" borderId="0" xfId="0" applyNumberFormat="1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3" fontId="11" fillId="0" borderId="0" xfId="0" applyNumberFormat="1" applyFont="1"/>
    <xf numFmtId="0" fontId="13" fillId="0" borderId="0" xfId="0" applyFont="1"/>
    <xf numFmtId="167" fontId="13" fillId="0" borderId="0" xfId="0" applyNumberFormat="1" applyFont="1"/>
    <xf numFmtId="2" fontId="10" fillId="0" borderId="0" xfId="0" applyNumberFormat="1" applyFont="1"/>
    <xf numFmtId="3" fontId="1" fillId="0" borderId="0" xfId="0" applyNumberFormat="1" applyFont="1"/>
    <xf numFmtId="3" fontId="10" fillId="0" borderId="0" xfId="0" applyNumberFormat="1" applyFont="1"/>
    <xf numFmtId="3" fontId="13" fillId="0" borderId="0" xfId="0" applyNumberFormat="1" applyFont="1"/>
    <xf numFmtId="9" fontId="11" fillId="0" borderId="0" xfId="0" applyNumberFormat="1" applyFont="1"/>
    <xf numFmtId="0" fontId="14" fillId="0" borderId="0" xfId="0" applyFont="1"/>
    <xf numFmtId="10" fontId="15" fillId="0" borderId="0" xfId="0" applyNumberFormat="1" applyFont="1"/>
    <xf numFmtId="1" fontId="2" fillId="0" borderId="0" xfId="0" applyNumberFormat="1" applyFont="1"/>
    <xf numFmtId="1" fontId="0" fillId="0" borderId="0" xfId="0" applyNumberFormat="1" applyFont="1"/>
    <xf numFmtId="168" fontId="0" fillId="0" borderId="0" xfId="0" applyNumberFormat="1"/>
    <xf numFmtId="0" fontId="16" fillId="0" borderId="0" xfId="1" applyAlignment="1" applyProtection="1">
      <alignment horizontal="left" indent="10"/>
    </xf>
    <xf numFmtId="0" fontId="0" fillId="0" borderId="0" xfId="0" applyAlignment="1">
      <alignment horizontal="left" indent="8"/>
    </xf>
    <xf numFmtId="3" fontId="1" fillId="0" borderId="14" xfId="0" applyNumberFormat="1" applyFont="1" applyBorder="1"/>
    <xf numFmtId="3" fontId="1" fillId="0" borderId="16" xfId="0" applyNumberFormat="1" applyFont="1" applyBorder="1"/>
    <xf numFmtId="3" fontId="1" fillId="0" borderId="15" xfId="0" applyNumberFormat="1" applyFont="1" applyBorder="1"/>
    <xf numFmtId="3" fontId="1" fillId="0" borderId="10" xfId="0" applyNumberFormat="1" applyFont="1" applyBorder="1"/>
    <xf numFmtId="0" fontId="0" fillId="0" borderId="10" xfId="0" applyBorder="1"/>
    <xf numFmtId="0" fontId="1" fillId="0" borderId="10" xfId="0" applyFont="1" applyBorder="1"/>
    <xf numFmtId="9" fontId="1" fillId="0" borderId="10" xfId="0" applyNumberFormat="1" applyFont="1" applyBorder="1"/>
    <xf numFmtId="1" fontId="0" fillId="0" borderId="10" xfId="0" applyNumberFormat="1" applyBorder="1"/>
    <xf numFmtId="2" fontId="0" fillId="0" borderId="10" xfId="0" applyNumberFormat="1" applyBorder="1"/>
    <xf numFmtId="0" fontId="0" fillId="0" borderId="0" xfId="0" quotePrefix="1"/>
    <xf numFmtId="165" fontId="1" fillId="0" borderId="0" xfId="0" applyNumberFormat="1" applyFont="1"/>
    <xf numFmtId="165" fontId="13" fillId="0" borderId="0" xfId="0" applyNumberFormat="1" applyFont="1"/>
    <xf numFmtId="169" fontId="0" fillId="0" borderId="0" xfId="0" applyNumberFormat="1"/>
    <xf numFmtId="9" fontId="10" fillId="0" borderId="0" xfId="0" applyNumberFormat="1" applyFont="1"/>
    <xf numFmtId="0" fontId="1" fillId="0" borderId="0" xfId="0" applyFont="1" applyBorder="1"/>
    <xf numFmtId="0" fontId="17" fillId="0" borderId="0" xfId="0" applyFont="1"/>
    <xf numFmtId="0" fontId="0" fillId="0" borderId="0" xfId="0" applyAlignment="1">
      <alignment horizontal="left" indent="5"/>
    </xf>
    <xf numFmtId="0" fontId="0" fillId="0" borderId="0" xfId="0" applyAlignment="1">
      <alignment horizontal="left" indent="10"/>
    </xf>
    <xf numFmtId="9" fontId="1" fillId="0" borderId="0" xfId="0" applyNumberFormat="1" applyFont="1"/>
    <xf numFmtId="0" fontId="10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" fontId="10" fillId="0" borderId="0" xfId="0" applyNumberFormat="1" applyFont="1"/>
    <xf numFmtId="165" fontId="1" fillId="0" borderId="10" xfId="0" applyNumberFormat="1" applyFont="1" applyBorder="1"/>
    <xf numFmtId="2" fontId="1" fillId="0" borderId="10" xfId="0" applyNumberFormat="1" applyFont="1" applyBorder="1"/>
    <xf numFmtId="164" fontId="10" fillId="0" borderId="10" xfId="0" applyNumberFormat="1" applyFont="1" applyBorder="1"/>
    <xf numFmtId="10" fontId="1" fillId="0" borderId="10" xfId="0" applyNumberFormat="1" applyFont="1" applyBorder="1"/>
    <xf numFmtId="165" fontId="10" fillId="0" borderId="10" xfId="0" applyNumberFormat="1" applyFont="1" applyBorder="1"/>
    <xf numFmtId="10" fontId="10" fillId="0" borderId="10" xfId="0" applyNumberFormat="1" applyFont="1" applyBorder="1"/>
    <xf numFmtId="9" fontId="0" fillId="0" borderId="0" xfId="2" applyFont="1"/>
    <xf numFmtId="9" fontId="1" fillId="0" borderId="10" xfId="2" applyFont="1" applyBorder="1"/>
    <xf numFmtId="4" fontId="0" fillId="0" borderId="0" xfId="0" applyNumberFormat="1" applyFill="1" applyBorder="1"/>
    <xf numFmtId="1" fontId="13" fillId="0" borderId="0" xfId="0" applyNumberFormat="1" applyFont="1"/>
    <xf numFmtId="165" fontId="19" fillId="0" borderId="0" xfId="1" quotePrefix="1" applyNumberFormat="1" applyFont="1" applyAlignment="1" applyProtection="1"/>
  </cellXfs>
  <cellStyles count="3">
    <cellStyle name="Hüperlink" xfId="1" builtinId="8"/>
    <cellStyle name="Normaallaad" xfId="0" builtinId="0"/>
    <cellStyle name="Prot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[1]Sheet1!$H$3:$H$43</c:f>
              <c:numCache>
                <c:formatCode>General</c:formatCode>
                <c:ptCount val="41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</c:numCache>
            </c:numRef>
          </c:xVal>
          <c:yVal>
            <c:numRef>
              <c:f>[1]Sheet1!$I$3:$I$43</c:f>
              <c:numCache>
                <c:formatCode>General</c:formatCode>
                <c:ptCount val="41"/>
                <c:pt idx="0">
                  <c:v>1</c:v>
                </c:pt>
                <c:pt idx="1">
                  <c:v>0.99</c:v>
                </c:pt>
                <c:pt idx="2">
                  <c:v>0.95</c:v>
                </c:pt>
                <c:pt idx="3">
                  <c:v>0.9</c:v>
                </c:pt>
                <c:pt idx="4">
                  <c:v>0.85</c:v>
                </c:pt>
                <c:pt idx="5">
                  <c:v>0.8</c:v>
                </c:pt>
                <c:pt idx="6">
                  <c:v>0.78</c:v>
                </c:pt>
                <c:pt idx="7">
                  <c:v>0.76</c:v>
                </c:pt>
                <c:pt idx="8">
                  <c:v>0.73</c:v>
                </c:pt>
                <c:pt idx="9">
                  <c:v>0.7</c:v>
                </c:pt>
                <c:pt idx="10">
                  <c:v>0.68</c:v>
                </c:pt>
                <c:pt idx="11">
                  <c:v>0.66</c:v>
                </c:pt>
                <c:pt idx="12">
                  <c:v>0.64</c:v>
                </c:pt>
                <c:pt idx="13">
                  <c:v>0.62</c:v>
                </c:pt>
                <c:pt idx="14">
                  <c:v>0.6</c:v>
                </c:pt>
                <c:pt idx="15">
                  <c:v>0.59</c:v>
                </c:pt>
                <c:pt idx="16">
                  <c:v>0.59</c:v>
                </c:pt>
                <c:pt idx="17">
                  <c:v>0.57999999999999996</c:v>
                </c:pt>
                <c:pt idx="18">
                  <c:v>0.57999999999999996</c:v>
                </c:pt>
                <c:pt idx="19">
                  <c:v>0.56999999999999995</c:v>
                </c:pt>
                <c:pt idx="20">
                  <c:v>0.56999999999999995</c:v>
                </c:pt>
                <c:pt idx="21">
                  <c:v>0.56999999999999995</c:v>
                </c:pt>
                <c:pt idx="22">
                  <c:v>0.56000000000000005</c:v>
                </c:pt>
                <c:pt idx="23">
                  <c:v>0.55000000000000004</c:v>
                </c:pt>
                <c:pt idx="24">
                  <c:v>0.54</c:v>
                </c:pt>
                <c:pt idx="25">
                  <c:v>0.53</c:v>
                </c:pt>
                <c:pt idx="26">
                  <c:v>0.52</c:v>
                </c:pt>
                <c:pt idx="27">
                  <c:v>0.52</c:v>
                </c:pt>
                <c:pt idx="28">
                  <c:v>0.5</c:v>
                </c:pt>
                <c:pt idx="29">
                  <c:v>0.49</c:v>
                </c:pt>
                <c:pt idx="30">
                  <c:v>0.48</c:v>
                </c:pt>
                <c:pt idx="31">
                  <c:v>0.46</c:v>
                </c:pt>
                <c:pt idx="32">
                  <c:v>0.44</c:v>
                </c:pt>
                <c:pt idx="33">
                  <c:v>0.42</c:v>
                </c:pt>
                <c:pt idx="34">
                  <c:v>0.4</c:v>
                </c:pt>
                <c:pt idx="35">
                  <c:v>0.39</c:v>
                </c:pt>
                <c:pt idx="36">
                  <c:v>0.38</c:v>
                </c:pt>
                <c:pt idx="37">
                  <c:v>0.35</c:v>
                </c:pt>
                <c:pt idx="38">
                  <c:v>0.32</c:v>
                </c:pt>
                <c:pt idx="39">
                  <c:v>0.3</c:v>
                </c:pt>
                <c:pt idx="40">
                  <c:v>0.28000000000000003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13232"/>
        <c:axId val="453113624"/>
      </c:scatterChart>
      <c:valAx>
        <c:axId val="45311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113624"/>
        <c:crosses val="autoZero"/>
        <c:crossBetween val="midCat"/>
      </c:valAx>
      <c:valAx>
        <c:axId val="453113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113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'Lokaalküte, tänane'!$E$135</c:f>
              <c:strCache>
                <c:ptCount val="1"/>
                <c:pt idx="0">
                  <c:v>2014</c:v>
                </c:pt>
              </c:strCache>
            </c:strRef>
          </c:tx>
          <c:xVal>
            <c:strRef>
              <c:f>'Lokaalküte, tänane'!$C$136:$D$140</c:f>
              <c:strCache>
                <c:ptCount val="5"/>
                <c:pt idx="0">
                  <c:v>30%</c:v>
                </c:pt>
                <c:pt idx="1">
                  <c:v>35%</c:v>
                </c:pt>
                <c:pt idx="2">
                  <c:v>40%</c:v>
                </c:pt>
                <c:pt idx="3">
                  <c:v>45%</c:v>
                </c:pt>
                <c:pt idx="4">
                  <c:v>50%</c:v>
                </c:pt>
              </c:strCache>
            </c:strRef>
          </c:xVal>
          <c:yVal>
            <c:numRef>
              <c:f>'Lokaalküte, tänane'!$E$136:$E$140</c:f>
              <c:numCache>
                <c:formatCode>General</c:formatCode>
                <c:ptCount val="5"/>
                <c:pt idx="0">
                  <c:v>96</c:v>
                </c:pt>
                <c:pt idx="1">
                  <c:v>101</c:v>
                </c:pt>
                <c:pt idx="2">
                  <c:v>106</c:v>
                </c:pt>
                <c:pt idx="3">
                  <c:v>110</c:v>
                </c:pt>
                <c:pt idx="4">
                  <c:v>115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'Lokaalküte, tänane'!$F$135</c:f>
              <c:strCache>
                <c:ptCount val="1"/>
                <c:pt idx="0">
                  <c:v>2023</c:v>
                </c:pt>
              </c:strCache>
            </c:strRef>
          </c:tx>
          <c:xVal>
            <c:strRef>
              <c:f>'Lokaalküte, tänane'!$C$136:$D$140</c:f>
              <c:strCache>
                <c:ptCount val="5"/>
                <c:pt idx="0">
                  <c:v>30%</c:v>
                </c:pt>
                <c:pt idx="1">
                  <c:v>35%</c:v>
                </c:pt>
                <c:pt idx="2">
                  <c:v>40%</c:v>
                </c:pt>
                <c:pt idx="3">
                  <c:v>45%</c:v>
                </c:pt>
                <c:pt idx="4">
                  <c:v>50%</c:v>
                </c:pt>
              </c:strCache>
            </c:strRef>
          </c:xVal>
          <c:yVal>
            <c:numRef>
              <c:f>'Lokaalküte, tänane'!$F$136:$F$140</c:f>
              <c:numCache>
                <c:formatCode>General</c:formatCode>
                <c:ptCount val="5"/>
                <c:pt idx="0">
                  <c:v>120</c:v>
                </c:pt>
                <c:pt idx="1">
                  <c:v>126</c:v>
                </c:pt>
                <c:pt idx="2">
                  <c:v>132</c:v>
                </c:pt>
                <c:pt idx="3">
                  <c:v>137</c:v>
                </c:pt>
                <c:pt idx="4">
                  <c:v>144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14408"/>
        <c:axId val="453114800"/>
      </c:scatterChart>
      <c:valAx>
        <c:axId val="453114408"/>
        <c:scaling>
          <c:orientation val="minMax"/>
        </c:scaling>
        <c:delete val="0"/>
        <c:axPos val="b"/>
        <c:majorTickMark val="out"/>
        <c:minorTickMark val="none"/>
        <c:tickLblPos val="nextTo"/>
        <c:crossAx val="453114800"/>
        <c:crosses val="autoZero"/>
        <c:crossBetween val="midCat"/>
      </c:valAx>
      <c:valAx>
        <c:axId val="45311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114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'Lokaalküte, tänane'!$E$152</c:f>
              <c:strCache>
                <c:ptCount val="1"/>
                <c:pt idx="0">
                  <c:v>2014</c:v>
                </c:pt>
              </c:strCache>
            </c:strRef>
          </c:tx>
          <c:xVal>
            <c:strRef>
              <c:f>'Lokaalküte, tänane'!$C$153:$D$157</c:f>
              <c:strCache>
                <c:ptCount val="5"/>
                <c:pt idx="0">
                  <c:v>30%</c:v>
                </c:pt>
                <c:pt idx="1">
                  <c:v>35%</c:v>
                </c:pt>
                <c:pt idx="2">
                  <c:v>40%</c:v>
                </c:pt>
                <c:pt idx="3">
                  <c:v>45%</c:v>
                </c:pt>
                <c:pt idx="4">
                  <c:v>50%</c:v>
                </c:pt>
              </c:strCache>
            </c:strRef>
          </c:xVal>
          <c:yVal>
            <c:numRef>
              <c:f>'Lokaalküte, tänane'!$E$153:$E$157</c:f>
              <c:numCache>
                <c:formatCode>General</c:formatCode>
                <c:ptCount val="5"/>
                <c:pt idx="0">
                  <c:v>81</c:v>
                </c:pt>
                <c:pt idx="1">
                  <c:v>85</c:v>
                </c:pt>
                <c:pt idx="2">
                  <c:v>90</c:v>
                </c:pt>
                <c:pt idx="3">
                  <c:v>94</c:v>
                </c:pt>
                <c:pt idx="4">
                  <c:v>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'Lokaalküte, tänane'!$F$152</c:f>
              <c:strCache>
                <c:ptCount val="1"/>
                <c:pt idx="0">
                  <c:v>2023</c:v>
                </c:pt>
              </c:strCache>
            </c:strRef>
          </c:tx>
          <c:xVal>
            <c:strRef>
              <c:f>'Lokaalküte, tänane'!$C$153:$D$157</c:f>
              <c:strCache>
                <c:ptCount val="5"/>
                <c:pt idx="0">
                  <c:v>30%</c:v>
                </c:pt>
                <c:pt idx="1">
                  <c:v>35%</c:v>
                </c:pt>
                <c:pt idx="2">
                  <c:v>40%</c:v>
                </c:pt>
                <c:pt idx="3">
                  <c:v>45%</c:v>
                </c:pt>
                <c:pt idx="4">
                  <c:v>50%</c:v>
                </c:pt>
              </c:strCache>
            </c:strRef>
          </c:xVal>
          <c:yVal>
            <c:numRef>
              <c:f>'Lokaalküte, tänane'!$F$153:$F$157</c:f>
              <c:numCache>
                <c:formatCode>General</c:formatCode>
                <c:ptCount val="5"/>
                <c:pt idx="0">
                  <c:v>101</c:v>
                </c:pt>
                <c:pt idx="1">
                  <c:v>106</c:v>
                </c:pt>
                <c:pt idx="2">
                  <c:v>112</c:v>
                </c:pt>
                <c:pt idx="3">
                  <c:v>117</c:v>
                </c:pt>
                <c:pt idx="4">
                  <c:v>124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15584"/>
        <c:axId val="453115976"/>
      </c:scatterChart>
      <c:valAx>
        <c:axId val="4531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453115976"/>
        <c:crosses val="autoZero"/>
        <c:crossBetween val="midCat"/>
      </c:valAx>
      <c:valAx>
        <c:axId val="453115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115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'Trass+katel, reg'!$B$55:$Q$55</c:f>
              <c:numCache>
                <c:formatCode>General</c:formatCode>
                <c:ptCount val="16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</c:numCache>
            </c:numRef>
          </c:xVal>
          <c:yVal>
            <c:numRef>
              <c:f>'Trass+katel, reg'!$B$56:$Q$56</c:f>
              <c:numCache>
                <c:formatCode>General</c:formatCode>
                <c:ptCount val="16"/>
                <c:pt idx="0">
                  <c:v>104</c:v>
                </c:pt>
                <c:pt idx="1">
                  <c:v>101</c:v>
                </c:pt>
                <c:pt idx="2">
                  <c:v>99</c:v>
                </c:pt>
                <c:pt idx="3">
                  <c:v>96</c:v>
                </c:pt>
                <c:pt idx="4">
                  <c:v>94</c:v>
                </c:pt>
                <c:pt idx="5">
                  <c:v>92</c:v>
                </c:pt>
                <c:pt idx="6">
                  <c:v>91</c:v>
                </c:pt>
                <c:pt idx="7">
                  <c:v>89</c:v>
                </c:pt>
                <c:pt idx="8">
                  <c:v>88</c:v>
                </c:pt>
                <c:pt idx="9">
                  <c:v>86</c:v>
                </c:pt>
                <c:pt idx="10">
                  <c:v>85</c:v>
                </c:pt>
                <c:pt idx="11">
                  <c:v>84</c:v>
                </c:pt>
                <c:pt idx="12">
                  <c:v>83</c:v>
                </c:pt>
                <c:pt idx="13">
                  <c:v>82</c:v>
                </c:pt>
                <c:pt idx="14">
                  <c:v>81</c:v>
                </c:pt>
                <c:pt idx="15">
                  <c:v>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18328"/>
        <c:axId val="453118720"/>
      </c:scatterChart>
      <c:valAx>
        <c:axId val="45311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118720"/>
        <c:crosses val="autoZero"/>
        <c:crossBetween val="midCat"/>
      </c:valAx>
      <c:valAx>
        <c:axId val="45311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118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'Gaasikatel+trass reg.'!$D$76:$S$76</c:f>
              <c:numCache>
                <c:formatCode>General</c:formatCode>
                <c:ptCount val="16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</c:numCache>
            </c:numRef>
          </c:xVal>
          <c:yVal>
            <c:numRef>
              <c:f>'Gaasikatel+trass reg.'!$D$77:$S$77</c:f>
              <c:numCache>
                <c:formatCode>General</c:formatCode>
                <c:ptCount val="16"/>
                <c:pt idx="0">
                  <c:v>114</c:v>
                </c:pt>
                <c:pt idx="1">
                  <c:v>112</c:v>
                </c:pt>
                <c:pt idx="2">
                  <c:v>110</c:v>
                </c:pt>
                <c:pt idx="3">
                  <c:v>108</c:v>
                </c:pt>
                <c:pt idx="4">
                  <c:v>106</c:v>
                </c:pt>
                <c:pt idx="5">
                  <c:v>105</c:v>
                </c:pt>
                <c:pt idx="6">
                  <c:v>104</c:v>
                </c:pt>
                <c:pt idx="7">
                  <c:v>103</c:v>
                </c:pt>
                <c:pt idx="8">
                  <c:v>102</c:v>
                </c:pt>
                <c:pt idx="9">
                  <c:v>101</c:v>
                </c:pt>
                <c:pt idx="10">
                  <c:v>100</c:v>
                </c:pt>
                <c:pt idx="11">
                  <c:v>99</c:v>
                </c:pt>
                <c:pt idx="12">
                  <c:v>98</c:v>
                </c:pt>
                <c:pt idx="13">
                  <c:v>98</c:v>
                </c:pt>
                <c:pt idx="14">
                  <c:v>97</c:v>
                </c:pt>
                <c:pt idx="15">
                  <c:v>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17544"/>
        <c:axId val="453117152"/>
      </c:scatterChart>
      <c:valAx>
        <c:axId val="45311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117152"/>
        <c:crosses val="autoZero"/>
        <c:crossBetween val="midCat"/>
      </c:valAx>
      <c:valAx>
        <c:axId val="45311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117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[1]Sheet1!$H$3:$H$43</c:f>
              <c:numCache>
                <c:formatCode>General</c:formatCode>
                <c:ptCount val="41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</c:numCache>
            </c:numRef>
          </c:xVal>
          <c:yVal>
            <c:numRef>
              <c:f>[1]Sheet1!$I$3:$I$43</c:f>
              <c:numCache>
                <c:formatCode>General</c:formatCode>
                <c:ptCount val="41"/>
                <c:pt idx="0">
                  <c:v>1</c:v>
                </c:pt>
                <c:pt idx="1">
                  <c:v>0.99</c:v>
                </c:pt>
                <c:pt idx="2">
                  <c:v>0.95</c:v>
                </c:pt>
                <c:pt idx="3">
                  <c:v>0.9</c:v>
                </c:pt>
                <c:pt idx="4">
                  <c:v>0.85</c:v>
                </c:pt>
                <c:pt idx="5">
                  <c:v>0.8</c:v>
                </c:pt>
                <c:pt idx="6">
                  <c:v>0.78</c:v>
                </c:pt>
                <c:pt idx="7">
                  <c:v>0.76</c:v>
                </c:pt>
                <c:pt idx="8">
                  <c:v>0.73</c:v>
                </c:pt>
                <c:pt idx="9">
                  <c:v>0.7</c:v>
                </c:pt>
                <c:pt idx="10">
                  <c:v>0.68</c:v>
                </c:pt>
                <c:pt idx="11">
                  <c:v>0.66</c:v>
                </c:pt>
                <c:pt idx="12">
                  <c:v>0.64</c:v>
                </c:pt>
                <c:pt idx="13">
                  <c:v>0.62</c:v>
                </c:pt>
                <c:pt idx="14">
                  <c:v>0.6</c:v>
                </c:pt>
                <c:pt idx="15">
                  <c:v>0.59</c:v>
                </c:pt>
                <c:pt idx="16">
                  <c:v>0.59</c:v>
                </c:pt>
                <c:pt idx="17">
                  <c:v>0.57999999999999996</c:v>
                </c:pt>
                <c:pt idx="18">
                  <c:v>0.57999999999999996</c:v>
                </c:pt>
                <c:pt idx="19">
                  <c:v>0.56999999999999995</c:v>
                </c:pt>
                <c:pt idx="20">
                  <c:v>0.56999999999999995</c:v>
                </c:pt>
                <c:pt idx="21">
                  <c:v>0.56999999999999995</c:v>
                </c:pt>
                <c:pt idx="22">
                  <c:v>0.56000000000000005</c:v>
                </c:pt>
                <c:pt idx="23">
                  <c:v>0.55000000000000004</c:v>
                </c:pt>
                <c:pt idx="24">
                  <c:v>0.54</c:v>
                </c:pt>
                <c:pt idx="25">
                  <c:v>0.53</c:v>
                </c:pt>
                <c:pt idx="26">
                  <c:v>0.52</c:v>
                </c:pt>
                <c:pt idx="27">
                  <c:v>0.52</c:v>
                </c:pt>
                <c:pt idx="28">
                  <c:v>0.5</c:v>
                </c:pt>
                <c:pt idx="29">
                  <c:v>0.49</c:v>
                </c:pt>
                <c:pt idx="30">
                  <c:v>0.48</c:v>
                </c:pt>
                <c:pt idx="31">
                  <c:v>0.46</c:v>
                </c:pt>
                <c:pt idx="32">
                  <c:v>0.44</c:v>
                </c:pt>
                <c:pt idx="33">
                  <c:v>0.42</c:v>
                </c:pt>
                <c:pt idx="34">
                  <c:v>0.4</c:v>
                </c:pt>
                <c:pt idx="35">
                  <c:v>0.39</c:v>
                </c:pt>
                <c:pt idx="36">
                  <c:v>0.38</c:v>
                </c:pt>
                <c:pt idx="37">
                  <c:v>0.35</c:v>
                </c:pt>
                <c:pt idx="38">
                  <c:v>0.32</c:v>
                </c:pt>
                <c:pt idx="39">
                  <c:v>0.3</c:v>
                </c:pt>
                <c:pt idx="40">
                  <c:v>0.28000000000000003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17936"/>
        <c:axId val="453119504"/>
      </c:scatterChart>
      <c:valAx>
        <c:axId val="45311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119504"/>
        <c:crosses val="autoZero"/>
        <c:crossBetween val="midCat"/>
      </c:valAx>
      <c:valAx>
        <c:axId val="45311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117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2014</c:v>
          </c:tx>
          <c:xVal>
            <c:numRef>
              <c:f>'Turvas reg.'!$E$57:$E$64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'Turvas reg.'!$F$57:$F$64</c:f>
              <c:numCache>
                <c:formatCode>General</c:formatCode>
                <c:ptCount val="8"/>
                <c:pt idx="0">
                  <c:v>59</c:v>
                </c:pt>
                <c:pt idx="1">
                  <c:v>62</c:v>
                </c:pt>
                <c:pt idx="2">
                  <c:v>64</c:v>
                </c:pt>
                <c:pt idx="3">
                  <c:v>67</c:v>
                </c:pt>
                <c:pt idx="4">
                  <c:v>69</c:v>
                </c:pt>
                <c:pt idx="5">
                  <c:v>72</c:v>
                </c:pt>
                <c:pt idx="6">
                  <c:v>74</c:v>
                </c:pt>
                <c:pt idx="7">
                  <c:v>76</c:v>
                </c:pt>
              </c:numCache>
            </c:numRef>
          </c:yVal>
          <c:smooth val="1"/>
        </c:ser>
        <c:ser>
          <c:idx val="1"/>
          <c:order val="1"/>
          <c:tx>
            <c:v>2023</c:v>
          </c:tx>
          <c:xVal>
            <c:numRef>
              <c:f>'Turvas reg.'!$E$57:$E$64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'Turvas reg.'!$G$57:$G$64</c:f>
              <c:numCache>
                <c:formatCode>General</c:formatCode>
                <c:ptCount val="8"/>
                <c:pt idx="0">
                  <c:v>65</c:v>
                </c:pt>
                <c:pt idx="1">
                  <c:v>68</c:v>
                </c:pt>
                <c:pt idx="2">
                  <c:v>70</c:v>
                </c:pt>
                <c:pt idx="3">
                  <c:v>73</c:v>
                </c:pt>
                <c:pt idx="4">
                  <c:v>75</c:v>
                </c:pt>
                <c:pt idx="5">
                  <c:v>78</c:v>
                </c:pt>
                <c:pt idx="6">
                  <c:v>80</c:v>
                </c:pt>
                <c:pt idx="7">
                  <c:v>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20288"/>
        <c:axId val="453120680"/>
      </c:scatterChart>
      <c:valAx>
        <c:axId val="4531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120680"/>
        <c:crosses val="autoZero"/>
        <c:crossBetween val="midCat"/>
      </c:valAx>
      <c:valAx>
        <c:axId val="453120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120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23</xdr:col>
      <xdr:colOff>295275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133</xdr:row>
      <xdr:rowOff>190499</xdr:rowOff>
    </xdr:from>
    <xdr:to>
      <xdr:col>12</xdr:col>
      <xdr:colOff>486833</xdr:colOff>
      <xdr:row>148</xdr:row>
      <xdr:rowOff>74082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10583</xdr:colOff>
      <xdr:row>152</xdr:row>
      <xdr:rowOff>31749</xdr:rowOff>
    </xdr:from>
    <xdr:to>
      <xdr:col>12</xdr:col>
      <xdr:colOff>486833</xdr:colOff>
      <xdr:row>164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56</xdr:row>
      <xdr:rowOff>161925</xdr:rowOff>
    </xdr:from>
    <xdr:to>
      <xdr:col>13</xdr:col>
      <xdr:colOff>571500</xdr:colOff>
      <xdr:row>66</xdr:row>
      <xdr:rowOff>142875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77</xdr:row>
      <xdr:rowOff>47625</xdr:rowOff>
    </xdr:from>
    <xdr:to>
      <xdr:col>16</xdr:col>
      <xdr:colOff>161925</xdr:colOff>
      <xdr:row>86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57149</xdr:colOff>
      <xdr:row>4</xdr:row>
      <xdr:rowOff>66675</xdr:rowOff>
    </xdr:from>
    <xdr:to>
      <xdr:col>18</xdr:col>
      <xdr:colOff>352424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50</xdr:row>
      <xdr:rowOff>0</xdr:rowOff>
    </xdr:from>
    <xdr:to>
      <xdr:col>11</xdr:col>
      <xdr:colOff>247650</xdr:colOff>
      <xdr:row>66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144000"/>
          <a:ext cx="6343650" cy="3162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55</xdr:row>
      <xdr:rowOff>9525</xdr:rowOff>
    </xdr:from>
    <xdr:to>
      <xdr:col>14</xdr:col>
      <xdr:colOff>66675</xdr:colOff>
      <xdr:row>67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Lembit%20Vali\AppData\Local\Microsoft\Windows\Temporary%20Internet%20Files\Content.Outlook\47W6S5TN\Tarbimise%20arvest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H3">
            <v>1</v>
          </cell>
          <cell r="I3">
            <v>1</v>
          </cell>
        </row>
        <row r="4">
          <cell r="H4">
            <v>100</v>
          </cell>
          <cell r="I4">
            <v>0.99</v>
          </cell>
        </row>
        <row r="5">
          <cell r="H5">
            <v>200</v>
          </cell>
          <cell r="I5">
            <v>0.95</v>
          </cell>
        </row>
        <row r="6">
          <cell r="H6">
            <v>300</v>
          </cell>
          <cell r="I6">
            <v>0.9</v>
          </cell>
        </row>
        <row r="7">
          <cell r="H7">
            <v>400</v>
          </cell>
          <cell r="I7">
            <v>0.85</v>
          </cell>
        </row>
        <row r="8">
          <cell r="H8">
            <v>500</v>
          </cell>
          <cell r="I8">
            <v>0.8</v>
          </cell>
        </row>
        <row r="9">
          <cell r="H9">
            <v>600</v>
          </cell>
          <cell r="I9">
            <v>0.78</v>
          </cell>
        </row>
        <row r="10">
          <cell r="H10">
            <v>700</v>
          </cell>
          <cell r="I10">
            <v>0.76</v>
          </cell>
        </row>
        <row r="11">
          <cell r="H11">
            <v>800</v>
          </cell>
          <cell r="I11">
            <v>0.73</v>
          </cell>
        </row>
        <row r="12">
          <cell r="H12">
            <v>900</v>
          </cell>
          <cell r="I12">
            <v>0.7</v>
          </cell>
        </row>
        <row r="13">
          <cell r="H13">
            <v>1000</v>
          </cell>
          <cell r="I13">
            <v>0.68</v>
          </cell>
        </row>
        <row r="14">
          <cell r="H14">
            <v>1100</v>
          </cell>
          <cell r="I14">
            <v>0.66</v>
          </cell>
        </row>
        <row r="15">
          <cell r="H15">
            <v>1200</v>
          </cell>
          <cell r="I15">
            <v>0.64</v>
          </cell>
        </row>
        <row r="16">
          <cell r="H16">
            <v>1300</v>
          </cell>
          <cell r="I16">
            <v>0.62</v>
          </cell>
        </row>
        <row r="17">
          <cell r="H17">
            <v>1400</v>
          </cell>
          <cell r="I17">
            <v>0.6</v>
          </cell>
        </row>
        <row r="18">
          <cell r="H18">
            <v>1500</v>
          </cell>
          <cell r="I18">
            <v>0.59</v>
          </cell>
        </row>
        <row r="19">
          <cell r="H19">
            <v>1600</v>
          </cell>
          <cell r="I19">
            <v>0.59</v>
          </cell>
        </row>
        <row r="20">
          <cell r="H20">
            <v>1700</v>
          </cell>
          <cell r="I20">
            <v>0.57999999999999996</v>
          </cell>
        </row>
        <row r="21">
          <cell r="H21">
            <v>1800</v>
          </cell>
          <cell r="I21">
            <v>0.57999999999999996</v>
          </cell>
        </row>
        <row r="22">
          <cell r="H22">
            <v>1900</v>
          </cell>
          <cell r="I22">
            <v>0.56999999999999995</v>
          </cell>
        </row>
        <row r="23">
          <cell r="H23">
            <v>2000</v>
          </cell>
          <cell r="I23">
            <v>0.56999999999999995</v>
          </cell>
        </row>
        <row r="24">
          <cell r="H24">
            <v>2100</v>
          </cell>
          <cell r="I24">
            <v>0.56999999999999995</v>
          </cell>
        </row>
        <row r="25">
          <cell r="H25">
            <v>2200</v>
          </cell>
          <cell r="I25">
            <v>0.56000000000000005</v>
          </cell>
        </row>
        <row r="26">
          <cell r="H26">
            <v>2300</v>
          </cell>
          <cell r="I26">
            <v>0.55000000000000004</v>
          </cell>
        </row>
        <row r="27">
          <cell r="H27">
            <v>2400</v>
          </cell>
          <cell r="I27">
            <v>0.54</v>
          </cell>
        </row>
        <row r="28">
          <cell r="H28">
            <v>2500</v>
          </cell>
          <cell r="I28">
            <v>0.53</v>
          </cell>
        </row>
        <row r="29">
          <cell r="H29">
            <v>2600</v>
          </cell>
          <cell r="I29">
            <v>0.52</v>
          </cell>
        </row>
        <row r="30">
          <cell r="H30">
            <v>2700</v>
          </cell>
          <cell r="I30">
            <v>0.52</v>
          </cell>
        </row>
        <row r="31">
          <cell r="H31">
            <v>2800</v>
          </cell>
          <cell r="I31">
            <v>0.5</v>
          </cell>
        </row>
        <row r="32">
          <cell r="H32">
            <v>2900</v>
          </cell>
          <cell r="I32">
            <v>0.49</v>
          </cell>
        </row>
        <row r="33">
          <cell r="H33">
            <v>3000</v>
          </cell>
          <cell r="I33">
            <v>0.48</v>
          </cell>
        </row>
        <row r="34">
          <cell r="H34">
            <v>3100</v>
          </cell>
          <cell r="I34">
            <v>0.46</v>
          </cell>
        </row>
        <row r="35">
          <cell r="H35">
            <v>3200</v>
          </cell>
          <cell r="I35">
            <v>0.44</v>
          </cell>
        </row>
        <row r="36">
          <cell r="H36">
            <v>3300</v>
          </cell>
          <cell r="I36">
            <v>0.42</v>
          </cell>
        </row>
        <row r="37">
          <cell r="H37">
            <v>3400</v>
          </cell>
          <cell r="I37">
            <v>0.4</v>
          </cell>
        </row>
        <row r="38">
          <cell r="H38">
            <v>3500</v>
          </cell>
          <cell r="I38">
            <v>0.39</v>
          </cell>
        </row>
        <row r="39">
          <cell r="H39">
            <v>3600</v>
          </cell>
          <cell r="I39">
            <v>0.38</v>
          </cell>
        </row>
        <row r="40">
          <cell r="H40">
            <v>3700</v>
          </cell>
          <cell r="I40">
            <v>0.35</v>
          </cell>
        </row>
        <row r="41">
          <cell r="H41">
            <v>3800</v>
          </cell>
          <cell r="I41">
            <v>0.32</v>
          </cell>
        </row>
        <row r="42">
          <cell r="H42">
            <v>3900</v>
          </cell>
          <cell r="I42">
            <v>0.3</v>
          </cell>
        </row>
        <row r="43">
          <cell r="H43">
            <v>4000</v>
          </cell>
          <cell r="I43">
            <v>0.28000000000000003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ektrilevi.ee/hind" TargetMode="External"/><Relationship Id="rId2" Type="http://schemas.openxmlformats.org/officeDocument/2006/relationships/hyperlink" Target="https://www.elektrilevi.ee/hind" TargetMode="External"/><Relationship Id="rId1" Type="http://schemas.openxmlformats.org/officeDocument/2006/relationships/hyperlink" Target="http://elering.ee/public/Infokeskus/Kuukokkuvotted/2012/NPS_Eesti_2012_aasta_kokkuvote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lektrilevi.ee/hin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ektrilevi.ee/hind" TargetMode="External"/><Relationship Id="rId2" Type="http://schemas.openxmlformats.org/officeDocument/2006/relationships/hyperlink" Target="https://www.elektrilevi.ee/hind" TargetMode="External"/><Relationship Id="rId1" Type="http://schemas.openxmlformats.org/officeDocument/2006/relationships/hyperlink" Target="http://elering.ee/public/Infokeskus/Kuukokkuvotted/2012/NPS_Eesti_2012_aasta_kokkuvote.pdf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elektrilevi.ee/hind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ektrilevi.ee/hind" TargetMode="External"/><Relationship Id="rId2" Type="http://schemas.openxmlformats.org/officeDocument/2006/relationships/hyperlink" Target="https://www.elektrilevi.ee/hind" TargetMode="External"/><Relationship Id="rId1" Type="http://schemas.openxmlformats.org/officeDocument/2006/relationships/hyperlink" Target="http://elering.ee/public/Infokeskus/Kuukokkuvotted/2012/NPS_Eesti_2012_aasta_kokkuvote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lektrilevi.ee/hind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topLeftCell="A67" workbookViewId="0">
      <selection activeCell="H47" sqref="H47"/>
    </sheetView>
  </sheetViews>
  <sheetFormatPr defaultRowHeight="14.4" x14ac:dyDescent="0.3"/>
  <cols>
    <col min="11" max="11" width="11.5546875" customWidth="1"/>
  </cols>
  <sheetData>
    <row r="1" spans="1:17" ht="15" thickBot="1" x14ac:dyDescent="0.35">
      <c r="B1" t="s">
        <v>951</v>
      </c>
    </row>
    <row r="2" spans="1:17" ht="15" thickBot="1" x14ac:dyDescent="0.35">
      <c r="A2" s="83" t="s">
        <v>896</v>
      </c>
      <c r="B2" s="22"/>
      <c r="C2" s="12"/>
    </row>
    <row r="3" spans="1:17" ht="15" thickBot="1" x14ac:dyDescent="0.35"/>
    <row r="4" spans="1:17" x14ac:dyDescent="0.3">
      <c r="A4" s="3" t="s">
        <v>909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ht="15" thickBot="1" x14ac:dyDescent="0.35">
      <c r="A5" s="86" t="s">
        <v>910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x14ac:dyDescent="0.3">
      <c r="A6" t="s">
        <v>911</v>
      </c>
      <c r="B6" s="1">
        <v>2700</v>
      </c>
      <c r="C6" t="s">
        <v>753</v>
      </c>
      <c r="E6" t="s">
        <v>969</v>
      </c>
      <c r="I6" s="1">
        <v>3985</v>
      </c>
      <c r="J6" t="s">
        <v>490</v>
      </c>
    </row>
    <row r="7" spans="1:17" x14ac:dyDescent="0.3">
      <c r="A7" t="s">
        <v>857</v>
      </c>
      <c r="B7">
        <v>4000</v>
      </c>
      <c r="E7" t="s">
        <v>857</v>
      </c>
      <c r="I7">
        <v>8500</v>
      </c>
    </row>
    <row r="8" spans="1:17" x14ac:dyDescent="0.3">
      <c r="A8" t="s">
        <v>912</v>
      </c>
      <c r="E8" t="s">
        <v>836</v>
      </c>
    </row>
    <row r="9" spans="1:17" x14ac:dyDescent="0.3">
      <c r="D9" s="62" t="s">
        <v>831</v>
      </c>
      <c r="E9" s="2"/>
      <c r="F9" s="2"/>
      <c r="G9" s="2"/>
      <c r="H9" s="2"/>
      <c r="I9" s="2"/>
      <c r="J9" s="2"/>
      <c r="K9" s="2"/>
      <c r="L9" t="s">
        <v>942</v>
      </c>
      <c r="O9">
        <v>43.4</v>
      </c>
      <c r="P9" t="s">
        <v>466</v>
      </c>
    </row>
    <row r="10" spans="1:17" x14ac:dyDescent="0.3">
      <c r="D10" s="62" t="s">
        <v>832</v>
      </c>
      <c r="E10" s="2"/>
      <c r="F10" s="2"/>
      <c r="G10" s="2"/>
      <c r="H10" s="2"/>
      <c r="I10" s="2"/>
      <c r="J10" s="2"/>
      <c r="K10" s="2"/>
    </row>
    <row r="11" spans="1:17" x14ac:dyDescent="0.3">
      <c r="D11" s="62" t="s">
        <v>833</v>
      </c>
      <c r="E11" s="2"/>
      <c r="F11" s="2"/>
      <c r="G11" s="2"/>
      <c r="H11" s="2"/>
      <c r="I11" s="2"/>
      <c r="J11" s="2"/>
      <c r="K11" s="2"/>
    </row>
    <row r="12" spans="1:17" x14ac:dyDescent="0.3">
      <c r="D12" s="62" t="s">
        <v>834</v>
      </c>
      <c r="E12" s="2"/>
      <c r="F12" s="2"/>
      <c r="G12" s="2"/>
      <c r="H12" s="2"/>
      <c r="I12" s="2"/>
      <c r="J12" s="2"/>
      <c r="K12" s="2"/>
    </row>
    <row r="13" spans="1:17" x14ac:dyDescent="0.3">
      <c r="D13" s="63" t="s">
        <v>835</v>
      </c>
    </row>
    <row r="14" spans="1:17" x14ac:dyDescent="0.3">
      <c r="A14" t="s">
        <v>934</v>
      </c>
      <c r="E14">
        <v>137</v>
      </c>
      <c r="F14" t="s">
        <v>466</v>
      </c>
      <c r="G14" s="80"/>
    </row>
    <row r="15" spans="1:17" x14ac:dyDescent="0.3">
      <c r="G15" s="81"/>
    </row>
    <row r="16" spans="1:17" x14ac:dyDescent="0.3">
      <c r="A16" t="s">
        <v>913</v>
      </c>
    </row>
    <row r="17" spans="1:20" x14ac:dyDescent="0.3">
      <c r="B17" t="s">
        <v>447</v>
      </c>
      <c r="F17" s="53">
        <v>400000</v>
      </c>
      <c r="G17" t="s">
        <v>476</v>
      </c>
    </row>
    <row r="18" spans="1:20" x14ac:dyDescent="0.3">
      <c r="B18" t="s">
        <v>914</v>
      </c>
      <c r="F18" s="53">
        <v>350000</v>
      </c>
      <c r="G18" t="s">
        <v>476</v>
      </c>
    </row>
    <row r="19" spans="1:20" x14ac:dyDescent="0.3">
      <c r="B19" t="s">
        <v>915</v>
      </c>
      <c r="F19" s="53">
        <v>250000</v>
      </c>
      <c r="G19" t="s">
        <v>476</v>
      </c>
    </row>
    <row r="20" spans="1:20" x14ac:dyDescent="0.3">
      <c r="B20" t="s">
        <v>916</v>
      </c>
      <c r="F20" s="53">
        <v>8000000</v>
      </c>
      <c r="G20" t="s">
        <v>931</v>
      </c>
      <c r="I20" t="s">
        <v>917</v>
      </c>
      <c r="P20" s="10">
        <v>2430000</v>
      </c>
      <c r="Q20" t="s">
        <v>932</v>
      </c>
    </row>
    <row r="21" spans="1:20" x14ac:dyDescent="0.3">
      <c r="A21" s="1" t="s">
        <v>939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20" x14ac:dyDescent="0.3">
      <c r="B22" t="s">
        <v>448</v>
      </c>
      <c r="F22" s="53">
        <v>1300000</v>
      </c>
      <c r="G22" t="s">
        <v>476</v>
      </c>
      <c r="I22" t="s">
        <v>918</v>
      </c>
      <c r="M22" s="82">
        <v>0.3</v>
      </c>
    </row>
    <row r="23" spans="1:20" x14ac:dyDescent="0.3">
      <c r="B23" t="s">
        <v>919</v>
      </c>
      <c r="F23" s="53">
        <v>923000</v>
      </c>
      <c r="G23" t="s">
        <v>476</v>
      </c>
      <c r="M23" s="82">
        <v>0.35</v>
      </c>
    </row>
    <row r="24" spans="1:20" x14ac:dyDescent="0.3">
      <c r="B24" t="s">
        <v>484</v>
      </c>
      <c r="F24" s="53">
        <v>300000</v>
      </c>
      <c r="G24" t="s">
        <v>476</v>
      </c>
      <c r="M24" s="82">
        <v>0.5</v>
      </c>
    </row>
    <row r="25" spans="1:20" x14ac:dyDescent="0.3">
      <c r="B25" t="s">
        <v>776</v>
      </c>
      <c r="F25" s="53">
        <v>1333000</v>
      </c>
      <c r="G25" t="s">
        <v>476</v>
      </c>
      <c r="M25" s="82">
        <v>0.5</v>
      </c>
      <c r="O25" t="s">
        <v>716</v>
      </c>
      <c r="T25" s="8"/>
    </row>
    <row r="26" spans="1:20" x14ac:dyDescent="0.3">
      <c r="K26" s="8"/>
      <c r="O26" t="s">
        <v>717</v>
      </c>
    </row>
    <row r="27" spans="1:20" x14ac:dyDescent="0.3">
      <c r="O27" t="s">
        <v>718</v>
      </c>
    </row>
    <row r="28" spans="1:20" x14ac:dyDescent="0.3">
      <c r="O28" t="s">
        <v>719</v>
      </c>
    </row>
    <row r="29" spans="1:20" x14ac:dyDescent="0.3">
      <c r="B29" t="s">
        <v>775</v>
      </c>
      <c r="F29" s="53">
        <v>134000</v>
      </c>
      <c r="G29" t="s">
        <v>476</v>
      </c>
      <c r="M29" s="82">
        <v>1</v>
      </c>
    </row>
    <row r="30" spans="1:20" x14ac:dyDescent="0.3">
      <c r="A30" t="s">
        <v>920</v>
      </c>
      <c r="M30" t="s">
        <v>921</v>
      </c>
    </row>
    <row r="32" spans="1:20" x14ac:dyDescent="0.3">
      <c r="A32" t="s">
        <v>922</v>
      </c>
    </row>
    <row r="33" spans="2:10" x14ac:dyDescent="0.3">
      <c r="B33" t="s">
        <v>923</v>
      </c>
      <c r="C33" t="s">
        <v>785</v>
      </c>
      <c r="H33" s="2">
        <v>36.229999999999997</v>
      </c>
    </row>
    <row r="34" spans="2:10" x14ac:dyDescent="0.3">
      <c r="B34" t="s">
        <v>986</v>
      </c>
      <c r="C34" t="s">
        <v>786</v>
      </c>
      <c r="F34" t="s">
        <v>466</v>
      </c>
      <c r="H34">
        <v>1.57</v>
      </c>
    </row>
    <row r="35" spans="2:10" x14ac:dyDescent="0.3">
      <c r="C35" t="s">
        <v>788</v>
      </c>
      <c r="F35" t="s">
        <v>466</v>
      </c>
      <c r="H35">
        <v>2.52</v>
      </c>
    </row>
    <row r="36" spans="2:10" x14ac:dyDescent="0.3">
      <c r="C36" t="s">
        <v>789</v>
      </c>
      <c r="H36" s="1">
        <v>36.229999999999997</v>
      </c>
    </row>
    <row r="37" spans="2:10" x14ac:dyDescent="0.3">
      <c r="C37" t="s">
        <v>790</v>
      </c>
      <c r="G37" t="s">
        <v>466</v>
      </c>
      <c r="H37">
        <v>30.18</v>
      </c>
    </row>
    <row r="38" spans="2:10" x14ac:dyDescent="0.3">
      <c r="F38" t="s">
        <v>794</v>
      </c>
      <c r="G38" t="s">
        <v>466</v>
      </c>
      <c r="H38">
        <v>38.86</v>
      </c>
    </row>
    <row r="39" spans="2:10" x14ac:dyDescent="0.3">
      <c r="H39" s="61"/>
    </row>
    <row r="40" spans="2:10" ht="15" thickBot="1" x14ac:dyDescent="0.35">
      <c r="H40" s="9"/>
    </row>
    <row r="41" spans="2:10" ht="15" thickBot="1" x14ac:dyDescent="0.35">
      <c r="H41" s="72"/>
    </row>
    <row r="43" spans="2:10" x14ac:dyDescent="0.3">
      <c r="B43" t="s">
        <v>924</v>
      </c>
      <c r="C43" t="s">
        <v>925</v>
      </c>
      <c r="F43" t="s">
        <v>466</v>
      </c>
      <c r="H43" s="1">
        <v>18</v>
      </c>
      <c r="J43" t="s">
        <v>1005</v>
      </c>
    </row>
    <row r="44" spans="2:10" x14ac:dyDescent="0.3">
      <c r="C44" t="s">
        <v>926</v>
      </c>
      <c r="H44" s="27">
        <v>1.4999999999999999E-2</v>
      </c>
    </row>
    <row r="46" spans="2:10" x14ac:dyDescent="0.3">
      <c r="B46" t="s">
        <v>473</v>
      </c>
      <c r="C46" t="s">
        <v>927</v>
      </c>
      <c r="H46" t="s">
        <v>1010</v>
      </c>
    </row>
    <row r="47" spans="2:10" x14ac:dyDescent="0.3">
      <c r="F47" t="s">
        <v>466</v>
      </c>
      <c r="H47" s="1">
        <v>34.299999999999997</v>
      </c>
    </row>
    <row r="49" spans="1:13" x14ac:dyDescent="0.3">
      <c r="A49" t="s">
        <v>928</v>
      </c>
    </row>
    <row r="50" spans="1:13" x14ac:dyDescent="0.3">
      <c r="B50" t="s">
        <v>915</v>
      </c>
      <c r="D50" s="8">
        <v>0.05</v>
      </c>
    </row>
    <row r="51" spans="1:13" x14ac:dyDescent="0.3">
      <c r="B51" t="s">
        <v>914</v>
      </c>
      <c r="D51" s="8">
        <v>0.05</v>
      </c>
    </row>
    <row r="52" spans="1:13" x14ac:dyDescent="0.3">
      <c r="B52" t="s">
        <v>447</v>
      </c>
      <c r="D52" s="8">
        <v>0.05</v>
      </c>
    </row>
    <row r="53" spans="1:13" x14ac:dyDescent="0.3">
      <c r="B53" t="s">
        <v>448</v>
      </c>
      <c r="D53" s="8">
        <v>0.05</v>
      </c>
    </row>
    <row r="54" spans="1:13" x14ac:dyDescent="0.3">
      <c r="B54" t="s">
        <v>919</v>
      </c>
      <c r="D54" s="8">
        <v>0.05</v>
      </c>
    </row>
    <row r="55" spans="1:13" x14ac:dyDescent="0.3">
      <c r="B55" t="s">
        <v>929</v>
      </c>
      <c r="D55" s="8">
        <v>0.05</v>
      </c>
    </row>
    <row r="56" spans="1:13" x14ac:dyDescent="0.3">
      <c r="B56" t="s">
        <v>916</v>
      </c>
      <c r="D56" s="8">
        <v>0.04</v>
      </c>
    </row>
    <row r="57" spans="1:13" x14ac:dyDescent="0.3">
      <c r="B57" t="s">
        <v>484</v>
      </c>
      <c r="D57" s="27">
        <v>6.6699999999999995E-2</v>
      </c>
    </row>
    <row r="58" spans="1:13" x14ac:dyDescent="0.3">
      <c r="A58" t="s">
        <v>930</v>
      </c>
    </row>
    <row r="59" spans="1:13" x14ac:dyDescent="0.3">
      <c r="C59" t="s">
        <v>542</v>
      </c>
      <c r="F59" s="82">
        <v>0.1</v>
      </c>
      <c r="H59" t="s">
        <v>543</v>
      </c>
    </row>
    <row r="61" spans="1:13" x14ac:dyDescent="0.3">
      <c r="B61" t="s">
        <v>935</v>
      </c>
      <c r="E61" t="s">
        <v>491</v>
      </c>
      <c r="F61" t="s">
        <v>792</v>
      </c>
      <c r="J61" t="s">
        <v>936</v>
      </c>
      <c r="M61" t="s">
        <v>943</v>
      </c>
    </row>
    <row r="62" spans="1:13" x14ac:dyDescent="0.3">
      <c r="B62" t="s">
        <v>795</v>
      </c>
      <c r="C62" t="s">
        <v>796</v>
      </c>
      <c r="D62">
        <v>86.08</v>
      </c>
      <c r="F62">
        <v>0</v>
      </c>
      <c r="J62">
        <v>10</v>
      </c>
      <c r="K62" s="14"/>
      <c r="M62" t="s">
        <v>944</v>
      </c>
    </row>
    <row r="63" spans="1:13" x14ac:dyDescent="0.3">
      <c r="B63" t="s">
        <v>798</v>
      </c>
      <c r="D63">
        <v>6.35</v>
      </c>
      <c r="F63">
        <v>18</v>
      </c>
      <c r="J63">
        <v>1200</v>
      </c>
      <c r="K63" s="14"/>
    </row>
    <row r="64" spans="1:13" x14ac:dyDescent="0.3">
      <c r="B64" t="s">
        <v>800</v>
      </c>
      <c r="D64">
        <v>2</v>
      </c>
      <c r="F64">
        <v>52650</v>
      </c>
      <c r="J64">
        <v>0</v>
      </c>
      <c r="K64" s="14"/>
    </row>
    <row r="65" spans="1:11" x14ac:dyDescent="0.3">
      <c r="B65" t="s">
        <v>803</v>
      </c>
      <c r="D65">
        <v>86.47</v>
      </c>
      <c r="F65">
        <v>0</v>
      </c>
      <c r="J65">
        <v>240</v>
      </c>
      <c r="K65" s="14"/>
    </row>
    <row r="66" spans="1:11" x14ac:dyDescent="0.3">
      <c r="B66" t="s">
        <v>805</v>
      </c>
      <c r="D66">
        <v>101.1</v>
      </c>
      <c r="F66">
        <v>41.4</v>
      </c>
      <c r="J66">
        <v>100</v>
      </c>
      <c r="K66" s="14"/>
    </row>
    <row r="67" spans="1:11" x14ac:dyDescent="0.3">
      <c r="B67" t="s">
        <v>806</v>
      </c>
      <c r="D67">
        <v>1252</v>
      </c>
      <c r="F67">
        <v>0</v>
      </c>
      <c r="J67">
        <v>0.1128</v>
      </c>
    </row>
    <row r="69" spans="1:11" x14ac:dyDescent="0.3">
      <c r="A69" t="s">
        <v>941</v>
      </c>
      <c r="C69" s="44"/>
      <c r="E69" s="44">
        <v>1.4999999999999999E-2</v>
      </c>
    </row>
    <row r="70" spans="1:11" x14ac:dyDescent="0.3">
      <c r="A70" t="s">
        <v>933</v>
      </c>
      <c r="E70" s="44">
        <v>2.5000000000000001E-2</v>
      </c>
    </row>
    <row r="72" spans="1:11" x14ac:dyDescent="0.3">
      <c r="A72" t="s">
        <v>937</v>
      </c>
      <c r="E72" s="8">
        <v>0.2</v>
      </c>
    </row>
    <row r="73" spans="1:11" x14ac:dyDescent="0.3">
      <c r="A73" t="s">
        <v>938</v>
      </c>
      <c r="E73" s="8">
        <v>0.09</v>
      </c>
    </row>
    <row r="75" spans="1:11" x14ac:dyDescent="0.3">
      <c r="A75" t="s">
        <v>945</v>
      </c>
    </row>
    <row r="76" spans="1:11" x14ac:dyDescent="0.3">
      <c r="B76" t="s">
        <v>914</v>
      </c>
      <c r="E76" s="8">
        <v>0.86</v>
      </c>
    </row>
    <row r="77" spans="1:11" x14ac:dyDescent="0.3">
      <c r="B77" t="s">
        <v>447</v>
      </c>
      <c r="E77" s="8">
        <v>0.85</v>
      </c>
    </row>
    <row r="78" spans="1:11" x14ac:dyDescent="0.3">
      <c r="B78" t="s">
        <v>915</v>
      </c>
      <c r="E78" s="8">
        <v>0.92</v>
      </c>
    </row>
    <row r="79" spans="1:11" x14ac:dyDescent="0.3">
      <c r="B79" t="s">
        <v>916</v>
      </c>
      <c r="E79" s="8">
        <v>0.85</v>
      </c>
    </row>
    <row r="81" spans="1:5" x14ac:dyDescent="0.3">
      <c r="A81" t="s">
        <v>946</v>
      </c>
      <c r="E81" s="8">
        <v>0.05</v>
      </c>
    </row>
    <row r="83" spans="1:5" x14ac:dyDescent="0.3">
      <c r="B83" s="43" t="s">
        <v>981</v>
      </c>
      <c r="C83" s="43"/>
    </row>
    <row r="85" spans="1:5" x14ac:dyDescent="0.3">
      <c r="A85" t="s">
        <v>982</v>
      </c>
    </row>
    <row r="86" spans="1:5" x14ac:dyDescent="0.3">
      <c r="A86" t="s">
        <v>983</v>
      </c>
    </row>
    <row r="87" spans="1:5" ht="15" thickBot="1" x14ac:dyDescent="0.35"/>
    <row r="88" spans="1:5" ht="15" thickBot="1" x14ac:dyDescent="0.35">
      <c r="A88" s="83" t="s">
        <v>987</v>
      </c>
      <c r="B88" s="22"/>
      <c r="C88" s="22"/>
      <c r="D88" s="12"/>
    </row>
  </sheetData>
  <hyperlinks>
    <hyperlink ref="D9" r:id="rId1" display="http://elering.ee/public/Infokeskus/Kuukokkuvotted/2012/NPS_Eesti_2012_aasta_kokkuvote.pdf"/>
    <hyperlink ref="D10" r:id="rId2" display="https://www.elektrilevi.ee/hind"/>
    <hyperlink ref="D11" r:id="rId3" display="https://www.elektrilevi.ee/hind"/>
    <hyperlink ref="D12" r:id="rId4" display="https://www.elektrilevi.ee/hind"/>
  </hyperlinks>
  <pageMargins left="0.7" right="0.7" top="0.75" bottom="0.75" header="0.3" footer="0.3"/>
  <pageSetup paperSize="9" orientation="portrait" verticalDpi="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G7" workbookViewId="0">
      <selection activeCell="D21" sqref="D21"/>
    </sheetView>
  </sheetViews>
  <sheetFormatPr defaultRowHeight="14.4" x14ac:dyDescent="0.3"/>
  <sheetData>
    <row r="1" spans="1:20" x14ac:dyDescent="0.3">
      <c r="A1" s="28" t="s">
        <v>820</v>
      </c>
    </row>
    <row r="2" spans="1:20" x14ac:dyDescent="0.3"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  <c r="L2">
        <v>2022</v>
      </c>
      <c r="M2">
        <v>2023</v>
      </c>
      <c r="N2">
        <v>2024</v>
      </c>
      <c r="O2">
        <v>2025</v>
      </c>
      <c r="P2">
        <v>2026</v>
      </c>
      <c r="Q2">
        <v>2027</v>
      </c>
      <c r="R2">
        <v>2028</v>
      </c>
      <c r="S2">
        <v>2029</v>
      </c>
      <c r="T2">
        <v>2030</v>
      </c>
    </row>
    <row r="3" spans="1:20" x14ac:dyDescent="0.3">
      <c r="A3" t="s">
        <v>821</v>
      </c>
      <c r="D3" s="13">
        <f>(F70+F72)/F58*F51</f>
        <v>116843.04825609172</v>
      </c>
      <c r="E3" s="13">
        <f t="shared" ref="E3:T3" si="0">D3*1.015</f>
        <v>118595.69397993309</v>
      </c>
      <c r="F3" s="13">
        <f t="shared" si="0"/>
        <v>120374.62938963207</v>
      </c>
      <c r="G3" s="13">
        <f t="shared" si="0"/>
        <v>122180.24883047654</v>
      </c>
      <c r="H3" s="13">
        <f t="shared" si="0"/>
        <v>124012.95256293369</v>
      </c>
      <c r="I3" s="13">
        <f t="shared" si="0"/>
        <v>125873.14685137768</v>
      </c>
      <c r="J3" s="13">
        <f t="shared" si="0"/>
        <v>127761.24405414834</v>
      </c>
      <c r="K3" s="13">
        <f t="shared" si="0"/>
        <v>129677.66271496055</v>
      </c>
      <c r="L3" s="13">
        <f t="shared" si="0"/>
        <v>131622.82765568493</v>
      </c>
      <c r="M3" s="13">
        <f t="shared" si="0"/>
        <v>133597.17007052019</v>
      </c>
      <c r="N3" s="13">
        <f t="shared" si="0"/>
        <v>135601.12762157799</v>
      </c>
      <c r="O3" s="13">
        <f t="shared" si="0"/>
        <v>137635.14453590167</v>
      </c>
      <c r="P3" s="13">
        <f t="shared" si="0"/>
        <v>139699.67170394017</v>
      </c>
      <c r="Q3" s="13">
        <f t="shared" si="0"/>
        <v>141795.16677949927</v>
      </c>
      <c r="R3" s="13">
        <f t="shared" si="0"/>
        <v>143922.09428119173</v>
      </c>
      <c r="S3" s="13">
        <f t="shared" si="0"/>
        <v>146080.92569540959</v>
      </c>
      <c r="T3" s="13">
        <f t="shared" si="0"/>
        <v>148272.13958084071</v>
      </c>
    </row>
    <row r="4" spans="1:20" x14ac:dyDescent="0.3">
      <c r="A4" t="s">
        <v>544</v>
      </c>
      <c r="D4">
        <f>F68*1.34*12*2</f>
        <v>25728</v>
      </c>
      <c r="E4" s="13">
        <f t="shared" ref="E4:T4" si="1">D4*1.015</f>
        <v>26113.919999999998</v>
      </c>
      <c r="F4" s="13">
        <f t="shared" si="1"/>
        <v>26505.628799999995</v>
      </c>
      <c r="G4" s="13">
        <f t="shared" si="1"/>
        <v>26903.213231999991</v>
      </c>
      <c r="H4" s="13">
        <f t="shared" si="1"/>
        <v>27306.76143047999</v>
      </c>
      <c r="I4" s="13">
        <f t="shared" si="1"/>
        <v>27716.362851937189</v>
      </c>
      <c r="J4" s="13">
        <f t="shared" si="1"/>
        <v>28132.108294716243</v>
      </c>
      <c r="K4" s="13">
        <f t="shared" si="1"/>
        <v>28554.089919136983</v>
      </c>
      <c r="L4" s="13">
        <f t="shared" si="1"/>
        <v>28982.401267924033</v>
      </c>
      <c r="M4" s="13">
        <f t="shared" si="1"/>
        <v>29417.137286942892</v>
      </c>
      <c r="N4" s="13">
        <f t="shared" si="1"/>
        <v>29858.394346247034</v>
      </c>
      <c r="O4" s="13">
        <f t="shared" si="1"/>
        <v>30306.270261440735</v>
      </c>
      <c r="P4" s="13">
        <f t="shared" si="1"/>
        <v>30760.864315362345</v>
      </c>
      <c r="Q4" s="13">
        <f t="shared" si="1"/>
        <v>31222.277280092778</v>
      </c>
      <c r="R4" s="13">
        <f t="shared" si="1"/>
        <v>31690.611439294167</v>
      </c>
      <c r="S4" s="13">
        <f t="shared" si="1"/>
        <v>32165.970610883578</v>
      </c>
      <c r="T4" s="13">
        <f t="shared" si="1"/>
        <v>32648.46017004683</v>
      </c>
    </row>
    <row r="5" spans="1:20" x14ac:dyDescent="0.3">
      <c r="A5" t="s">
        <v>536</v>
      </c>
      <c r="D5" s="13">
        <f>O48*O47</f>
        <v>4966.5</v>
      </c>
      <c r="E5" s="13">
        <f t="shared" ref="E5:T5" si="2">D5*1.015</f>
        <v>5040.9974999999995</v>
      </c>
      <c r="F5" s="13">
        <f t="shared" si="2"/>
        <v>5116.6124624999993</v>
      </c>
      <c r="G5" s="13">
        <f t="shared" si="2"/>
        <v>5193.3616494374992</v>
      </c>
      <c r="H5" s="13">
        <f t="shared" si="2"/>
        <v>5271.2620741790615</v>
      </c>
      <c r="I5" s="13">
        <f t="shared" si="2"/>
        <v>5350.3310052917468</v>
      </c>
      <c r="J5" s="13">
        <f t="shared" si="2"/>
        <v>5430.5859703711221</v>
      </c>
      <c r="K5" s="13">
        <f t="shared" si="2"/>
        <v>5512.0447599266881</v>
      </c>
      <c r="L5" s="13">
        <f t="shared" si="2"/>
        <v>5594.725431325588</v>
      </c>
      <c r="M5" s="13">
        <f t="shared" si="2"/>
        <v>5678.6463127954712</v>
      </c>
      <c r="N5" s="13">
        <f t="shared" si="2"/>
        <v>5763.8260074874024</v>
      </c>
      <c r="O5" s="13">
        <f t="shared" si="2"/>
        <v>5850.2833975997128</v>
      </c>
      <c r="P5" s="13">
        <f t="shared" si="2"/>
        <v>5938.037648563708</v>
      </c>
      <c r="Q5" s="13">
        <f t="shared" si="2"/>
        <v>6027.1082132921629</v>
      </c>
      <c r="R5" s="13">
        <f t="shared" si="2"/>
        <v>6117.5148364915449</v>
      </c>
      <c r="S5" s="13">
        <f t="shared" si="2"/>
        <v>6209.2775590389174</v>
      </c>
      <c r="T5" s="13">
        <f t="shared" si="2"/>
        <v>6302.4167224245002</v>
      </c>
    </row>
    <row r="6" spans="1:20" x14ac:dyDescent="0.3">
      <c r="A6" t="s">
        <v>537</v>
      </c>
      <c r="D6" s="13">
        <f>U59</f>
        <v>1206.3597657721414</v>
      </c>
      <c r="E6" s="13">
        <f t="shared" ref="E6:T6" si="3">D6*1.1</f>
        <v>1326.9957423493556</v>
      </c>
      <c r="F6" s="13">
        <f t="shared" si="3"/>
        <v>1459.6953165842913</v>
      </c>
      <c r="G6" s="13">
        <f t="shared" si="3"/>
        <v>1605.6648482427206</v>
      </c>
      <c r="H6" s="13">
        <f t="shared" si="3"/>
        <v>1766.2313330669929</v>
      </c>
      <c r="I6" s="13">
        <f t="shared" si="3"/>
        <v>1942.8544663736923</v>
      </c>
      <c r="J6" s="13">
        <f t="shared" si="3"/>
        <v>2137.1399130110617</v>
      </c>
      <c r="K6" s="13">
        <f t="shared" si="3"/>
        <v>2350.8539043121682</v>
      </c>
      <c r="L6" s="13">
        <f t="shared" si="3"/>
        <v>2585.9392947433853</v>
      </c>
      <c r="M6" s="13">
        <f t="shared" si="3"/>
        <v>2844.5332242177242</v>
      </c>
      <c r="N6" s="13">
        <f t="shared" si="3"/>
        <v>3128.9865466394967</v>
      </c>
      <c r="O6" s="13">
        <f t="shared" si="3"/>
        <v>3441.8852013034466</v>
      </c>
      <c r="P6" s="13">
        <f t="shared" si="3"/>
        <v>3786.0737214337914</v>
      </c>
      <c r="Q6" s="13">
        <f t="shared" si="3"/>
        <v>4164.6810935771709</v>
      </c>
      <c r="R6" s="13">
        <f t="shared" si="3"/>
        <v>4581.1492029348883</v>
      </c>
      <c r="S6" s="13">
        <f t="shared" si="3"/>
        <v>5039.2641232283777</v>
      </c>
      <c r="T6" s="13">
        <f t="shared" si="3"/>
        <v>5543.1905355512163</v>
      </c>
    </row>
    <row r="7" spans="1:20" x14ac:dyDescent="0.3">
      <c r="A7" t="s">
        <v>823</v>
      </c>
      <c r="D7" s="13">
        <f t="shared" ref="D7:T7" si="4">SUM(D3:D6)*0.04</f>
        <v>5949.7563208745551</v>
      </c>
      <c r="E7" s="13">
        <f t="shared" si="4"/>
        <v>6043.104288891298</v>
      </c>
      <c r="F7" s="13">
        <f t="shared" si="4"/>
        <v>6138.2626387486534</v>
      </c>
      <c r="G7" s="13">
        <f t="shared" si="4"/>
        <v>6235.2995424062692</v>
      </c>
      <c r="H7" s="13">
        <f t="shared" si="4"/>
        <v>6334.2882960263896</v>
      </c>
      <c r="I7" s="13">
        <f t="shared" si="4"/>
        <v>6435.3078069992116</v>
      </c>
      <c r="J7" s="13">
        <f t="shared" si="4"/>
        <v>6538.4431292898698</v>
      </c>
      <c r="K7" s="13">
        <f t="shared" si="4"/>
        <v>6643.7860519334545</v>
      </c>
      <c r="L7" s="13">
        <f t="shared" si="4"/>
        <v>6751.4357459871171</v>
      </c>
      <c r="M7" s="13">
        <f t="shared" si="4"/>
        <v>6861.49947577905</v>
      </c>
      <c r="N7" s="13">
        <f t="shared" si="4"/>
        <v>6974.0933808780765</v>
      </c>
      <c r="O7" s="13">
        <f t="shared" si="4"/>
        <v>7089.3433358498223</v>
      </c>
      <c r="P7" s="13">
        <f t="shared" si="4"/>
        <v>7207.3858955720007</v>
      </c>
      <c r="Q7" s="13">
        <f t="shared" si="4"/>
        <v>7328.369334658455</v>
      </c>
      <c r="R7" s="13">
        <f t="shared" si="4"/>
        <v>7452.4547903964922</v>
      </c>
      <c r="S7" s="13">
        <f t="shared" si="4"/>
        <v>7579.8175195424192</v>
      </c>
      <c r="T7" s="13">
        <f t="shared" si="4"/>
        <v>7710.6482803545314</v>
      </c>
    </row>
    <row r="8" spans="1:20" x14ac:dyDescent="0.3">
      <c r="A8" t="s">
        <v>731</v>
      </c>
      <c r="D8" s="13">
        <f t="shared" ref="D8:T8" si="5">SUM(D3:D7)</f>
        <v>154693.66434273843</v>
      </c>
      <c r="E8" s="13">
        <f t="shared" si="5"/>
        <v>157120.71151117375</v>
      </c>
      <c r="F8" s="13">
        <f t="shared" si="5"/>
        <v>159594.828607465</v>
      </c>
      <c r="G8" s="13">
        <f t="shared" si="5"/>
        <v>162117.788102563</v>
      </c>
      <c r="H8" s="13">
        <f t="shared" si="5"/>
        <v>164691.49569668612</v>
      </c>
      <c r="I8" s="13">
        <f t="shared" si="5"/>
        <v>167318.00298197952</v>
      </c>
      <c r="J8" s="13">
        <f t="shared" si="5"/>
        <v>169999.52136153661</v>
      </c>
      <c r="K8" s="13">
        <f t="shared" si="5"/>
        <v>172738.43735026981</v>
      </c>
      <c r="L8" s="13">
        <f t="shared" si="5"/>
        <v>175537.32939566503</v>
      </c>
      <c r="M8" s="13">
        <f t="shared" si="5"/>
        <v>178398.9863702553</v>
      </c>
      <c r="N8" s="13">
        <f t="shared" si="5"/>
        <v>181326.42790282998</v>
      </c>
      <c r="O8" s="13">
        <f t="shared" si="5"/>
        <v>184322.92673209537</v>
      </c>
      <c r="P8" s="13">
        <f t="shared" si="5"/>
        <v>187392.03328487201</v>
      </c>
      <c r="Q8" s="13">
        <f t="shared" si="5"/>
        <v>190537.60270111985</v>
      </c>
      <c r="R8" s="13">
        <f t="shared" si="5"/>
        <v>193763.82455030881</v>
      </c>
      <c r="S8" s="13">
        <f t="shared" si="5"/>
        <v>197075.25550810288</v>
      </c>
      <c r="T8" s="13">
        <f t="shared" si="5"/>
        <v>200476.85528921781</v>
      </c>
    </row>
    <row r="9" spans="1:20" x14ac:dyDescent="0.3">
      <c r="A9" t="s">
        <v>547</v>
      </c>
      <c r="D9">
        <f>$F$61*$F$65+$F$62*$F$66</f>
        <v>20000</v>
      </c>
      <c r="E9">
        <f>D9</f>
        <v>20000</v>
      </c>
      <c r="F9">
        <f>D9</f>
        <v>20000</v>
      </c>
      <c r="G9">
        <f>D9</f>
        <v>20000</v>
      </c>
      <c r="H9">
        <f>D9</f>
        <v>20000</v>
      </c>
      <c r="I9">
        <f>D9</f>
        <v>20000</v>
      </c>
      <c r="J9">
        <f>D9</f>
        <v>20000</v>
      </c>
      <c r="K9">
        <f>D9</f>
        <v>20000</v>
      </c>
      <c r="L9">
        <f>D9</f>
        <v>20000</v>
      </c>
      <c r="M9">
        <f>D9</f>
        <v>20000</v>
      </c>
      <c r="N9">
        <f>D9</f>
        <v>20000</v>
      </c>
      <c r="O9">
        <f>D9</f>
        <v>20000</v>
      </c>
      <c r="P9">
        <f>D9</f>
        <v>20000</v>
      </c>
      <c r="Q9">
        <f>D9</f>
        <v>20000</v>
      </c>
      <c r="R9">
        <f>D9</f>
        <v>20000</v>
      </c>
      <c r="S9">
        <f>D9</f>
        <v>20000</v>
      </c>
      <c r="T9">
        <f>D9</f>
        <v>20000</v>
      </c>
    </row>
    <row r="10" spans="1:20" x14ac:dyDescent="0.3">
      <c r="A10" t="s">
        <v>730</v>
      </c>
      <c r="D10">
        <f>$F$63/10</f>
        <v>38500</v>
      </c>
      <c r="E10">
        <f>D10</f>
        <v>38500</v>
      </c>
      <c r="F10">
        <f>D10</f>
        <v>38500</v>
      </c>
      <c r="G10">
        <f>D10</f>
        <v>38500</v>
      </c>
      <c r="H10">
        <f>D10</f>
        <v>38500</v>
      </c>
      <c r="I10">
        <f>D10</f>
        <v>38500</v>
      </c>
      <c r="J10">
        <f>D10</f>
        <v>38500</v>
      </c>
      <c r="K10">
        <f>D10</f>
        <v>38500</v>
      </c>
      <c r="L10">
        <f>D10</f>
        <v>38500</v>
      </c>
      <c r="M10">
        <f>D10</f>
        <v>38500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3">
      <c r="A11" t="s">
        <v>732</v>
      </c>
      <c r="D11" s="10">
        <f>$F$63-D10</f>
        <v>346500</v>
      </c>
      <c r="E11" s="10">
        <f t="shared" ref="E11:M11" si="6">D11-E10</f>
        <v>308000</v>
      </c>
      <c r="F11" s="10">
        <f t="shared" si="6"/>
        <v>269500</v>
      </c>
      <c r="G11" s="10">
        <f t="shared" si="6"/>
        <v>231000</v>
      </c>
      <c r="H11" s="10">
        <f t="shared" si="6"/>
        <v>192500</v>
      </c>
      <c r="I11" s="10">
        <f t="shared" si="6"/>
        <v>154000</v>
      </c>
      <c r="J11" s="10">
        <f t="shared" si="6"/>
        <v>115500</v>
      </c>
      <c r="K11" s="10">
        <f t="shared" si="6"/>
        <v>77000</v>
      </c>
      <c r="L11" s="10">
        <f t="shared" si="6"/>
        <v>38500</v>
      </c>
      <c r="M11" s="10">
        <f t="shared" si="6"/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3">
      <c r="A12" t="s">
        <v>733</v>
      </c>
      <c r="D12">
        <f t="shared" ref="D12:L12" si="7">D11*$F$64</f>
        <v>17325</v>
      </c>
      <c r="E12">
        <f t="shared" si="7"/>
        <v>15400</v>
      </c>
      <c r="F12">
        <f t="shared" si="7"/>
        <v>13475</v>
      </c>
      <c r="G12">
        <f t="shared" si="7"/>
        <v>11550</v>
      </c>
      <c r="H12">
        <f t="shared" si="7"/>
        <v>9625</v>
      </c>
      <c r="I12">
        <f t="shared" si="7"/>
        <v>7700</v>
      </c>
      <c r="J12">
        <f t="shared" si="7"/>
        <v>5775</v>
      </c>
      <c r="K12">
        <f t="shared" si="7"/>
        <v>3850</v>
      </c>
      <c r="L12">
        <f t="shared" si="7"/>
        <v>1925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3">
      <c r="A13" t="s">
        <v>758</v>
      </c>
      <c r="D13" s="13">
        <f t="shared" ref="D13:T13" si="8">D8+D10+D12</f>
        <v>210518.66434273843</v>
      </c>
      <c r="E13" s="13">
        <f t="shared" si="8"/>
        <v>211020.71151117375</v>
      </c>
      <c r="F13" s="13">
        <f t="shared" si="8"/>
        <v>211569.828607465</v>
      </c>
      <c r="G13" s="13">
        <f t="shared" si="8"/>
        <v>212167.788102563</v>
      </c>
      <c r="H13" s="13">
        <f t="shared" si="8"/>
        <v>212816.49569668612</v>
      </c>
      <c r="I13" s="13">
        <f t="shared" si="8"/>
        <v>213518.00298197952</v>
      </c>
      <c r="J13" s="13">
        <f t="shared" si="8"/>
        <v>214274.52136153661</v>
      </c>
      <c r="K13" s="13">
        <f t="shared" si="8"/>
        <v>215088.43735026981</v>
      </c>
      <c r="L13" s="13">
        <f t="shared" si="8"/>
        <v>215962.32939566503</v>
      </c>
      <c r="M13" s="13">
        <f t="shared" si="8"/>
        <v>216898.9863702553</v>
      </c>
      <c r="N13" s="13">
        <f t="shared" si="8"/>
        <v>181326.42790282998</v>
      </c>
      <c r="O13" s="13">
        <f t="shared" si="8"/>
        <v>184322.92673209537</v>
      </c>
      <c r="P13" s="13">
        <f t="shared" si="8"/>
        <v>187392.03328487201</v>
      </c>
      <c r="Q13" s="13">
        <f t="shared" si="8"/>
        <v>190537.60270111985</v>
      </c>
      <c r="R13" s="13">
        <f t="shared" si="8"/>
        <v>193763.82455030881</v>
      </c>
      <c r="S13" s="13">
        <f t="shared" si="8"/>
        <v>197075.25550810288</v>
      </c>
      <c r="T13" s="13">
        <f t="shared" si="8"/>
        <v>200476.85528921781</v>
      </c>
    </row>
    <row r="14" spans="1:20" x14ac:dyDescent="0.3">
      <c r="A14" t="s">
        <v>824</v>
      </c>
      <c r="D14" s="14">
        <f>D13/F70</f>
        <v>77.969875682495712</v>
      </c>
      <c r="E14" s="14">
        <f>E13/F70</f>
        <v>78.155819078212502</v>
      </c>
      <c r="F14" s="14">
        <f>F13/F70</f>
        <v>78.359195780542592</v>
      </c>
      <c r="G14" s="14">
        <f>G13/F70</f>
        <v>78.580662260208527</v>
      </c>
      <c r="H14" s="14">
        <f>H13/F70</f>
        <v>78.820924332105974</v>
      </c>
      <c r="I14" s="14">
        <f>I13/F70</f>
        <v>79.080741845177599</v>
      </c>
      <c r="J14" s="14">
        <f>J13/F70</f>
        <v>79.360933837606154</v>
      </c>
      <c r="K14" s="14">
        <f>K13/F70</f>
        <v>79.66238420380364</v>
      </c>
      <c r="L14" s="14">
        <f>L13/F70</f>
        <v>79.986047924320388</v>
      </c>
      <c r="M14" s="14">
        <f>M13/F70</f>
        <v>80.332957914909372</v>
      </c>
      <c r="N14" s="14">
        <f>N13/F70</f>
        <v>67.157936260307395</v>
      </c>
      <c r="O14" s="14">
        <f>O13/F70</f>
        <v>68.267750641516798</v>
      </c>
      <c r="P14" s="14">
        <f>P13/F70</f>
        <v>69.404456772174825</v>
      </c>
      <c r="Q14" s="14">
        <f>Q13/F70</f>
        <v>70.569482481896245</v>
      </c>
      <c r="R14" s="14">
        <f>R13/F70</f>
        <v>71.764379463077333</v>
      </c>
      <c r="S14" s="14">
        <f>S13/F70</f>
        <v>72.990835373371439</v>
      </c>
      <c r="T14" s="14">
        <f>T13/F70</f>
        <v>74.250687144154739</v>
      </c>
    </row>
    <row r="15" spans="1:20" x14ac:dyDescent="0.3">
      <c r="A15" t="s">
        <v>740</v>
      </c>
      <c r="D15" s="13">
        <f t="shared" ref="D15:T15" si="9">D21-D8-D12</f>
        <v>35311.734160856839</v>
      </c>
      <c r="E15" s="13">
        <f t="shared" si="9"/>
        <v>50498.98707151867</v>
      </c>
      <c r="F15" s="13">
        <f t="shared" si="9"/>
        <v>51423.98707151867</v>
      </c>
      <c r="G15" s="13">
        <f t="shared" si="9"/>
        <v>52355.294470256398</v>
      </c>
      <c r="H15" s="13">
        <f t="shared" si="9"/>
        <v>53286.72873924172</v>
      </c>
      <c r="I15" s="13">
        <f t="shared" si="9"/>
        <v>54218.295007454959</v>
      </c>
      <c r="J15" s="13">
        <f t="shared" si="9"/>
        <v>55149.99880340384</v>
      </c>
      <c r="K15" s="13">
        <f t="shared" si="9"/>
        <v>56081.846093375672</v>
      </c>
      <c r="L15" s="13">
        <f t="shared" si="9"/>
        <v>57013.843323489156</v>
      </c>
      <c r="M15" s="13">
        <f t="shared" si="9"/>
        <v>57945.99746592564</v>
      </c>
      <c r="N15" s="13">
        <f t="shared" si="9"/>
        <v>18453.316069757071</v>
      </c>
      <c r="O15" s="13">
        <f t="shared" si="9"/>
        <v>17460.807316830236</v>
      </c>
      <c r="P15" s="13">
        <f t="shared" si="9"/>
        <v>16468.480083212169</v>
      </c>
      <c r="Q15" s="13">
        <f t="shared" si="9"/>
        <v>15476.344006752799</v>
      </c>
      <c r="R15" s="13">
        <f t="shared" si="9"/>
        <v>14484.409561375767</v>
      </c>
      <c r="S15" s="13">
        <f t="shared" si="9"/>
        <v>13492.68813877026</v>
      </c>
      <c r="T15" s="13">
        <f t="shared" si="9"/>
        <v>12501.192138223036</v>
      </c>
    </row>
    <row r="16" spans="1:20" x14ac:dyDescent="0.3">
      <c r="A16" t="s">
        <v>741</v>
      </c>
      <c r="D16" s="13">
        <f t="shared" ref="D16:T16" si="10">D21-D13</f>
        <v>-3188.2658391431614</v>
      </c>
      <c r="E16" s="13">
        <f t="shared" si="10"/>
        <v>11998.98707151867</v>
      </c>
      <c r="F16" s="13">
        <f t="shared" si="10"/>
        <v>12923.98707151867</v>
      </c>
      <c r="G16" s="13">
        <f t="shared" si="10"/>
        <v>13855.294470256398</v>
      </c>
      <c r="H16" s="13">
        <f t="shared" si="10"/>
        <v>14786.72873924172</v>
      </c>
      <c r="I16" s="13">
        <f t="shared" si="10"/>
        <v>15718.295007454959</v>
      </c>
      <c r="J16" s="13">
        <f t="shared" si="10"/>
        <v>16649.99880340384</v>
      </c>
      <c r="K16" s="13">
        <f t="shared" si="10"/>
        <v>17581.846093375672</v>
      </c>
      <c r="L16" s="13">
        <f t="shared" si="10"/>
        <v>18513.843323489156</v>
      </c>
      <c r="M16" s="13">
        <f t="shared" si="10"/>
        <v>19445.99746592564</v>
      </c>
      <c r="N16" s="13">
        <f t="shared" si="10"/>
        <v>18453.316069757071</v>
      </c>
      <c r="O16" s="13">
        <f t="shared" si="10"/>
        <v>17460.807316830236</v>
      </c>
      <c r="P16" s="13">
        <f t="shared" si="10"/>
        <v>16468.480083212169</v>
      </c>
      <c r="Q16" s="13">
        <f t="shared" si="10"/>
        <v>15476.344006752799</v>
      </c>
      <c r="R16" s="13">
        <f t="shared" si="10"/>
        <v>14484.409561375767</v>
      </c>
      <c r="S16" s="13">
        <f t="shared" si="10"/>
        <v>13492.68813877026</v>
      </c>
      <c r="T16" s="13">
        <f t="shared" si="10"/>
        <v>12501.192138223036</v>
      </c>
    </row>
    <row r="17" spans="1:20" x14ac:dyDescent="0.3">
      <c r="A17" t="s">
        <v>755</v>
      </c>
      <c r="D17" s="10">
        <f>F63+D15+D9-F61-F62-D10+H63</f>
        <v>16811.734160856809</v>
      </c>
      <c r="E17" s="10">
        <f>E15+E9-E10</f>
        <v>31998.98707151867</v>
      </c>
      <c r="F17" s="10">
        <f>F15+F9-F10</f>
        <v>32923.98707151867</v>
      </c>
      <c r="G17" s="13">
        <f t="shared" ref="G17:T17" si="11">G15+G9-G10</f>
        <v>33855.294470256398</v>
      </c>
      <c r="H17" s="13">
        <f t="shared" si="11"/>
        <v>34786.72873924172</v>
      </c>
      <c r="I17" s="13">
        <f t="shared" si="11"/>
        <v>35718.295007454959</v>
      </c>
      <c r="J17" s="13">
        <f t="shared" si="11"/>
        <v>36649.99880340384</v>
      </c>
      <c r="K17" s="13">
        <f t="shared" si="11"/>
        <v>37581.846093375672</v>
      </c>
      <c r="L17" s="13">
        <f>L15+L9-L10</f>
        <v>38513.843323489156</v>
      </c>
      <c r="M17" s="13">
        <f t="shared" si="11"/>
        <v>39445.99746592564</v>
      </c>
      <c r="N17" s="13">
        <f t="shared" si="11"/>
        <v>38453.316069757071</v>
      </c>
      <c r="O17" s="13">
        <f t="shared" si="11"/>
        <v>37460.807316830236</v>
      </c>
      <c r="P17" s="13">
        <f t="shared" si="11"/>
        <v>36468.480083212169</v>
      </c>
      <c r="Q17" s="13">
        <f t="shared" si="11"/>
        <v>35476.344006752799</v>
      </c>
      <c r="R17" s="13">
        <f t="shared" si="11"/>
        <v>34484.409561375767</v>
      </c>
      <c r="S17" s="13">
        <f t="shared" si="11"/>
        <v>33492.68813877026</v>
      </c>
      <c r="T17" s="13">
        <f t="shared" si="11"/>
        <v>32501.192138223036</v>
      </c>
    </row>
    <row r="18" spans="1:20" ht="15" thickBot="1" x14ac:dyDescent="0.35">
      <c r="A18" t="s">
        <v>742</v>
      </c>
      <c r="D18" s="10">
        <f>D17</f>
        <v>16811.734160856809</v>
      </c>
      <c r="E18" s="10">
        <f t="shared" ref="E18:T18" si="12">D18+E17</f>
        <v>48810.721232375479</v>
      </c>
      <c r="F18" s="10">
        <f t="shared" si="12"/>
        <v>81734.708303894149</v>
      </c>
      <c r="G18" s="10">
        <f t="shared" si="12"/>
        <v>115590.00277415055</v>
      </c>
      <c r="H18" s="10">
        <f t="shared" si="12"/>
        <v>150376.73151339227</v>
      </c>
      <c r="I18" s="10">
        <f t="shared" si="12"/>
        <v>186095.02652084723</v>
      </c>
      <c r="J18" s="10">
        <f t="shared" si="12"/>
        <v>222745.02532425107</v>
      </c>
      <c r="K18" s="10">
        <f t="shared" si="12"/>
        <v>260326.87141762674</v>
      </c>
      <c r="L18" s="10">
        <f>K18+L17</f>
        <v>298840.71474111592</v>
      </c>
      <c r="M18" s="10">
        <f t="shared" si="12"/>
        <v>338286.71220704156</v>
      </c>
      <c r="N18" s="10">
        <f t="shared" si="12"/>
        <v>376740.02827679866</v>
      </c>
      <c r="O18" s="10">
        <f t="shared" si="12"/>
        <v>414200.83559362893</v>
      </c>
      <c r="P18" s="10">
        <f t="shared" si="12"/>
        <v>450669.31567684107</v>
      </c>
      <c r="Q18" s="10">
        <f t="shared" si="12"/>
        <v>486145.6596835939</v>
      </c>
      <c r="R18" s="10">
        <f t="shared" si="12"/>
        <v>520630.06924496964</v>
      </c>
      <c r="S18" s="10">
        <f t="shared" si="12"/>
        <v>554122.75738373992</v>
      </c>
      <c r="T18" s="10">
        <f t="shared" si="12"/>
        <v>586623.94952196302</v>
      </c>
    </row>
    <row r="19" spans="1:20" ht="15" thickBot="1" x14ac:dyDescent="0.35">
      <c r="A19" t="s">
        <v>743</v>
      </c>
      <c r="B19" s="67">
        <f>NPV(D19,D17:T17)-H63</f>
        <v>-41303.420543481683</v>
      </c>
      <c r="D19" s="70">
        <v>0.245</v>
      </c>
    </row>
    <row r="20" spans="1:20" x14ac:dyDescent="0.3">
      <c r="A20" t="s">
        <v>735</v>
      </c>
      <c r="D20" s="10">
        <f>F61+F62</f>
        <v>550000</v>
      </c>
      <c r="E20">
        <f t="shared" ref="E20:T20" si="13">D20-$F$61*$F65-$F$62*$F$66</f>
        <v>530000</v>
      </c>
      <c r="F20">
        <f t="shared" si="13"/>
        <v>510000</v>
      </c>
      <c r="G20">
        <f t="shared" si="13"/>
        <v>490000</v>
      </c>
      <c r="H20">
        <f t="shared" si="13"/>
        <v>470000</v>
      </c>
      <c r="I20">
        <f t="shared" si="13"/>
        <v>450000</v>
      </c>
      <c r="J20">
        <f t="shared" si="13"/>
        <v>430000</v>
      </c>
      <c r="K20">
        <f t="shared" si="13"/>
        <v>410000</v>
      </c>
      <c r="L20">
        <f t="shared" si="13"/>
        <v>390000</v>
      </c>
      <c r="M20">
        <f t="shared" si="13"/>
        <v>370000</v>
      </c>
      <c r="N20">
        <f t="shared" si="13"/>
        <v>350000</v>
      </c>
      <c r="O20">
        <f t="shared" si="13"/>
        <v>330000</v>
      </c>
      <c r="P20">
        <f t="shared" si="13"/>
        <v>310000</v>
      </c>
      <c r="Q20">
        <f t="shared" si="13"/>
        <v>290000</v>
      </c>
      <c r="R20">
        <f t="shared" si="13"/>
        <v>270000</v>
      </c>
      <c r="S20">
        <f t="shared" si="13"/>
        <v>250000</v>
      </c>
      <c r="T20">
        <f t="shared" si="13"/>
        <v>230000</v>
      </c>
    </row>
    <row r="21" spans="1:20" x14ac:dyDescent="0.3">
      <c r="A21" t="s">
        <v>549</v>
      </c>
      <c r="D21" s="13">
        <f t="shared" ref="D21:T21" si="14">D24</f>
        <v>207330.39850359526</v>
      </c>
      <c r="E21" s="13">
        <f t="shared" si="14"/>
        <v>223019.69858269242</v>
      </c>
      <c r="F21" s="13">
        <f t="shared" si="14"/>
        <v>224493.81567898366</v>
      </c>
      <c r="G21" s="13">
        <f t="shared" si="14"/>
        <v>226023.0825728194</v>
      </c>
      <c r="H21" s="13">
        <f t="shared" si="14"/>
        <v>227603.22443592784</v>
      </c>
      <c r="I21" s="13">
        <f t="shared" si="14"/>
        <v>229236.29798943448</v>
      </c>
      <c r="J21" s="13">
        <f t="shared" si="14"/>
        <v>230924.52016494045</v>
      </c>
      <c r="K21" s="13">
        <f t="shared" si="14"/>
        <v>232670.28344364549</v>
      </c>
      <c r="L21" s="13">
        <f t="shared" si="14"/>
        <v>234476.17271915419</v>
      </c>
      <c r="M21" s="13">
        <f t="shared" si="14"/>
        <v>236344.98383618094</v>
      </c>
      <c r="N21" s="13">
        <f t="shared" si="14"/>
        <v>199779.74397258705</v>
      </c>
      <c r="O21" s="13">
        <f t="shared" si="14"/>
        <v>201783.7340489256</v>
      </c>
      <c r="P21" s="13">
        <f t="shared" si="14"/>
        <v>203860.51336808418</v>
      </c>
      <c r="Q21" s="13">
        <f t="shared" si="14"/>
        <v>206013.94670787264</v>
      </c>
      <c r="R21" s="13">
        <f t="shared" si="14"/>
        <v>208248.23411168458</v>
      </c>
      <c r="S21" s="13">
        <f t="shared" si="14"/>
        <v>210567.94364687314</v>
      </c>
      <c r="T21" s="13">
        <f t="shared" si="14"/>
        <v>212978.04742744085</v>
      </c>
    </row>
    <row r="22" spans="1:20" x14ac:dyDescent="0.3">
      <c r="A22" t="s">
        <v>729</v>
      </c>
      <c r="D22" s="13">
        <f>(0+D20)/2+D8*0.05</f>
        <v>282734.68321713695</v>
      </c>
      <c r="E22" s="13">
        <f>(D20+E20)/2+F8*0.05</f>
        <v>547979.74143037328</v>
      </c>
      <c r="F22" s="13">
        <f t="shared" ref="F22:T22" si="15">(E20+F20)/2+F8*0.05</f>
        <v>527979.74143037328</v>
      </c>
      <c r="G22" s="13">
        <f t="shared" si="15"/>
        <v>508105.88940512814</v>
      </c>
      <c r="H22" s="13">
        <f t="shared" si="15"/>
        <v>488234.57478483429</v>
      </c>
      <c r="I22" s="13">
        <f t="shared" si="15"/>
        <v>468365.90014909895</v>
      </c>
      <c r="J22" s="13">
        <f t="shared" si="15"/>
        <v>448499.97606807685</v>
      </c>
      <c r="K22" s="13">
        <f t="shared" si="15"/>
        <v>428636.92186751351</v>
      </c>
      <c r="L22" s="13">
        <f t="shared" si="15"/>
        <v>408776.86646978324</v>
      </c>
      <c r="M22" s="13">
        <f t="shared" si="15"/>
        <v>388919.94931851275</v>
      </c>
      <c r="N22" s="13">
        <f t="shared" si="15"/>
        <v>369066.32139514148</v>
      </c>
      <c r="O22" s="13">
        <f t="shared" si="15"/>
        <v>349216.14633660478</v>
      </c>
      <c r="P22" s="13">
        <f t="shared" si="15"/>
        <v>329369.60166424362</v>
      </c>
      <c r="Q22" s="13">
        <f t="shared" si="15"/>
        <v>309526.88013505598</v>
      </c>
      <c r="R22" s="13">
        <f t="shared" si="15"/>
        <v>289688.19122751546</v>
      </c>
      <c r="S22" s="13">
        <f t="shared" si="15"/>
        <v>269853.76277540514</v>
      </c>
      <c r="T22" s="13">
        <f t="shared" si="15"/>
        <v>250023.84276446089</v>
      </c>
    </row>
    <row r="23" spans="1:20" x14ac:dyDescent="0.3">
      <c r="A23" t="s">
        <v>825</v>
      </c>
      <c r="D23" s="13">
        <f t="shared" ref="D23:T23" si="16">D22*$F$69</f>
        <v>14136.734160856848</v>
      </c>
      <c r="E23" s="13">
        <f t="shared" si="16"/>
        <v>27398.987071518666</v>
      </c>
      <c r="F23" s="13">
        <f t="shared" si="16"/>
        <v>26398.987071518666</v>
      </c>
      <c r="G23" s="13">
        <f t="shared" si="16"/>
        <v>25405.294470256409</v>
      </c>
      <c r="H23" s="13">
        <f t="shared" si="16"/>
        <v>24411.728739241717</v>
      </c>
      <c r="I23" s="13">
        <f t="shared" si="16"/>
        <v>23418.295007454948</v>
      </c>
      <c r="J23" s="13">
        <f t="shared" si="16"/>
        <v>22424.998803403843</v>
      </c>
      <c r="K23" s="13">
        <f t="shared" si="16"/>
        <v>21431.846093375676</v>
      </c>
      <c r="L23" s="13">
        <f t="shared" si="16"/>
        <v>20438.843323489164</v>
      </c>
      <c r="M23" s="13">
        <f t="shared" si="16"/>
        <v>19445.997465925637</v>
      </c>
      <c r="N23" s="13">
        <f t="shared" si="16"/>
        <v>18453.316069757075</v>
      </c>
      <c r="O23" s="13">
        <f t="shared" si="16"/>
        <v>17460.80731683024</v>
      </c>
      <c r="P23" s="13">
        <f t="shared" si="16"/>
        <v>16468.48008321218</v>
      </c>
      <c r="Q23" s="13">
        <f t="shared" si="16"/>
        <v>15476.344006752799</v>
      </c>
      <c r="R23" s="13">
        <f t="shared" si="16"/>
        <v>14484.409561375775</v>
      </c>
      <c r="S23" s="13">
        <f t="shared" si="16"/>
        <v>13492.688138770258</v>
      </c>
      <c r="T23" s="13">
        <f t="shared" si="16"/>
        <v>12501.192138223045</v>
      </c>
    </row>
    <row r="24" spans="1:20" x14ac:dyDescent="0.3">
      <c r="A24" t="s">
        <v>826</v>
      </c>
      <c r="D24" s="13">
        <f t="shared" ref="D24:T24" si="17">D13+D23-D12</f>
        <v>207330.39850359526</v>
      </c>
      <c r="E24" s="13">
        <f t="shared" si="17"/>
        <v>223019.69858269242</v>
      </c>
      <c r="F24" s="13">
        <f t="shared" si="17"/>
        <v>224493.81567898366</v>
      </c>
      <c r="G24" s="13">
        <f t="shared" si="17"/>
        <v>226023.0825728194</v>
      </c>
      <c r="H24" s="13">
        <f t="shared" si="17"/>
        <v>227603.22443592784</v>
      </c>
      <c r="I24" s="13">
        <f t="shared" si="17"/>
        <v>229236.29798943448</v>
      </c>
      <c r="J24" s="13">
        <f t="shared" si="17"/>
        <v>230924.52016494045</v>
      </c>
      <c r="K24" s="13">
        <f t="shared" si="17"/>
        <v>232670.28344364549</v>
      </c>
      <c r="L24" s="13">
        <f t="shared" si="17"/>
        <v>234476.17271915419</v>
      </c>
      <c r="M24" s="13">
        <f t="shared" si="17"/>
        <v>236344.98383618094</v>
      </c>
      <c r="N24" s="13">
        <f t="shared" si="17"/>
        <v>199779.74397258705</v>
      </c>
      <c r="O24" s="13">
        <f t="shared" si="17"/>
        <v>201783.7340489256</v>
      </c>
      <c r="P24" s="13">
        <f t="shared" si="17"/>
        <v>203860.51336808418</v>
      </c>
      <c r="Q24" s="13">
        <f t="shared" si="17"/>
        <v>206013.94670787264</v>
      </c>
      <c r="R24" s="13">
        <f t="shared" si="17"/>
        <v>208248.23411168458</v>
      </c>
      <c r="S24" s="13">
        <f t="shared" si="17"/>
        <v>210567.94364687314</v>
      </c>
      <c r="T24" s="13">
        <f t="shared" si="17"/>
        <v>212978.04742744085</v>
      </c>
    </row>
    <row r="25" spans="1:20" x14ac:dyDescent="0.3">
      <c r="A25" t="s">
        <v>827</v>
      </c>
      <c r="D25" s="13">
        <f t="shared" ref="D25:T25" si="18">D24/$F$70</f>
        <v>76.78903648281306</v>
      </c>
      <c r="E25" s="13">
        <f t="shared" si="18"/>
        <v>82.599888363960162</v>
      </c>
      <c r="F25" s="13">
        <f t="shared" si="18"/>
        <v>83.145857658882832</v>
      </c>
      <c r="G25" s="13">
        <f t="shared" si="18"/>
        <v>83.712252804747934</v>
      </c>
      <c r="H25" s="13">
        <f t="shared" si="18"/>
        <v>84.297490531825133</v>
      </c>
      <c r="I25" s="13">
        <f t="shared" si="18"/>
        <v>84.902332588679428</v>
      </c>
      <c r="J25" s="13">
        <f t="shared" si="18"/>
        <v>85.527600061089061</v>
      </c>
      <c r="K25" s="13">
        <f t="shared" si="18"/>
        <v>86.174179053202039</v>
      </c>
      <c r="L25" s="13">
        <f t="shared" si="18"/>
        <v>86.84302693302007</v>
      </c>
      <c r="M25" s="13">
        <f t="shared" si="18"/>
        <v>87.535179198585539</v>
      </c>
      <c r="N25" s="13">
        <f t="shared" si="18"/>
        <v>73.99249776762484</v>
      </c>
      <c r="O25" s="13">
        <f t="shared" si="18"/>
        <v>74.734716314416886</v>
      </c>
      <c r="P25" s="13">
        <f t="shared" si="18"/>
        <v>75.503893840031182</v>
      </c>
      <c r="Q25" s="13">
        <f t="shared" si="18"/>
        <v>76.301461743656532</v>
      </c>
      <c r="R25" s="13">
        <f t="shared" si="18"/>
        <v>77.128975596920213</v>
      </c>
      <c r="S25" s="13">
        <f t="shared" si="18"/>
        <v>77.988127276619679</v>
      </c>
      <c r="T25" s="13">
        <f t="shared" si="18"/>
        <v>78.880758306459569</v>
      </c>
    </row>
    <row r="26" spans="1:20" ht="15" thickBot="1" x14ac:dyDescent="0.35"/>
    <row r="27" spans="1:20" ht="15" thickBot="1" x14ac:dyDescent="0.35">
      <c r="A27" t="s">
        <v>838</v>
      </c>
      <c r="F27" s="30">
        <f>T25</f>
        <v>78.880758306459569</v>
      </c>
      <c r="G27" t="s">
        <v>466</v>
      </c>
    </row>
    <row r="29" spans="1:20" ht="15" thickBot="1" x14ac:dyDescent="0.35">
      <c r="A29">
        <v>60</v>
      </c>
      <c r="B29" t="s">
        <v>840</v>
      </c>
      <c r="C29">
        <v>100</v>
      </c>
      <c r="D29" t="s">
        <v>839</v>
      </c>
      <c r="F29" t="s">
        <v>841</v>
      </c>
    </row>
    <row r="30" spans="1:20" ht="15" thickBot="1" x14ac:dyDescent="0.35">
      <c r="D30" s="71">
        <f>A29*C29*D25/1000</f>
        <v>460.73421889687836</v>
      </c>
      <c r="E30" s="13">
        <f>A29*C29*E25/1000</f>
        <v>495.59933018376097</v>
      </c>
      <c r="F30" s="13">
        <f>A29*C29*F25/1000</f>
        <v>498.87514595329696</v>
      </c>
      <c r="G30" s="13">
        <f>A29*C29*G25/1000</f>
        <v>502.27351682848763</v>
      </c>
      <c r="H30" s="13">
        <f>A29*C29*H25/1000</f>
        <v>505.7849431909508</v>
      </c>
      <c r="I30" s="13">
        <f>A29*C29*I25/1000</f>
        <v>509.41399553207657</v>
      </c>
      <c r="J30" s="71">
        <f>A29*C29*J25/1000</f>
        <v>513.16560036653436</v>
      </c>
      <c r="K30" s="13">
        <f>A29*C29*K25/1000</f>
        <v>517.04507431921218</v>
      </c>
      <c r="L30" s="13">
        <f>A29*C29*L25/1000</f>
        <v>521.05816159812036</v>
      </c>
      <c r="M30" s="13">
        <f>A29*C29*M25/1000</f>
        <v>525.21107519151326</v>
      </c>
      <c r="N30" s="13"/>
      <c r="O30" s="13"/>
      <c r="P30" s="13"/>
      <c r="Q30" s="13"/>
      <c r="R30" s="13"/>
      <c r="S30" s="13"/>
      <c r="T30" s="71">
        <f>A29*C29*T25/1000</f>
        <v>473.28454983875741</v>
      </c>
    </row>
    <row r="31" spans="1:20" x14ac:dyDescent="0.3">
      <c r="M31" s="13">
        <f>SUM(D30:M30)</f>
        <v>5049.1610620608317</v>
      </c>
    </row>
    <row r="32" spans="1:20" x14ac:dyDescent="0.3">
      <c r="A32" t="s">
        <v>842</v>
      </c>
      <c r="D32" s="8">
        <v>0.02</v>
      </c>
      <c r="E32" t="s">
        <v>843</v>
      </c>
    </row>
    <row r="34" spans="1:20" x14ac:dyDescent="0.3">
      <c r="A34">
        <v>2031</v>
      </c>
      <c r="B34">
        <v>2032</v>
      </c>
      <c r="C34">
        <v>2033</v>
      </c>
      <c r="D34">
        <v>2034</v>
      </c>
      <c r="E34">
        <v>2035</v>
      </c>
      <c r="F34">
        <v>2036</v>
      </c>
      <c r="G34">
        <v>2037</v>
      </c>
      <c r="H34">
        <v>2038</v>
      </c>
      <c r="I34">
        <v>2039</v>
      </c>
      <c r="J34">
        <v>2040</v>
      </c>
      <c r="K34">
        <v>2041</v>
      </c>
      <c r="L34">
        <v>2042</v>
      </c>
      <c r="M34">
        <v>2043</v>
      </c>
      <c r="N34">
        <v>2044</v>
      </c>
      <c r="O34">
        <v>2045</v>
      </c>
      <c r="P34">
        <v>2046</v>
      </c>
      <c r="Q34">
        <v>2047</v>
      </c>
      <c r="R34">
        <v>2048</v>
      </c>
      <c r="S34">
        <v>2049</v>
      </c>
      <c r="T34">
        <v>2050</v>
      </c>
    </row>
    <row r="35" spans="1:20" x14ac:dyDescent="0.3">
      <c r="A35" s="13">
        <f>T25*1.02</f>
        <v>80.458373472588761</v>
      </c>
      <c r="B35" s="13">
        <f t="shared" ref="B35:T35" si="19">A35*1.02</f>
        <v>82.067540942040537</v>
      </c>
      <c r="C35" s="13">
        <f t="shared" si="19"/>
        <v>83.708891760881343</v>
      </c>
      <c r="D35" s="13">
        <f t="shared" si="19"/>
        <v>85.383069596098977</v>
      </c>
      <c r="E35" s="13">
        <f t="shared" si="19"/>
        <v>87.090730988020965</v>
      </c>
      <c r="F35" s="13">
        <f t="shared" si="19"/>
        <v>88.832545607781384</v>
      </c>
      <c r="G35" s="13">
        <f t="shared" si="19"/>
        <v>90.609196519937015</v>
      </c>
      <c r="H35" s="13">
        <f t="shared" si="19"/>
        <v>92.421380450335761</v>
      </c>
      <c r="I35" s="13">
        <f t="shared" si="19"/>
        <v>94.269808059342481</v>
      </c>
      <c r="J35" s="13">
        <f t="shared" si="19"/>
        <v>96.155204220529328</v>
      </c>
      <c r="K35" s="13">
        <f t="shared" si="19"/>
        <v>98.07830830493991</v>
      </c>
      <c r="L35" s="13">
        <f t="shared" si="19"/>
        <v>100.03987447103871</v>
      </c>
      <c r="M35" s="13">
        <f t="shared" si="19"/>
        <v>102.04067196045949</v>
      </c>
      <c r="N35" s="13">
        <f t="shared" si="19"/>
        <v>104.08148539966868</v>
      </c>
      <c r="O35" s="13">
        <f t="shared" si="19"/>
        <v>106.16311510766205</v>
      </c>
      <c r="P35" s="13">
        <f t="shared" si="19"/>
        <v>108.28637740981529</v>
      </c>
      <c r="Q35" s="13">
        <f t="shared" si="19"/>
        <v>110.45210495801159</v>
      </c>
      <c r="R35" s="13">
        <f t="shared" si="19"/>
        <v>112.66114705717182</v>
      </c>
      <c r="S35" s="13">
        <f t="shared" si="19"/>
        <v>114.91436999831525</v>
      </c>
      <c r="T35" s="13">
        <f t="shared" si="19"/>
        <v>117.21265739828156</v>
      </c>
    </row>
    <row r="36" spans="1:20" ht="15" thickBot="1" x14ac:dyDescent="0.35"/>
    <row r="37" spans="1:20" ht="15" thickBot="1" x14ac:dyDescent="0.35">
      <c r="A37" t="s">
        <v>845</v>
      </c>
      <c r="F37" s="68">
        <v>51.16</v>
      </c>
      <c r="G37" t="s">
        <v>466</v>
      </c>
    </row>
    <row r="38" spans="1:20" x14ac:dyDescent="0.3">
      <c r="A38" t="s">
        <v>846</v>
      </c>
    </row>
    <row r="46" spans="1:20" x14ac:dyDescent="0.3">
      <c r="A46" s="28" t="s">
        <v>844</v>
      </c>
      <c r="B46" s="28"/>
      <c r="C46" s="28"/>
    </row>
    <row r="47" spans="1:20" x14ac:dyDescent="0.3">
      <c r="A47" t="s">
        <v>517</v>
      </c>
      <c r="L47" t="s">
        <v>784</v>
      </c>
      <c r="O47">
        <v>90.3</v>
      </c>
    </row>
    <row r="48" spans="1:20" x14ac:dyDescent="0.3">
      <c r="A48" t="s">
        <v>785</v>
      </c>
      <c r="F48">
        <v>36.229999999999997</v>
      </c>
      <c r="L48" t="s">
        <v>975</v>
      </c>
      <c r="O48">
        <v>55</v>
      </c>
    </row>
    <row r="49" spans="1:21" x14ac:dyDescent="0.3">
      <c r="A49" t="s">
        <v>786</v>
      </c>
      <c r="D49" t="s">
        <v>466</v>
      </c>
      <c r="F49">
        <v>1.57</v>
      </c>
      <c r="L49" t="s">
        <v>787</v>
      </c>
      <c r="N49" t="s">
        <v>466</v>
      </c>
      <c r="O49" s="14">
        <f>O48*O47/F70</f>
        <v>1.8394444444444444</v>
      </c>
    </row>
    <row r="50" spans="1:21" x14ac:dyDescent="0.3">
      <c r="A50" t="s">
        <v>788</v>
      </c>
      <c r="D50" t="s">
        <v>466</v>
      </c>
      <c r="F50">
        <v>2.52</v>
      </c>
    </row>
    <row r="51" spans="1:21" x14ac:dyDescent="0.3">
      <c r="A51" t="s">
        <v>789</v>
      </c>
      <c r="F51">
        <v>36.229999999999997</v>
      </c>
      <c r="H51" t="s">
        <v>999</v>
      </c>
    </row>
    <row r="52" spans="1:21" x14ac:dyDescent="0.3">
      <c r="A52" t="s">
        <v>790</v>
      </c>
      <c r="E52" t="s">
        <v>466</v>
      </c>
      <c r="F52">
        <v>30.18</v>
      </c>
      <c r="L52" t="s">
        <v>791</v>
      </c>
      <c r="P52" t="s">
        <v>792</v>
      </c>
      <c r="S52">
        <v>293</v>
      </c>
      <c r="T52" t="s">
        <v>490</v>
      </c>
      <c r="U52" t="s">
        <v>793</v>
      </c>
    </row>
    <row r="53" spans="1:21" x14ac:dyDescent="0.3">
      <c r="D53" t="s">
        <v>794</v>
      </c>
      <c r="E53" t="s">
        <v>466</v>
      </c>
      <c r="F53">
        <v>38.86</v>
      </c>
      <c r="L53" t="s">
        <v>795</v>
      </c>
      <c r="M53" t="s">
        <v>796</v>
      </c>
      <c r="N53">
        <v>86.08</v>
      </c>
      <c r="P53">
        <v>0</v>
      </c>
      <c r="U53" s="14">
        <f>(F70+F72)/F58/S52*P53*N53/1000</f>
        <v>0</v>
      </c>
    </row>
    <row r="54" spans="1:21" x14ac:dyDescent="0.3">
      <c r="A54" t="s">
        <v>797</v>
      </c>
      <c r="F54" s="61">
        <f>(F53-F52)/F52</f>
        <v>0.2876076872100729</v>
      </c>
      <c r="L54" t="s">
        <v>798</v>
      </c>
      <c r="N54">
        <v>6.35</v>
      </c>
      <c r="P54">
        <v>18</v>
      </c>
      <c r="U54" s="14">
        <f>(F70+F72)/F58/S52*P54*N54/1000</f>
        <v>1.2580941836024189</v>
      </c>
    </row>
    <row r="55" spans="1:21" ht="15" thickBot="1" x14ac:dyDescent="0.35">
      <c r="A55" t="s">
        <v>799</v>
      </c>
      <c r="F55" s="9">
        <f>F48+F48*F54</f>
        <v>46.650026507620936</v>
      </c>
      <c r="L55" t="s">
        <v>800</v>
      </c>
      <c r="N55">
        <v>2</v>
      </c>
      <c r="P55">
        <v>52650</v>
      </c>
      <c r="U55" s="14">
        <f>(F70+F72)/F58/S52*P55*N55/1000</f>
        <v>1159.0316494604963</v>
      </c>
    </row>
    <row r="56" spans="1:21" ht="15" thickBot="1" x14ac:dyDescent="0.35">
      <c r="A56" t="s">
        <v>801</v>
      </c>
      <c r="F56" s="72">
        <f>F55+F49+F50</f>
        <v>50.740026507620939</v>
      </c>
      <c r="H56" t="s">
        <v>802</v>
      </c>
      <c r="L56" t="s">
        <v>803</v>
      </c>
      <c r="N56">
        <v>86.47</v>
      </c>
      <c r="P56">
        <v>0</v>
      </c>
      <c r="U56" s="14">
        <f>(F70+F72)/F58/S52*P56*N56/1000</f>
        <v>0</v>
      </c>
    </row>
    <row r="57" spans="1:21" x14ac:dyDescent="0.3">
      <c r="A57" t="s">
        <v>804</v>
      </c>
      <c r="F57">
        <v>1</v>
      </c>
      <c r="L57" t="s">
        <v>805</v>
      </c>
      <c r="N57">
        <v>101.1</v>
      </c>
      <c r="P57">
        <v>41.4</v>
      </c>
      <c r="U57" s="14">
        <f>(F70+F72)/F58/S52*P57*N57/1000</f>
        <v>46.070022128042595</v>
      </c>
    </row>
    <row r="58" spans="1:21" x14ac:dyDescent="0.3">
      <c r="A58" t="s">
        <v>468</v>
      </c>
      <c r="F58">
        <v>0.92</v>
      </c>
      <c r="L58" t="s">
        <v>806</v>
      </c>
      <c r="N58">
        <v>1252</v>
      </c>
      <c r="P58">
        <v>0</v>
      </c>
      <c r="U58">
        <v>0</v>
      </c>
    </row>
    <row r="59" spans="1:21" x14ac:dyDescent="0.3">
      <c r="A59" t="s">
        <v>807</v>
      </c>
      <c r="F59">
        <v>1</v>
      </c>
      <c r="T59" t="s">
        <v>808</v>
      </c>
      <c r="U59" s="13">
        <f>SUM(U53:U57)</f>
        <v>1206.3597657721414</v>
      </c>
    </row>
    <row r="60" spans="1:21" x14ac:dyDescent="0.3">
      <c r="A60" t="s">
        <v>809</v>
      </c>
      <c r="F60" s="8">
        <v>0.09</v>
      </c>
      <c r="L60" t="s">
        <v>810</v>
      </c>
      <c r="Q60" t="s">
        <v>466</v>
      </c>
      <c r="R60" s="14">
        <f>U59/F70</f>
        <v>0.44679991324894125</v>
      </c>
    </row>
    <row r="61" spans="1:21" x14ac:dyDescent="0.3">
      <c r="A61" t="s">
        <v>446</v>
      </c>
      <c r="D61" t="s">
        <v>811</v>
      </c>
      <c r="F61" s="10">
        <v>250000</v>
      </c>
      <c r="H61" t="s">
        <v>812</v>
      </c>
    </row>
    <row r="62" spans="1:21" x14ac:dyDescent="0.3">
      <c r="D62" t="s">
        <v>813</v>
      </c>
      <c r="E62" t="s">
        <v>814</v>
      </c>
      <c r="F62" s="10">
        <v>300000</v>
      </c>
      <c r="L62" t="s">
        <v>822</v>
      </c>
      <c r="P62" s="8">
        <v>0.1</v>
      </c>
    </row>
    <row r="63" spans="1:21" x14ac:dyDescent="0.3">
      <c r="A63" t="s">
        <v>527</v>
      </c>
      <c r="F63" s="10">
        <f>(F61+F62)*0.7</f>
        <v>385000</v>
      </c>
      <c r="G63" t="s">
        <v>749</v>
      </c>
      <c r="H63" s="10">
        <f>F61+F62-F63</f>
        <v>165000</v>
      </c>
    </row>
    <row r="64" spans="1:21" x14ac:dyDescent="0.3">
      <c r="A64" t="s">
        <v>815</v>
      </c>
      <c r="F64" s="8">
        <v>0.05</v>
      </c>
      <c r="L64" t="s">
        <v>830</v>
      </c>
      <c r="N64" s="27">
        <v>1.4999999999999999E-2</v>
      </c>
    </row>
    <row r="65" spans="1:19" x14ac:dyDescent="0.3">
      <c r="A65" t="s">
        <v>816</v>
      </c>
      <c r="F65" s="8">
        <v>0.05</v>
      </c>
      <c r="L65" t="s">
        <v>828</v>
      </c>
      <c r="N65" s="27">
        <v>1.4999999999999999E-2</v>
      </c>
    </row>
    <row r="66" spans="1:19" x14ac:dyDescent="0.3">
      <c r="A66" t="s">
        <v>817</v>
      </c>
      <c r="F66" s="27">
        <v>2.5000000000000001E-2</v>
      </c>
      <c r="L66" t="s">
        <v>829</v>
      </c>
      <c r="N66" s="27">
        <v>1.4999999999999999E-2</v>
      </c>
    </row>
    <row r="67" spans="1:19" x14ac:dyDescent="0.3">
      <c r="A67" t="s">
        <v>530</v>
      </c>
      <c r="F67">
        <v>2</v>
      </c>
      <c r="I67" s="1"/>
    </row>
    <row r="68" spans="1:19" x14ac:dyDescent="0.3">
      <c r="A68" t="s">
        <v>818</v>
      </c>
      <c r="E68" t="s">
        <v>460</v>
      </c>
      <c r="F68">
        <v>800</v>
      </c>
    </row>
    <row r="69" spans="1:19" x14ac:dyDescent="0.3">
      <c r="A69" t="s">
        <v>534</v>
      </c>
      <c r="F69" s="8">
        <v>0.05</v>
      </c>
    </row>
    <row r="70" spans="1:19" x14ac:dyDescent="0.3">
      <c r="A70" t="s">
        <v>819</v>
      </c>
      <c r="F70" s="1">
        <v>2700</v>
      </c>
    </row>
    <row r="71" spans="1:19" x14ac:dyDescent="0.3">
      <c r="A71" t="s">
        <v>974</v>
      </c>
      <c r="F71" s="13">
        <f>F70/(1-0.09)</f>
        <v>2967.032967032967</v>
      </c>
    </row>
    <row r="72" spans="1:19" x14ac:dyDescent="0.3">
      <c r="A72" t="s">
        <v>953</v>
      </c>
      <c r="F72" s="32">
        <f>F71*F60</f>
        <v>267.03296703296701</v>
      </c>
    </row>
    <row r="74" spans="1:19" x14ac:dyDescent="0.3">
      <c r="D74" t="s">
        <v>979</v>
      </c>
    </row>
    <row r="76" spans="1:19" x14ac:dyDescent="0.3">
      <c r="D76">
        <v>1500</v>
      </c>
      <c r="E76">
        <v>1600</v>
      </c>
      <c r="F76">
        <v>1700</v>
      </c>
      <c r="G76">
        <v>1800</v>
      </c>
      <c r="H76">
        <v>1900</v>
      </c>
      <c r="I76">
        <v>2000</v>
      </c>
      <c r="J76">
        <v>2100</v>
      </c>
      <c r="K76">
        <v>2200</v>
      </c>
      <c r="L76">
        <v>2300</v>
      </c>
      <c r="M76">
        <v>2400</v>
      </c>
      <c r="N76">
        <v>2500</v>
      </c>
      <c r="O76">
        <v>2600</v>
      </c>
      <c r="P76">
        <v>2700</v>
      </c>
      <c r="Q76">
        <v>2800</v>
      </c>
      <c r="R76">
        <v>2900</v>
      </c>
      <c r="S76">
        <v>3000</v>
      </c>
    </row>
    <row r="77" spans="1:19" x14ac:dyDescent="0.3">
      <c r="D77">
        <v>114</v>
      </c>
      <c r="E77">
        <v>112</v>
      </c>
      <c r="F77">
        <v>110</v>
      </c>
      <c r="G77">
        <v>108</v>
      </c>
      <c r="H77">
        <v>106</v>
      </c>
      <c r="I77">
        <v>105</v>
      </c>
      <c r="J77">
        <v>104</v>
      </c>
      <c r="K77">
        <v>103</v>
      </c>
      <c r="L77">
        <v>102</v>
      </c>
      <c r="M77">
        <v>101</v>
      </c>
      <c r="N77">
        <v>100</v>
      </c>
      <c r="O77">
        <v>99</v>
      </c>
      <c r="P77">
        <v>98</v>
      </c>
      <c r="Q77">
        <v>98</v>
      </c>
      <c r="R77">
        <v>97</v>
      </c>
      <c r="S77">
        <v>96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activeCell="D20" sqref="D20"/>
    </sheetView>
  </sheetViews>
  <sheetFormatPr defaultRowHeight="14.4" x14ac:dyDescent="0.3"/>
  <sheetData>
    <row r="1" spans="1:20" x14ac:dyDescent="0.3">
      <c r="A1" s="28" t="s">
        <v>820</v>
      </c>
    </row>
    <row r="2" spans="1:20" x14ac:dyDescent="0.3"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  <c r="L2">
        <v>2022</v>
      </c>
      <c r="M2">
        <v>2023</v>
      </c>
      <c r="N2">
        <v>2024</v>
      </c>
      <c r="O2">
        <v>2025</v>
      </c>
      <c r="P2">
        <v>2026</v>
      </c>
      <c r="Q2">
        <v>2027</v>
      </c>
      <c r="R2">
        <v>2028</v>
      </c>
      <c r="S2">
        <v>2029</v>
      </c>
      <c r="T2">
        <v>2030</v>
      </c>
    </row>
    <row r="3" spans="1:20" x14ac:dyDescent="0.3">
      <c r="A3" t="s">
        <v>821</v>
      </c>
      <c r="D3" s="13">
        <f>(F67+F69)/F55*F48</f>
        <v>116843.04825609172</v>
      </c>
      <c r="E3" s="13">
        <f>D3*(1+$N$62)</f>
        <v>118595.69397993309</v>
      </c>
      <c r="F3" s="13">
        <f t="shared" ref="F3:T3" si="0">E3*(1+$N$62)</f>
        <v>120374.62938963207</v>
      </c>
      <c r="G3" s="13">
        <f t="shared" si="0"/>
        <v>122180.24883047654</v>
      </c>
      <c r="H3" s="13">
        <f t="shared" si="0"/>
        <v>124012.95256293369</v>
      </c>
      <c r="I3" s="13">
        <f t="shared" si="0"/>
        <v>125873.14685137768</v>
      </c>
      <c r="J3" s="13">
        <f t="shared" si="0"/>
        <v>127761.24405414834</v>
      </c>
      <c r="K3" s="13">
        <f t="shared" si="0"/>
        <v>129677.66271496055</v>
      </c>
      <c r="L3" s="13">
        <f t="shared" si="0"/>
        <v>131622.82765568493</v>
      </c>
      <c r="M3" s="13">
        <f t="shared" si="0"/>
        <v>133597.17007052019</v>
      </c>
      <c r="N3" s="13">
        <f t="shared" si="0"/>
        <v>135601.12762157799</v>
      </c>
      <c r="O3" s="13">
        <f t="shared" si="0"/>
        <v>137635.14453590167</v>
      </c>
      <c r="P3" s="13">
        <f t="shared" si="0"/>
        <v>139699.67170394017</v>
      </c>
      <c r="Q3" s="13">
        <f t="shared" si="0"/>
        <v>141795.16677949927</v>
      </c>
      <c r="R3" s="13">
        <f t="shared" si="0"/>
        <v>143922.09428119173</v>
      </c>
      <c r="S3" s="13">
        <f t="shared" si="0"/>
        <v>146080.92569540959</v>
      </c>
      <c r="T3" s="13">
        <f t="shared" si="0"/>
        <v>148272.13958084071</v>
      </c>
    </row>
    <row r="4" spans="1:20" x14ac:dyDescent="0.3">
      <c r="A4" t="s">
        <v>544</v>
      </c>
      <c r="D4">
        <f>F65*1.34*12*2</f>
        <v>25728</v>
      </c>
      <c r="E4" s="13">
        <f t="shared" ref="E4:T4" si="1">D4*1.015</f>
        <v>26113.919999999998</v>
      </c>
      <c r="F4" s="13">
        <f t="shared" si="1"/>
        <v>26505.628799999995</v>
      </c>
      <c r="G4" s="13">
        <f t="shared" si="1"/>
        <v>26903.213231999991</v>
      </c>
      <c r="H4" s="13">
        <f t="shared" si="1"/>
        <v>27306.76143047999</v>
      </c>
      <c r="I4" s="13">
        <f t="shared" si="1"/>
        <v>27716.362851937189</v>
      </c>
      <c r="J4" s="13">
        <f t="shared" si="1"/>
        <v>28132.108294716243</v>
      </c>
      <c r="K4" s="13">
        <f t="shared" si="1"/>
        <v>28554.089919136983</v>
      </c>
      <c r="L4" s="13">
        <f t="shared" si="1"/>
        <v>28982.401267924033</v>
      </c>
      <c r="M4" s="13">
        <f t="shared" si="1"/>
        <v>29417.137286942892</v>
      </c>
      <c r="N4" s="13">
        <f t="shared" si="1"/>
        <v>29858.394346247034</v>
      </c>
      <c r="O4" s="13">
        <f t="shared" si="1"/>
        <v>30306.270261440735</v>
      </c>
      <c r="P4" s="13">
        <f t="shared" si="1"/>
        <v>30760.864315362345</v>
      </c>
      <c r="Q4" s="13">
        <f t="shared" si="1"/>
        <v>31222.277280092778</v>
      </c>
      <c r="R4" s="13">
        <f t="shared" si="1"/>
        <v>31690.611439294167</v>
      </c>
      <c r="S4" s="13">
        <f t="shared" si="1"/>
        <v>32165.970610883578</v>
      </c>
      <c r="T4" s="13">
        <f t="shared" si="1"/>
        <v>32648.46017004683</v>
      </c>
    </row>
    <row r="5" spans="1:20" x14ac:dyDescent="0.3">
      <c r="A5" t="s">
        <v>536</v>
      </c>
      <c r="D5" s="13">
        <f>O45*O44</f>
        <v>4966.5</v>
      </c>
      <c r="E5" s="13">
        <f>D5*(1+$N$61)</f>
        <v>5090.6624999999995</v>
      </c>
      <c r="F5" s="13">
        <f t="shared" ref="F5:T5" si="2">E5*(1+$N$61)</f>
        <v>5217.9290624999994</v>
      </c>
      <c r="G5" s="13">
        <f t="shared" si="2"/>
        <v>5348.3772890624987</v>
      </c>
      <c r="H5" s="13">
        <f t="shared" si="2"/>
        <v>5482.0867212890607</v>
      </c>
      <c r="I5" s="13">
        <f t="shared" si="2"/>
        <v>5619.138889321287</v>
      </c>
      <c r="J5" s="13">
        <f t="shared" si="2"/>
        <v>5759.6173615543184</v>
      </c>
      <c r="K5" s="13">
        <f t="shared" si="2"/>
        <v>5903.607795593176</v>
      </c>
      <c r="L5" s="13">
        <f t="shared" si="2"/>
        <v>6051.197990483005</v>
      </c>
      <c r="M5" s="13">
        <f t="shared" si="2"/>
        <v>6202.4779402450795</v>
      </c>
      <c r="N5" s="13">
        <f t="shared" si="2"/>
        <v>6357.5398887512056</v>
      </c>
      <c r="O5" s="13">
        <f t="shared" si="2"/>
        <v>6516.4783859699855</v>
      </c>
      <c r="P5" s="13">
        <f t="shared" si="2"/>
        <v>6679.3903456192347</v>
      </c>
      <c r="Q5" s="13">
        <f t="shared" si="2"/>
        <v>6846.375104259715</v>
      </c>
      <c r="R5" s="13">
        <f t="shared" si="2"/>
        <v>7017.534481866207</v>
      </c>
      <c r="S5" s="13">
        <f t="shared" si="2"/>
        <v>7192.9728439128612</v>
      </c>
      <c r="T5" s="13">
        <f t="shared" si="2"/>
        <v>7372.797165010682</v>
      </c>
    </row>
    <row r="6" spans="1:20" x14ac:dyDescent="0.3">
      <c r="A6" t="s">
        <v>537</v>
      </c>
      <c r="D6" s="13">
        <f>U56</f>
        <v>1206.3597657721414</v>
      </c>
      <c r="E6" s="13">
        <f>D6*(1+$P$59)</f>
        <v>1326.9957423493556</v>
      </c>
      <c r="F6" s="13">
        <f t="shared" ref="F6:T6" si="3">E6*(1+$P$59)</f>
        <v>1459.6953165842913</v>
      </c>
      <c r="G6" s="13">
        <f t="shared" si="3"/>
        <v>1605.6648482427206</v>
      </c>
      <c r="H6" s="13">
        <f t="shared" si="3"/>
        <v>1766.2313330669929</v>
      </c>
      <c r="I6" s="13">
        <f t="shared" si="3"/>
        <v>1942.8544663736923</v>
      </c>
      <c r="J6" s="13">
        <f t="shared" si="3"/>
        <v>2137.1399130110617</v>
      </c>
      <c r="K6" s="13">
        <f t="shared" si="3"/>
        <v>2350.8539043121682</v>
      </c>
      <c r="L6" s="13">
        <f t="shared" si="3"/>
        <v>2585.9392947433853</v>
      </c>
      <c r="M6" s="13">
        <f t="shared" si="3"/>
        <v>2844.5332242177242</v>
      </c>
      <c r="N6" s="13">
        <f t="shared" si="3"/>
        <v>3128.9865466394967</v>
      </c>
      <c r="O6" s="13">
        <f t="shared" si="3"/>
        <v>3441.8852013034466</v>
      </c>
      <c r="P6" s="13">
        <f t="shared" si="3"/>
        <v>3786.0737214337914</v>
      </c>
      <c r="Q6" s="13">
        <f t="shared" si="3"/>
        <v>4164.6810935771709</v>
      </c>
      <c r="R6" s="13">
        <f t="shared" si="3"/>
        <v>4581.1492029348883</v>
      </c>
      <c r="S6" s="13">
        <f t="shared" si="3"/>
        <v>5039.2641232283777</v>
      </c>
      <c r="T6" s="13">
        <f t="shared" si="3"/>
        <v>5543.1905355512163</v>
      </c>
    </row>
    <row r="7" spans="1:20" x14ac:dyDescent="0.3">
      <c r="A7" t="s">
        <v>823</v>
      </c>
      <c r="D7" s="13">
        <f t="shared" ref="D7:T7" si="4">SUM(D3:D6)*0.04</f>
        <v>5949.7563208745551</v>
      </c>
      <c r="E7" s="13">
        <f t="shared" si="4"/>
        <v>6045.0908888912982</v>
      </c>
      <c r="F7" s="13">
        <f t="shared" si="4"/>
        <v>6142.3153027486533</v>
      </c>
      <c r="G7" s="13">
        <f t="shared" si="4"/>
        <v>6241.5001679912702</v>
      </c>
      <c r="H7" s="13">
        <f t="shared" si="4"/>
        <v>6342.721281910789</v>
      </c>
      <c r="I7" s="13">
        <f t="shared" si="4"/>
        <v>6446.0601223603944</v>
      </c>
      <c r="J7" s="13">
        <f t="shared" si="4"/>
        <v>6551.6043849371981</v>
      </c>
      <c r="K7" s="13">
        <f t="shared" si="4"/>
        <v>6659.448573360115</v>
      </c>
      <c r="L7" s="13">
        <f t="shared" si="4"/>
        <v>6769.694648353413</v>
      </c>
      <c r="M7" s="13">
        <f t="shared" si="4"/>
        <v>6882.4527408770346</v>
      </c>
      <c r="N7" s="13">
        <f t="shared" si="4"/>
        <v>6997.8419361286287</v>
      </c>
      <c r="O7" s="13">
        <f t="shared" si="4"/>
        <v>7115.9911353846337</v>
      </c>
      <c r="P7" s="13">
        <f t="shared" si="4"/>
        <v>7237.0400034542217</v>
      </c>
      <c r="Q7" s="13">
        <f t="shared" si="4"/>
        <v>7361.1400102971575</v>
      </c>
      <c r="R7" s="13">
        <f t="shared" si="4"/>
        <v>7488.4555762114796</v>
      </c>
      <c r="S7" s="13">
        <f t="shared" si="4"/>
        <v>7619.1653309373769</v>
      </c>
      <c r="T7" s="13">
        <f t="shared" si="4"/>
        <v>7753.4634980579785</v>
      </c>
    </row>
    <row r="8" spans="1:20" x14ac:dyDescent="0.3">
      <c r="A8" t="s">
        <v>731</v>
      </c>
      <c r="D8" s="13">
        <f t="shared" ref="D8:T8" si="5">SUM(D3:D7)</f>
        <v>154693.66434273843</v>
      </c>
      <c r="E8" s="13">
        <f t="shared" si="5"/>
        <v>157172.36311117376</v>
      </c>
      <c r="F8" s="13">
        <f t="shared" si="5"/>
        <v>159700.19787146497</v>
      </c>
      <c r="G8" s="13">
        <f t="shared" si="5"/>
        <v>162279.00436777301</v>
      </c>
      <c r="H8" s="13">
        <f t="shared" si="5"/>
        <v>164910.7533296805</v>
      </c>
      <c r="I8" s="13">
        <f t="shared" si="5"/>
        <v>167597.56318137023</v>
      </c>
      <c r="J8" s="13">
        <f t="shared" si="5"/>
        <v>170341.71400836715</v>
      </c>
      <c r="K8" s="13">
        <f t="shared" si="5"/>
        <v>173145.66290736297</v>
      </c>
      <c r="L8" s="13">
        <f t="shared" si="5"/>
        <v>176012.06085718874</v>
      </c>
      <c r="M8" s="13">
        <f t="shared" si="5"/>
        <v>178943.77126280288</v>
      </c>
      <c r="N8" s="13">
        <f t="shared" si="5"/>
        <v>181943.89033934433</v>
      </c>
      <c r="O8" s="13">
        <f t="shared" si="5"/>
        <v>185015.76952000047</v>
      </c>
      <c r="P8" s="13">
        <f t="shared" si="5"/>
        <v>188163.04008980977</v>
      </c>
      <c r="Q8" s="13">
        <f t="shared" si="5"/>
        <v>191389.64026772609</v>
      </c>
      <c r="R8" s="13">
        <f t="shared" si="5"/>
        <v>194699.84498149846</v>
      </c>
      <c r="S8" s="13">
        <f t="shared" si="5"/>
        <v>198098.29860437178</v>
      </c>
      <c r="T8" s="13">
        <f t="shared" si="5"/>
        <v>201590.05094950742</v>
      </c>
    </row>
    <row r="9" spans="1:20" x14ac:dyDescent="0.3">
      <c r="A9" t="s">
        <v>547</v>
      </c>
      <c r="D9">
        <f>$F$58*$F$62+$F$59*$F$63</f>
        <v>20000</v>
      </c>
      <c r="E9">
        <f>D9</f>
        <v>20000</v>
      </c>
      <c r="F9">
        <f>D9</f>
        <v>20000</v>
      </c>
      <c r="G9">
        <f>D9</f>
        <v>20000</v>
      </c>
      <c r="H9">
        <f>D9</f>
        <v>20000</v>
      </c>
      <c r="I9">
        <f>D9</f>
        <v>20000</v>
      </c>
      <c r="J9">
        <f>D9</f>
        <v>20000</v>
      </c>
      <c r="K9">
        <f>D9</f>
        <v>20000</v>
      </c>
      <c r="L9">
        <f>D9</f>
        <v>20000</v>
      </c>
      <c r="M9">
        <f>D9</f>
        <v>20000</v>
      </c>
      <c r="N9">
        <f>D9</f>
        <v>20000</v>
      </c>
      <c r="O9">
        <f>D9</f>
        <v>20000</v>
      </c>
      <c r="P9">
        <f>D9</f>
        <v>20000</v>
      </c>
      <c r="Q9">
        <f>D9</f>
        <v>20000</v>
      </c>
      <c r="R9">
        <f>D9</f>
        <v>20000</v>
      </c>
      <c r="S9">
        <f>D9</f>
        <v>20000</v>
      </c>
      <c r="T9">
        <f>D9</f>
        <v>20000</v>
      </c>
    </row>
    <row r="10" spans="1:20" x14ac:dyDescent="0.3">
      <c r="A10" t="s">
        <v>730</v>
      </c>
      <c r="D10">
        <f>$F$60/10</f>
        <v>38500</v>
      </c>
      <c r="E10">
        <f>D10</f>
        <v>38500</v>
      </c>
      <c r="F10">
        <f>D10</f>
        <v>38500</v>
      </c>
      <c r="G10">
        <f>D10</f>
        <v>38500</v>
      </c>
      <c r="H10">
        <f>D10</f>
        <v>38500</v>
      </c>
      <c r="I10">
        <f>D10</f>
        <v>38500</v>
      </c>
      <c r="J10">
        <f>D10</f>
        <v>38500</v>
      </c>
      <c r="K10">
        <f>D10</f>
        <v>38500</v>
      </c>
      <c r="L10">
        <f>D10</f>
        <v>38500</v>
      </c>
      <c r="M10">
        <f>D10</f>
        <v>38500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3">
      <c r="A11" t="s">
        <v>732</v>
      </c>
      <c r="D11" s="10">
        <f>$F$60-D10</f>
        <v>346500</v>
      </c>
      <c r="E11" s="10">
        <f t="shared" ref="E11:M11" si="6">D11-E10</f>
        <v>308000</v>
      </c>
      <c r="F11" s="10">
        <f t="shared" si="6"/>
        <v>269500</v>
      </c>
      <c r="G11" s="10">
        <f t="shared" si="6"/>
        <v>231000</v>
      </c>
      <c r="H11" s="10">
        <f t="shared" si="6"/>
        <v>192500</v>
      </c>
      <c r="I11" s="10">
        <f t="shared" si="6"/>
        <v>154000</v>
      </c>
      <c r="J11" s="10">
        <f t="shared" si="6"/>
        <v>115500</v>
      </c>
      <c r="K11" s="10">
        <f t="shared" si="6"/>
        <v>77000</v>
      </c>
      <c r="L11" s="10">
        <f t="shared" si="6"/>
        <v>38500</v>
      </c>
      <c r="M11" s="10">
        <f t="shared" si="6"/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3">
      <c r="A12" t="s">
        <v>733</v>
      </c>
      <c r="D12">
        <f t="shared" ref="D12:L12" si="7">D11*$F$61</f>
        <v>17325</v>
      </c>
      <c r="E12">
        <f t="shared" si="7"/>
        <v>15400</v>
      </c>
      <c r="F12">
        <f t="shared" si="7"/>
        <v>13475</v>
      </c>
      <c r="G12">
        <f t="shared" si="7"/>
        <v>11550</v>
      </c>
      <c r="H12">
        <f t="shared" si="7"/>
        <v>9625</v>
      </c>
      <c r="I12">
        <f t="shared" si="7"/>
        <v>7700</v>
      </c>
      <c r="J12">
        <f t="shared" si="7"/>
        <v>5775</v>
      </c>
      <c r="K12">
        <f t="shared" si="7"/>
        <v>3850</v>
      </c>
      <c r="L12">
        <f t="shared" si="7"/>
        <v>1925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3">
      <c r="A13" t="s">
        <v>758</v>
      </c>
      <c r="D13" s="13">
        <f t="shared" ref="D13:T13" si="8">D8+D10+D12</f>
        <v>210518.66434273843</v>
      </c>
      <c r="E13" s="13">
        <f t="shared" si="8"/>
        <v>211072.36311117376</v>
      </c>
      <c r="F13" s="13">
        <f t="shared" si="8"/>
        <v>211675.19787146497</v>
      </c>
      <c r="G13" s="13">
        <f t="shared" si="8"/>
        <v>212329.00436777301</v>
      </c>
      <c r="H13" s="13">
        <f t="shared" si="8"/>
        <v>213035.7533296805</v>
      </c>
      <c r="I13" s="13">
        <f t="shared" si="8"/>
        <v>213797.56318137023</v>
      </c>
      <c r="J13" s="13">
        <f t="shared" si="8"/>
        <v>214616.71400836715</v>
      </c>
      <c r="K13" s="13">
        <f t="shared" si="8"/>
        <v>215495.66290736297</v>
      </c>
      <c r="L13" s="13">
        <f t="shared" si="8"/>
        <v>216437.06085718874</v>
      </c>
      <c r="M13" s="13">
        <f t="shared" si="8"/>
        <v>217443.77126280288</v>
      </c>
      <c r="N13" s="13">
        <f t="shared" si="8"/>
        <v>181943.89033934433</v>
      </c>
      <c r="O13" s="13">
        <f t="shared" si="8"/>
        <v>185015.76952000047</v>
      </c>
      <c r="P13" s="13">
        <f t="shared" si="8"/>
        <v>188163.04008980977</v>
      </c>
      <c r="Q13" s="13">
        <f t="shared" si="8"/>
        <v>191389.64026772609</v>
      </c>
      <c r="R13" s="13">
        <f t="shared" si="8"/>
        <v>194699.84498149846</v>
      </c>
      <c r="S13" s="13">
        <f t="shared" si="8"/>
        <v>198098.29860437178</v>
      </c>
      <c r="T13" s="13">
        <f t="shared" si="8"/>
        <v>201590.05094950742</v>
      </c>
    </row>
    <row r="14" spans="1:20" x14ac:dyDescent="0.3">
      <c r="A14" t="s">
        <v>824</v>
      </c>
      <c r="D14" s="14">
        <f>D13/F67</f>
        <v>77.969875682495712</v>
      </c>
      <c r="E14" s="14">
        <f>E13/F67</f>
        <v>78.174949300434733</v>
      </c>
      <c r="F14" s="14">
        <f>F13/F67</f>
        <v>78.398221433875918</v>
      </c>
      <c r="G14" s="14">
        <f>G13/F67</f>
        <v>78.640371988064075</v>
      </c>
      <c r="H14" s="14">
        <f>H13/F67</f>
        <v>78.902130862844629</v>
      </c>
      <c r="I14" s="14">
        <f>I13/F67</f>
        <v>79.184282659766751</v>
      </c>
      <c r="J14" s="14">
        <f>J13/F67</f>
        <v>79.487671854950804</v>
      </c>
      <c r="K14" s="14">
        <f>K13/F67</f>
        <v>79.813208484208502</v>
      </c>
      <c r="L14" s="14">
        <f>L13/F67</f>
        <v>80.161874391551393</v>
      </c>
      <c r="M14" s="14">
        <f>M13/F67</f>
        <v>80.534730097334403</v>
      </c>
      <c r="N14" s="14">
        <f>N13/F67</f>
        <v>67.386626051609014</v>
      </c>
      <c r="O14" s="14">
        <f>O13/F67</f>
        <v>68.524359081481649</v>
      </c>
      <c r="P14" s="14">
        <f>P13/F67</f>
        <v>69.690014848077695</v>
      </c>
      <c r="Q14" s="14">
        <f>Q13/F67</f>
        <v>70.885051951009658</v>
      </c>
      <c r="R14" s="14">
        <f>R13/F67</f>
        <v>72.111053696851286</v>
      </c>
      <c r="S14" s="14">
        <f>S13/F67</f>
        <v>73.369740223841404</v>
      </c>
      <c r="T14" s="14">
        <f>T13/F67</f>
        <v>74.662981833150894</v>
      </c>
    </row>
    <row r="15" spans="1:20" x14ac:dyDescent="0.3">
      <c r="A15" t="s">
        <v>740</v>
      </c>
      <c r="D15" s="13">
        <f t="shared" ref="D15:T15" si="9">D21-D8-D12</f>
        <v>38041.335657261574</v>
      </c>
      <c r="E15" s="13">
        <f t="shared" si="9"/>
        <v>42739.136888826208</v>
      </c>
      <c r="F15" s="13">
        <f t="shared" si="9"/>
        <v>47519.089628534974</v>
      </c>
      <c r="G15" s="13">
        <f t="shared" si="9"/>
        <v>52382.640319726925</v>
      </c>
      <c r="H15" s="13">
        <f t="shared" si="9"/>
        <v>57331.182475006935</v>
      </c>
      <c r="I15" s="13">
        <f t="shared" si="9"/>
        <v>62366.046018434368</v>
      </c>
      <c r="J15" s="13">
        <f t="shared" si="9"/>
        <v>67488.485421432531</v>
      </c>
      <c r="K15" s="13">
        <f t="shared" si="9"/>
        <v>72699.666508181719</v>
      </c>
      <c r="L15" s="13">
        <f t="shared" si="9"/>
        <v>78000.651793744561</v>
      </c>
      <c r="M15" s="13">
        <f t="shared" si="9"/>
        <v>83392.38420440373</v>
      </c>
      <c r="N15" s="13">
        <f t="shared" si="9"/>
        <v>86950.669014542422</v>
      </c>
      <c r="O15" s="13">
        <f t="shared" si="9"/>
        <v>90601.15381773343</v>
      </c>
      <c r="P15" s="13">
        <f t="shared" si="9"/>
        <v>94344.306331367436</v>
      </c>
      <c r="Q15" s="13">
        <f t="shared" si="9"/>
        <v>98180.389813980495</v>
      </c>
      <c r="R15" s="13">
        <f t="shared" si="9"/>
        <v>102109.43585225075</v>
      </c>
      <c r="S15" s="13">
        <f t="shared" si="9"/>
        <v>106131.21425022115</v>
      </c>
      <c r="T15" s="13">
        <f t="shared" si="9"/>
        <v>110245.19972645029</v>
      </c>
    </row>
    <row r="16" spans="1:20" x14ac:dyDescent="0.3">
      <c r="A16" t="s">
        <v>741</v>
      </c>
      <c r="D16" s="13">
        <f t="shared" ref="D16:T16" si="10">D21-D13</f>
        <v>-458.66434273842606</v>
      </c>
      <c r="E16" s="13">
        <f t="shared" si="10"/>
        <v>4239.1368888262077</v>
      </c>
      <c r="F16" s="13">
        <f t="shared" si="10"/>
        <v>9019.0896285349736</v>
      </c>
      <c r="G16" s="13">
        <f t="shared" si="10"/>
        <v>13882.640319726925</v>
      </c>
      <c r="H16" s="13">
        <f t="shared" si="10"/>
        <v>18831.182475006935</v>
      </c>
      <c r="I16" s="13">
        <f t="shared" si="10"/>
        <v>23866.046018434368</v>
      </c>
      <c r="J16" s="13">
        <f t="shared" si="10"/>
        <v>28988.485421432531</v>
      </c>
      <c r="K16" s="13">
        <f t="shared" si="10"/>
        <v>34199.666508181719</v>
      </c>
      <c r="L16" s="13">
        <f t="shared" si="10"/>
        <v>39500.651793744561</v>
      </c>
      <c r="M16" s="13">
        <f t="shared" si="10"/>
        <v>44892.38420440373</v>
      </c>
      <c r="N16" s="13">
        <f t="shared" si="10"/>
        <v>86950.669014542422</v>
      </c>
      <c r="O16" s="13">
        <f t="shared" si="10"/>
        <v>90601.15381773343</v>
      </c>
      <c r="P16" s="13">
        <f t="shared" si="10"/>
        <v>94344.306331367436</v>
      </c>
      <c r="Q16" s="13">
        <f t="shared" si="10"/>
        <v>98180.389813980495</v>
      </c>
      <c r="R16" s="13">
        <f t="shared" si="10"/>
        <v>102109.43585225075</v>
      </c>
      <c r="S16" s="13">
        <f t="shared" si="10"/>
        <v>106131.21425022115</v>
      </c>
      <c r="T16" s="13">
        <f t="shared" si="10"/>
        <v>110245.19972645029</v>
      </c>
    </row>
    <row r="17" spans="1:20" x14ac:dyDescent="0.3">
      <c r="A17" t="s">
        <v>755</v>
      </c>
      <c r="D17" s="10">
        <f>F60+D15+D9-F58-F59-D10+H60</f>
        <v>19541.335657261545</v>
      </c>
      <c r="E17" s="10">
        <f>E15+E9-E10</f>
        <v>24239.136888826208</v>
      </c>
      <c r="F17" s="10">
        <f>F15+F9-F10</f>
        <v>29019.089628534974</v>
      </c>
      <c r="G17" s="13">
        <f t="shared" ref="G17:T17" si="11">G15+G9-G10</f>
        <v>33882.640319726925</v>
      </c>
      <c r="H17" s="13">
        <f t="shared" si="11"/>
        <v>38831.182475006935</v>
      </c>
      <c r="I17" s="13">
        <f t="shared" si="11"/>
        <v>43866.046018434368</v>
      </c>
      <c r="J17" s="13">
        <f t="shared" si="11"/>
        <v>48988.485421432531</v>
      </c>
      <c r="K17" s="13">
        <f t="shared" si="11"/>
        <v>54199.666508181719</v>
      </c>
      <c r="L17" s="13">
        <f>L15+L9-L10</f>
        <v>59500.651793744561</v>
      </c>
      <c r="M17" s="13">
        <f t="shared" si="11"/>
        <v>64892.38420440373</v>
      </c>
      <c r="N17" s="13">
        <f t="shared" si="11"/>
        <v>106950.66901454242</v>
      </c>
      <c r="O17" s="13">
        <f t="shared" si="11"/>
        <v>110601.15381773343</v>
      </c>
      <c r="P17" s="13">
        <f t="shared" si="11"/>
        <v>114344.30633136744</v>
      </c>
      <c r="Q17" s="13">
        <f t="shared" si="11"/>
        <v>118180.3898139805</v>
      </c>
      <c r="R17" s="13">
        <f t="shared" si="11"/>
        <v>122109.43585225075</v>
      </c>
      <c r="S17" s="13">
        <f t="shared" si="11"/>
        <v>126131.21425022115</v>
      </c>
      <c r="T17" s="13">
        <f t="shared" si="11"/>
        <v>130245.19972645029</v>
      </c>
    </row>
    <row r="18" spans="1:20" ht="15" thickBot="1" x14ac:dyDescent="0.35">
      <c r="A18" t="s">
        <v>742</v>
      </c>
      <c r="D18" s="10">
        <f>D17</f>
        <v>19541.335657261545</v>
      </c>
      <c r="E18" s="10">
        <f t="shared" ref="E18:T18" si="12">D18+E17</f>
        <v>43780.472546087753</v>
      </c>
      <c r="F18" s="10">
        <f t="shared" si="12"/>
        <v>72799.562174622726</v>
      </c>
      <c r="G18" s="10">
        <f t="shared" si="12"/>
        <v>106682.20249434965</v>
      </c>
      <c r="H18" s="10">
        <f t="shared" si="12"/>
        <v>145513.38496935659</v>
      </c>
      <c r="I18" s="10">
        <f t="shared" si="12"/>
        <v>189379.43098779095</v>
      </c>
      <c r="J18" s="10">
        <f t="shared" si="12"/>
        <v>238367.91640922349</v>
      </c>
      <c r="K18" s="10">
        <f t="shared" si="12"/>
        <v>292567.58291740518</v>
      </c>
      <c r="L18" s="10">
        <f>K18+L17</f>
        <v>352068.23471114971</v>
      </c>
      <c r="M18" s="10">
        <f t="shared" si="12"/>
        <v>416960.61891555344</v>
      </c>
      <c r="N18" s="10">
        <f t="shared" si="12"/>
        <v>523911.28793009586</v>
      </c>
      <c r="O18" s="10">
        <f t="shared" si="12"/>
        <v>634512.44174782932</v>
      </c>
      <c r="P18" s="10">
        <f t="shared" si="12"/>
        <v>748856.74807919678</v>
      </c>
      <c r="Q18" s="10">
        <f t="shared" si="12"/>
        <v>867037.13789317734</v>
      </c>
      <c r="R18" s="10">
        <f t="shared" si="12"/>
        <v>989146.57374542812</v>
      </c>
      <c r="S18" s="10">
        <f t="shared" si="12"/>
        <v>1115277.7879956493</v>
      </c>
      <c r="T18" s="10">
        <f t="shared" si="12"/>
        <v>1245522.9877220995</v>
      </c>
    </row>
    <row r="19" spans="1:20" ht="15" thickBot="1" x14ac:dyDescent="0.35">
      <c r="A19" t="s">
        <v>743</v>
      </c>
      <c r="B19" s="67">
        <f>NPV(D19,D17:T17)-H60</f>
        <v>286709.33555435145</v>
      </c>
      <c r="D19" s="70">
        <v>0.1</v>
      </c>
    </row>
    <row r="20" spans="1:20" x14ac:dyDescent="0.3">
      <c r="A20" t="s">
        <v>735</v>
      </c>
      <c r="D20" s="10">
        <f>F58+F59</f>
        <v>550000</v>
      </c>
      <c r="E20">
        <f t="shared" ref="E20:T20" si="13">D20-$F$58*$F62-$F$59*$F$63</f>
        <v>530000</v>
      </c>
      <c r="F20">
        <f t="shared" si="13"/>
        <v>510000</v>
      </c>
      <c r="G20">
        <f t="shared" si="13"/>
        <v>490000</v>
      </c>
      <c r="H20">
        <f t="shared" si="13"/>
        <v>470000</v>
      </c>
      <c r="I20">
        <f t="shared" si="13"/>
        <v>450000</v>
      </c>
      <c r="J20">
        <f t="shared" si="13"/>
        <v>430000</v>
      </c>
      <c r="K20">
        <f t="shared" si="13"/>
        <v>410000</v>
      </c>
      <c r="L20">
        <f t="shared" si="13"/>
        <v>390000</v>
      </c>
      <c r="M20">
        <f t="shared" si="13"/>
        <v>370000</v>
      </c>
      <c r="N20">
        <f t="shared" si="13"/>
        <v>350000</v>
      </c>
      <c r="O20">
        <f t="shared" si="13"/>
        <v>330000</v>
      </c>
      <c r="P20">
        <f t="shared" si="13"/>
        <v>310000</v>
      </c>
      <c r="Q20">
        <f t="shared" si="13"/>
        <v>290000</v>
      </c>
      <c r="R20">
        <f t="shared" si="13"/>
        <v>270000</v>
      </c>
      <c r="S20">
        <f t="shared" si="13"/>
        <v>250000</v>
      </c>
      <c r="T20">
        <f t="shared" si="13"/>
        <v>230000</v>
      </c>
    </row>
    <row r="21" spans="1:20" x14ac:dyDescent="0.3">
      <c r="A21" t="s">
        <v>549</v>
      </c>
      <c r="D21" s="13">
        <f>D22*$F$67</f>
        <v>210060</v>
      </c>
      <c r="E21" s="13">
        <f t="shared" ref="E21:T21" si="14">E22*$F$67</f>
        <v>215311.49999999997</v>
      </c>
      <c r="F21" s="13">
        <f t="shared" si="14"/>
        <v>220694.28749999995</v>
      </c>
      <c r="G21" s="13">
        <f t="shared" si="14"/>
        <v>226211.64468749994</v>
      </c>
      <c r="H21" s="13">
        <f t="shared" si="14"/>
        <v>231866.93580468744</v>
      </c>
      <c r="I21" s="13">
        <f t="shared" si="14"/>
        <v>237663.6091998046</v>
      </c>
      <c r="J21" s="13">
        <f t="shared" si="14"/>
        <v>243605.19942979969</v>
      </c>
      <c r="K21" s="13">
        <f t="shared" si="14"/>
        <v>249695.32941554469</v>
      </c>
      <c r="L21" s="13">
        <f t="shared" si="14"/>
        <v>255937.7126509333</v>
      </c>
      <c r="M21" s="13">
        <f t="shared" si="14"/>
        <v>262336.15546720661</v>
      </c>
      <c r="N21" s="13">
        <f t="shared" si="14"/>
        <v>268894.55935388675</v>
      </c>
      <c r="O21" s="13">
        <f t="shared" si="14"/>
        <v>275616.9233377339</v>
      </c>
      <c r="P21" s="13">
        <f t="shared" si="14"/>
        <v>282507.34642117721</v>
      </c>
      <c r="Q21" s="13">
        <f t="shared" si="14"/>
        <v>289570.03008170659</v>
      </c>
      <c r="R21" s="13">
        <f t="shared" si="14"/>
        <v>296809.28083374922</v>
      </c>
      <c r="S21" s="13">
        <f t="shared" si="14"/>
        <v>304229.51285459293</v>
      </c>
      <c r="T21" s="13">
        <f t="shared" si="14"/>
        <v>311835.25067595771</v>
      </c>
    </row>
    <row r="22" spans="1:20" s="14" customFormat="1" x14ac:dyDescent="0.3">
      <c r="A22" s="14" t="s">
        <v>827</v>
      </c>
      <c r="D22" s="14">
        <v>77.8</v>
      </c>
      <c r="E22" s="14">
        <f>(1+$N$61)*D22</f>
        <v>79.74499999999999</v>
      </c>
      <c r="F22" s="14">
        <f t="shared" ref="F22:T22" si="15">(1+$N$61)*E22</f>
        <v>81.738624999999985</v>
      </c>
      <c r="G22" s="14">
        <f t="shared" si="15"/>
        <v>83.782090624999981</v>
      </c>
      <c r="H22" s="14">
        <f t="shared" si="15"/>
        <v>85.876642890624979</v>
      </c>
      <c r="I22" s="14">
        <f t="shared" si="15"/>
        <v>88.02355896289059</v>
      </c>
      <c r="J22" s="14">
        <f t="shared" si="15"/>
        <v>90.224147936962851</v>
      </c>
      <c r="K22" s="14">
        <f t="shared" si="15"/>
        <v>92.479751635386918</v>
      </c>
      <c r="L22" s="14">
        <f t="shared" si="15"/>
        <v>94.791745426271589</v>
      </c>
      <c r="M22" s="14">
        <f t="shared" si="15"/>
        <v>97.161539061928366</v>
      </c>
      <c r="N22" s="14">
        <f t="shared" si="15"/>
        <v>99.590577538476566</v>
      </c>
      <c r="O22" s="14">
        <f t="shared" si="15"/>
        <v>102.08034197693847</v>
      </c>
      <c r="P22" s="14">
        <f t="shared" si="15"/>
        <v>104.63235052636192</v>
      </c>
      <c r="Q22" s="14">
        <f t="shared" si="15"/>
        <v>107.24815928952096</v>
      </c>
      <c r="R22" s="14">
        <f t="shared" si="15"/>
        <v>109.92936327175897</v>
      </c>
      <c r="S22" s="14">
        <f t="shared" si="15"/>
        <v>112.67759735355294</v>
      </c>
      <c r="T22" s="14">
        <f t="shared" si="15"/>
        <v>115.49453728739175</v>
      </c>
    </row>
    <row r="23" spans="1:20" ht="15" thickBot="1" x14ac:dyDescent="0.35"/>
    <row r="24" spans="1:20" ht="15" thickBot="1" x14ac:dyDescent="0.35">
      <c r="A24" t="s">
        <v>838</v>
      </c>
      <c r="F24" s="30">
        <f>T22</f>
        <v>115.49453728739175</v>
      </c>
      <c r="G24" t="s">
        <v>466</v>
      </c>
    </row>
    <row r="26" spans="1:20" ht="15" thickBot="1" x14ac:dyDescent="0.35">
      <c r="A26">
        <v>60</v>
      </c>
      <c r="B26" t="s">
        <v>840</v>
      </c>
      <c r="C26">
        <v>100</v>
      </c>
      <c r="D26" t="s">
        <v>839</v>
      </c>
      <c r="F26" t="s">
        <v>841</v>
      </c>
    </row>
    <row r="27" spans="1:20" ht="15" thickBot="1" x14ac:dyDescent="0.35">
      <c r="D27" s="71">
        <f>A26*C26*D22/1000</f>
        <v>466.8</v>
      </c>
      <c r="E27" s="13">
        <f>A26*C26*E22/1000</f>
        <v>478.46999999999991</v>
      </c>
      <c r="F27" s="13">
        <f>A26*C26*F22/1000</f>
        <v>490.43174999999991</v>
      </c>
      <c r="G27" s="13">
        <f>A26*C26*G22/1000</f>
        <v>502.69254374999991</v>
      </c>
      <c r="H27" s="13">
        <f>A26*C26*H22/1000</f>
        <v>515.2598573437499</v>
      </c>
      <c r="I27" s="13">
        <f>A26*C26*I22/1000</f>
        <v>528.14135377734351</v>
      </c>
      <c r="J27" s="71">
        <f>A26*C26*J22/1000</f>
        <v>541.34488762177716</v>
      </c>
      <c r="K27" s="13">
        <f>A26*C26*K22/1000</f>
        <v>554.87850981232157</v>
      </c>
      <c r="L27" s="13">
        <f>A26*C26*L22/1000</f>
        <v>568.75047255762956</v>
      </c>
      <c r="M27" s="13">
        <f>A26*C26*M22/1000</f>
        <v>582.96923437157022</v>
      </c>
      <c r="N27" s="13"/>
      <c r="O27" s="13"/>
      <c r="P27" s="13"/>
      <c r="Q27" s="13"/>
      <c r="R27" s="13"/>
      <c r="S27" s="13"/>
      <c r="T27" s="71">
        <f>A26*C26*T22/1000</f>
        <v>692.96722372435045</v>
      </c>
    </row>
    <row r="28" spans="1:20" x14ac:dyDescent="0.3">
      <c r="M28" s="13">
        <f>SUM(D27:M27)</f>
        <v>5229.7386092343913</v>
      </c>
    </row>
    <row r="29" spans="1:20" x14ac:dyDescent="0.3">
      <c r="A29" t="s">
        <v>842</v>
      </c>
      <c r="D29" s="8">
        <v>0.02</v>
      </c>
      <c r="E29" t="s">
        <v>843</v>
      </c>
    </row>
    <row r="31" spans="1:20" x14ac:dyDescent="0.3">
      <c r="A31">
        <v>2031</v>
      </c>
      <c r="B31">
        <v>2032</v>
      </c>
      <c r="C31">
        <v>2033</v>
      </c>
      <c r="D31">
        <v>2034</v>
      </c>
      <c r="E31">
        <v>2035</v>
      </c>
      <c r="F31">
        <v>2036</v>
      </c>
      <c r="G31">
        <v>2037</v>
      </c>
      <c r="H31">
        <v>2038</v>
      </c>
      <c r="I31">
        <v>2039</v>
      </c>
      <c r="J31">
        <v>2040</v>
      </c>
      <c r="K31">
        <v>2041</v>
      </c>
      <c r="L31">
        <v>2042</v>
      </c>
      <c r="M31">
        <v>2043</v>
      </c>
      <c r="N31">
        <v>2044</v>
      </c>
      <c r="O31">
        <v>2045</v>
      </c>
      <c r="P31">
        <v>2046</v>
      </c>
      <c r="Q31">
        <v>2047</v>
      </c>
      <c r="R31">
        <v>2048</v>
      </c>
      <c r="S31">
        <v>2049</v>
      </c>
      <c r="T31">
        <v>2050</v>
      </c>
    </row>
    <row r="32" spans="1:20" x14ac:dyDescent="0.3">
      <c r="A32" s="13">
        <f>T22*1.02</f>
        <v>117.80442803313959</v>
      </c>
      <c r="B32" s="13">
        <f t="shared" ref="B32:T32" si="16">A32*1.02</f>
        <v>120.16051659380238</v>
      </c>
      <c r="C32" s="13">
        <f t="shared" si="16"/>
        <v>122.56372692567844</v>
      </c>
      <c r="D32" s="13">
        <f t="shared" si="16"/>
        <v>125.01500146419201</v>
      </c>
      <c r="E32" s="13">
        <f t="shared" si="16"/>
        <v>127.51530149347586</v>
      </c>
      <c r="F32" s="13">
        <f t="shared" si="16"/>
        <v>130.06560752334539</v>
      </c>
      <c r="G32" s="13">
        <f t="shared" si="16"/>
        <v>132.66691967381232</v>
      </c>
      <c r="H32" s="13">
        <f t="shared" si="16"/>
        <v>135.32025806728856</v>
      </c>
      <c r="I32" s="13">
        <f t="shared" si="16"/>
        <v>138.02666322863433</v>
      </c>
      <c r="J32" s="13">
        <f t="shared" si="16"/>
        <v>140.78719649320703</v>
      </c>
      <c r="K32" s="13">
        <f t="shared" si="16"/>
        <v>143.60294042307117</v>
      </c>
      <c r="L32" s="13">
        <f t="shared" si="16"/>
        <v>146.47499923153259</v>
      </c>
      <c r="M32" s="13">
        <f t="shared" si="16"/>
        <v>149.40449921616326</v>
      </c>
      <c r="N32" s="13">
        <f t="shared" si="16"/>
        <v>152.39258920048653</v>
      </c>
      <c r="O32" s="13">
        <f t="shared" si="16"/>
        <v>155.44044098449626</v>
      </c>
      <c r="P32" s="13">
        <f t="shared" si="16"/>
        <v>158.54924980418619</v>
      </c>
      <c r="Q32" s="13">
        <f t="shared" si="16"/>
        <v>161.72023480026991</v>
      </c>
      <c r="R32" s="13">
        <f t="shared" si="16"/>
        <v>164.95463949627532</v>
      </c>
      <c r="S32" s="13">
        <f t="shared" si="16"/>
        <v>168.25373228620083</v>
      </c>
      <c r="T32" s="13">
        <f t="shared" si="16"/>
        <v>171.61880693192484</v>
      </c>
    </row>
    <row r="34" spans="1:15" x14ac:dyDescent="0.3">
      <c r="A34" t="s">
        <v>845</v>
      </c>
      <c r="F34" s="25">
        <v>51.16</v>
      </c>
      <c r="G34" t="s">
        <v>466</v>
      </c>
    </row>
    <row r="35" spans="1:15" x14ac:dyDescent="0.3">
      <c r="A35" t="s">
        <v>846</v>
      </c>
    </row>
    <row r="36" spans="1:15" x14ac:dyDescent="0.3">
      <c r="A36" s="41" t="s">
        <v>728</v>
      </c>
    </row>
    <row r="43" spans="1:15" x14ac:dyDescent="0.3">
      <c r="A43" s="28" t="s">
        <v>844</v>
      </c>
      <c r="B43" s="28"/>
      <c r="C43" s="28"/>
    </row>
    <row r="44" spans="1:15" x14ac:dyDescent="0.3">
      <c r="A44" t="s">
        <v>517</v>
      </c>
      <c r="L44" t="s">
        <v>784</v>
      </c>
      <c r="O44">
        <v>90.3</v>
      </c>
    </row>
    <row r="45" spans="1:15" x14ac:dyDescent="0.3">
      <c r="A45" t="s">
        <v>785</v>
      </c>
      <c r="F45">
        <v>36.229999999999997</v>
      </c>
      <c r="L45" t="s">
        <v>975</v>
      </c>
      <c r="O45">
        <v>55</v>
      </c>
    </row>
    <row r="46" spans="1:15" x14ac:dyDescent="0.3">
      <c r="A46" t="s">
        <v>786</v>
      </c>
      <c r="D46" t="s">
        <v>466</v>
      </c>
      <c r="F46">
        <v>1.57</v>
      </c>
      <c r="L46" t="s">
        <v>787</v>
      </c>
      <c r="N46" t="s">
        <v>466</v>
      </c>
      <c r="O46" s="14">
        <f>O45*O44/F67</f>
        <v>1.8394444444444444</v>
      </c>
    </row>
    <row r="47" spans="1:15" x14ac:dyDescent="0.3">
      <c r="A47" t="s">
        <v>788</v>
      </c>
      <c r="D47" t="s">
        <v>466</v>
      </c>
      <c r="F47">
        <v>2.52</v>
      </c>
    </row>
    <row r="48" spans="1:15" x14ac:dyDescent="0.3">
      <c r="A48" t="s">
        <v>789</v>
      </c>
      <c r="F48">
        <v>36.229999999999997</v>
      </c>
    </row>
    <row r="49" spans="1:21" x14ac:dyDescent="0.3">
      <c r="A49" t="s">
        <v>790</v>
      </c>
      <c r="E49" t="s">
        <v>466</v>
      </c>
      <c r="F49">
        <v>30.18</v>
      </c>
      <c r="L49" t="s">
        <v>791</v>
      </c>
      <c r="P49" t="s">
        <v>792</v>
      </c>
      <c r="S49">
        <v>293</v>
      </c>
      <c r="T49" t="s">
        <v>490</v>
      </c>
      <c r="U49" t="s">
        <v>793</v>
      </c>
    </row>
    <row r="50" spans="1:21" x14ac:dyDescent="0.3">
      <c r="D50" t="s">
        <v>794</v>
      </c>
      <c r="E50" t="s">
        <v>466</v>
      </c>
      <c r="F50">
        <v>38.86</v>
      </c>
      <c r="L50" t="s">
        <v>795</v>
      </c>
      <c r="M50" t="s">
        <v>796</v>
      </c>
      <c r="N50">
        <v>86.08</v>
      </c>
      <c r="P50">
        <v>0</v>
      </c>
      <c r="U50" s="14">
        <f>(F67+F69)/F55/S49*P50*N50/1000</f>
        <v>0</v>
      </c>
    </row>
    <row r="51" spans="1:21" x14ac:dyDescent="0.3">
      <c r="A51" t="s">
        <v>797</v>
      </c>
      <c r="F51" s="61">
        <f>(F50-F49)/F49</f>
        <v>0.2876076872100729</v>
      </c>
      <c r="L51" t="s">
        <v>798</v>
      </c>
      <c r="N51">
        <v>6.35</v>
      </c>
      <c r="P51">
        <v>18</v>
      </c>
      <c r="U51" s="14">
        <f>(F67+F69)/F55/S49*P51*N51/1000</f>
        <v>1.2580941836024189</v>
      </c>
    </row>
    <row r="52" spans="1:21" ht="15" thickBot="1" x14ac:dyDescent="0.35">
      <c r="A52" t="s">
        <v>799</v>
      </c>
      <c r="F52" s="9">
        <f>F45+F45*F51</f>
        <v>46.650026507620936</v>
      </c>
      <c r="L52" t="s">
        <v>800</v>
      </c>
      <c r="N52">
        <v>2</v>
      </c>
      <c r="P52">
        <v>52650</v>
      </c>
      <c r="U52" s="14">
        <f>(F67+F69)/F55/S49*P52*N52/1000</f>
        <v>1159.0316494604963</v>
      </c>
    </row>
    <row r="53" spans="1:21" ht="15" thickBot="1" x14ac:dyDescent="0.35">
      <c r="A53" t="s">
        <v>801</v>
      </c>
      <c r="F53" s="72">
        <f>F52+F46+F47</f>
        <v>50.740026507620939</v>
      </c>
      <c r="H53" t="s">
        <v>802</v>
      </c>
      <c r="L53" t="s">
        <v>803</v>
      </c>
      <c r="N53">
        <v>86.47</v>
      </c>
      <c r="P53">
        <v>0</v>
      </c>
      <c r="U53" s="14">
        <f>(F67+F69)/F55/S49*P53*N53/1000</f>
        <v>0</v>
      </c>
    </row>
    <row r="54" spans="1:21" x14ac:dyDescent="0.3">
      <c r="A54" t="s">
        <v>804</v>
      </c>
      <c r="F54">
        <v>1</v>
      </c>
      <c r="L54" t="s">
        <v>805</v>
      </c>
      <c r="N54">
        <v>101.1</v>
      </c>
      <c r="P54">
        <v>41.4</v>
      </c>
      <c r="U54" s="14">
        <f>(F67+F69)/F55/S49*P54*N54/1000</f>
        <v>46.070022128042595</v>
      </c>
    </row>
    <row r="55" spans="1:21" x14ac:dyDescent="0.3">
      <c r="A55" t="s">
        <v>468</v>
      </c>
      <c r="F55">
        <v>0.92</v>
      </c>
      <c r="L55" t="s">
        <v>806</v>
      </c>
      <c r="N55">
        <v>1252</v>
      </c>
      <c r="P55">
        <v>0</v>
      </c>
      <c r="U55">
        <v>0</v>
      </c>
    </row>
    <row r="56" spans="1:21" x14ac:dyDescent="0.3">
      <c r="A56" t="s">
        <v>807</v>
      </c>
      <c r="F56">
        <v>1</v>
      </c>
      <c r="T56" t="s">
        <v>808</v>
      </c>
      <c r="U56" s="13">
        <f>SUM(U50:U54)</f>
        <v>1206.3597657721414</v>
      </c>
    </row>
    <row r="57" spans="1:21" x14ac:dyDescent="0.3">
      <c r="A57" t="s">
        <v>809</v>
      </c>
      <c r="F57" s="8">
        <v>0.09</v>
      </c>
      <c r="L57" t="s">
        <v>810</v>
      </c>
      <c r="Q57" t="s">
        <v>466</v>
      </c>
      <c r="R57" s="14">
        <f>U56/F67</f>
        <v>0.44679991324894125</v>
      </c>
    </row>
    <row r="58" spans="1:21" x14ac:dyDescent="0.3">
      <c r="A58" t="s">
        <v>446</v>
      </c>
      <c r="D58" t="s">
        <v>811</v>
      </c>
      <c r="F58" s="10">
        <v>250000</v>
      </c>
      <c r="H58" t="s">
        <v>812</v>
      </c>
    </row>
    <row r="59" spans="1:21" x14ac:dyDescent="0.3">
      <c r="D59" t="s">
        <v>813</v>
      </c>
      <c r="E59" t="s">
        <v>814</v>
      </c>
      <c r="F59" s="10">
        <v>300000</v>
      </c>
      <c r="L59" t="s">
        <v>822</v>
      </c>
      <c r="P59" s="77">
        <v>0.1</v>
      </c>
    </row>
    <row r="60" spans="1:21" x14ac:dyDescent="0.3">
      <c r="A60" t="s">
        <v>527</v>
      </c>
      <c r="F60" s="10">
        <f>(F58+F59)*0.7</f>
        <v>385000</v>
      </c>
      <c r="G60" t="s">
        <v>749</v>
      </c>
      <c r="H60" s="10">
        <f>F58+F59-F60</f>
        <v>165000</v>
      </c>
    </row>
    <row r="61" spans="1:21" x14ac:dyDescent="0.3">
      <c r="A61" t="s">
        <v>815</v>
      </c>
      <c r="F61" s="8">
        <v>0.05</v>
      </c>
      <c r="L61" t="s">
        <v>830</v>
      </c>
      <c r="N61" s="45">
        <v>2.5000000000000001E-2</v>
      </c>
    </row>
    <row r="62" spans="1:21" x14ac:dyDescent="0.3">
      <c r="A62" t="s">
        <v>816</v>
      </c>
      <c r="F62" s="8">
        <v>0.05</v>
      </c>
      <c r="L62" t="s">
        <v>828</v>
      </c>
      <c r="N62" s="45">
        <v>1.4999999999999999E-2</v>
      </c>
    </row>
    <row r="63" spans="1:21" x14ac:dyDescent="0.3">
      <c r="A63" t="s">
        <v>817</v>
      </c>
      <c r="F63" s="27">
        <v>2.5000000000000001E-2</v>
      </c>
      <c r="L63" t="s">
        <v>829</v>
      </c>
      <c r="N63" s="45">
        <v>1.4999999999999999E-2</v>
      </c>
    </row>
    <row r="64" spans="1:21" x14ac:dyDescent="0.3">
      <c r="A64" t="s">
        <v>530</v>
      </c>
      <c r="F64">
        <v>2</v>
      </c>
    </row>
    <row r="65" spans="1:6" x14ac:dyDescent="0.3">
      <c r="A65" t="s">
        <v>818</v>
      </c>
      <c r="E65" t="s">
        <v>460</v>
      </c>
      <c r="F65">
        <v>800</v>
      </c>
    </row>
    <row r="66" spans="1:6" x14ac:dyDescent="0.3">
      <c r="A66" t="s">
        <v>534</v>
      </c>
      <c r="F66" s="8">
        <v>0.05</v>
      </c>
    </row>
    <row r="67" spans="1:6" x14ac:dyDescent="0.3">
      <c r="A67" t="s">
        <v>819</v>
      </c>
      <c r="F67" s="1">
        <v>2700</v>
      </c>
    </row>
    <row r="68" spans="1:6" x14ac:dyDescent="0.3">
      <c r="A68" t="s">
        <v>974</v>
      </c>
      <c r="F68" s="13">
        <f>F67/(1-0.09)</f>
        <v>2967.032967032967</v>
      </c>
    </row>
    <row r="69" spans="1:6" x14ac:dyDescent="0.3">
      <c r="A69" t="s">
        <v>953</v>
      </c>
      <c r="F69" s="32">
        <f>F68*F57</f>
        <v>267.03296703296701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22" workbookViewId="0">
      <selection activeCell="V42" sqref="V42"/>
    </sheetView>
  </sheetViews>
  <sheetFormatPr defaultRowHeight="14.4" x14ac:dyDescent="0.3"/>
  <cols>
    <col min="5" max="5" width="8.5546875" customWidth="1"/>
    <col min="6" max="6" width="10.5546875" customWidth="1"/>
  </cols>
  <sheetData>
    <row r="1" spans="1:19" x14ac:dyDescent="0.3">
      <c r="A1" s="28" t="s">
        <v>849</v>
      </c>
    </row>
    <row r="3" spans="1:19" x14ac:dyDescent="0.3">
      <c r="A3" t="s">
        <v>850</v>
      </c>
    </row>
    <row r="4" spans="1:19" x14ac:dyDescent="0.3">
      <c r="A4" t="s">
        <v>851</v>
      </c>
      <c r="C4" t="s">
        <v>852</v>
      </c>
      <c r="E4">
        <v>1</v>
      </c>
      <c r="G4" t="s">
        <v>859</v>
      </c>
      <c r="N4" s="1">
        <v>43.4</v>
      </c>
    </row>
    <row r="5" spans="1:19" x14ac:dyDescent="0.3">
      <c r="C5" t="s">
        <v>853</v>
      </c>
      <c r="E5">
        <v>0.2</v>
      </c>
      <c r="G5" t="s">
        <v>874</v>
      </c>
      <c r="I5" s="8"/>
      <c r="L5" t="s">
        <v>488</v>
      </c>
      <c r="N5">
        <v>0.8</v>
      </c>
    </row>
    <row r="6" spans="1:19" x14ac:dyDescent="0.3">
      <c r="A6" t="s">
        <v>854</v>
      </c>
      <c r="E6">
        <v>0.85</v>
      </c>
      <c r="G6" t="s">
        <v>860</v>
      </c>
      <c r="L6" t="s">
        <v>490</v>
      </c>
      <c r="N6">
        <v>2700</v>
      </c>
    </row>
    <row r="7" spans="1:19" x14ac:dyDescent="0.3">
      <c r="A7" t="s">
        <v>869</v>
      </c>
      <c r="E7" s="8">
        <v>0.09</v>
      </c>
      <c r="G7" t="s">
        <v>861</v>
      </c>
      <c r="L7" t="s">
        <v>466</v>
      </c>
    </row>
    <row r="8" spans="1:19" x14ac:dyDescent="0.3">
      <c r="A8" t="s">
        <v>855</v>
      </c>
      <c r="C8" t="s">
        <v>856</v>
      </c>
      <c r="E8" s="1">
        <v>2700</v>
      </c>
      <c r="G8" t="s">
        <v>862</v>
      </c>
      <c r="L8" t="s">
        <v>490</v>
      </c>
      <c r="N8">
        <f>E5*N5*E9</f>
        <v>640.00000000000011</v>
      </c>
    </row>
    <row r="9" spans="1:19" x14ac:dyDescent="0.3">
      <c r="A9" t="s">
        <v>857</v>
      </c>
      <c r="E9">
        <v>4000</v>
      </c>
      <c r="G9" t="s">
        <v>865</v>
      </c>
      <c r="L9" t="s">
        <v>489</v>
      </c>
      <c r="N9">
        <v>25</v>
      </c>
    </row>
    <row r="10" spans="1:19" x14ac:dyDescent="0.3">
      <c r="A10" t="s">
        <v>809</v>
      </c>
      <c r="D10" s="8">
        <v>0.2</v>
      </c>
      <c r="E10">
        <f>E8/(1-0.2)*0.2</f>
        <v>675</v>
      </c>
      <c r="G10" t="s">
        <v>971</v>
      </c>
      <c r="L10" t="s">
        <v>460</v>
      </c>
      <c r="N10">
        <f>SUM(S10:S14)</f>
        <v>2430000</v>
      </c>
      <c r="Q10" t="s">
        <v>884</v>
      </c>
      <c r="S10">
        <v>1600000</v>
      </c>
    </row>
    <row r="11" spans="1:19" x14ac:dyDescent="0.3">
      <c r="A11" t="s">
        <v>858</v>
      </c>
      <c r="C11" t="s">
        <v>466</v>
      </c>
      <c r="E11">
        <v>18</v>
      </c>
      <c r="G11" t="s">
        <v>866</v>
      </c>
      <c r="N11" s="8">
        <v>0.04</v>
      </c>
      <c r="Q11" t="s">
        <v>885</v>
      </c>
      <c r="S11">
        <v>110000</v>
      </c>
    </row>
    <row r="12" spans="1:19" x14ac:dyDescent="0.3">
      <c r="A12" t="s">
        <v>867</v>
      </c>
      <c r="E12" s="8">
        <v>0.05</v>
      </c>
      <c r="G12" t="s">
        <v>756</v>
      </c>
      <c r="I12" s="10">
        <f>N10*0.7</f>
        <v>1701000</v>
      </c>
      <c r="K12" t="s">
        <v>749</v>
      </c>
      <c r="N12" s="10">
        <f>-F35</f>
        <v>694848.06647482351</v>
      </c>
      <c r="Q12" t="s">
        <v>887</v>
      </c>
      <c r="S12">
        <v>160000</v>
      </c>
    </row>
    <row r="13" spans="1:19" x14ac:dyDescent="0.3">
      <c r="A13" t="s">
        <v>864</v>
      </c>
      <c r="E13">
        <v>8000000</v>
      </c>
      <c r="F13" t="s">
        <v>863</v>
      </c>
      <c r="J13" t="s">
        <v>537</v>
      </c>
      <c r="L13" t="s">
        <v>877</v>
      </c>
      <c r="N13">
        <v>3.8</v>
      </c>
      <c r="Q13" t="s">
        <v>888</v>
      </c>
      <c r="S13">
        <v>480000</v>
      </c>
    </row>
    <row r="14" spans="1:19" x14ac:dyDescent="0.3">
      <c r="A14" t="s">
        <v>530</v>
      </c>
      <c r="E14">
        <v>2</v>
      </c>
      <c r="G14" t="s">
        <v>872</v>
      </c>
      <c r="I14" t="s">
        <v>873</v>
      </c>
      <c r="K14" t="s">
        <v>546</v>
      </c>
      <c r="N14" s="8">
        <v>0.04</v>
      </c>
      <c r="Q14" t="s">
        <v>886</v>
      </c>
      <c r="S14">
        <v>80000</v>
      </c>
    </row>
    <row r="15" spans="1:19" x14ac:dyDescent="0.3">
      <c r="A15" t="s">
        <v>868</v>
      </c>
      <c r="E15">
        <v>1000</v>
      </c>
      <c r="G15" t="s">
        <v>534</v>
      </c>
      <c r="I15" s="8">
        <v>0.05</v>
      </c>
      <c r="K15" t="s">
        <v>883</v>
      </c>
      <c r="N15" s="8">
        <v>0.1</v>
      </c>
    </row>
    <row r="17" spans="1:22" x14ac:dyDescent="0.3">
      <c r="A17" t="s">
        <v>870</v>
      </c>
      <c r="F17">
        <v>2014</v>
      </c>
      <c r="G17">
        <v>2015</v>
      </c>
      <c r="H17">
        <v>2016</v>
      </c>
      <c r="I17">
        <v>2017</v>
      </c>
      <c r="J17">
        <v>2018</v>
      </c>
      <c r="K17">
        <v>2019</v>
      </c>
      <c r="L17">
        <v>2020</v>
      </c>
      <c r="M17">
        <v>2021</v>
      </c>
      <c r="N17">
        <v>2022</v>
      </c>
      <c r="O17">
        <v>2023</v>
      </c>
      <c r="P17">
        <v>2024</v>
      </c>
      <c r="Q17">
        <v>2025</v>
      </c>
      <c r="R17">
        <v>2026</v>
      </c>
      <c r="S17">
        <v>2027</v>
      </c>
      <c r="T17">
        <v>2028</v>
      </c>
      <c r="U17">
        <v>2029</v>
      </c>
      <c r="V17">
        <v>2030</v>
      </c>
    </row>
    <row r="18" spans="1:22" x14ac:dyDescent="0.3">
      <c r="A18" t="s">
        <v>871</v>
      </c>
      <c r="F18">
        <f>N8*N4</f>
        <v>27776.000000000004</v>
      </c>
      <c r="G18" s="13">
        <f>F18*1.015</f>
        <v>28192.639999999999</v>
      </c>
      <c r="H18" s="13">
        <f>G18*1.015</f>
        <v>28615.529599999998</v>
      </c>
      <c r="I18" s="13">
        <f>H18*1.015</f>
        <v>29044.762543999994</v>
      </c>
      <c r="J18" s="13">
        <f>I18*1.105</f>
        <v>32094.462611119994</v>
      </c>
      <c r="K18" s="13">
        <f t="shared" ref="K18:V18" si="0">J18*1.015</f>
        <v>32575.879550286791</v>
      </c>
      <c r="L18" s="13">
        <f t="shared" si="0"/>
        <v>33064.517743541088</v>
      </c>
      <c r="M18" s="13">
        <f t="shared" si="0"/>
        <v>33560.485509694197</v>
      </c>
      <c r="N18" s="13">
        <f t="shared" si="0"/>
        <v>34063.892792339604</v>
      </c>
      <c r="O18" s="13">
        <f t="shared" si="0"/>
        <v>34574.851184224695</v>
      </c>
      <c r="P18" s="13">
        <f t="shared" si="0"/>
        <v>35093.47395198806</v>
      </c>
      <c r="Q18" s="13">
        <f t="shared" si="0"/>
        <v>35619.876061267874</v>
      </c>
      <c r="R18" s="13">
        <f t="shared" si="0"/>
        <v>36154.174202186892</v>
      </c>
      <c r="S18" s="13">
        <f t="shared" si="0"/>
        <v>36696.486815219694</v>
      </c>
      <c r="T18" s="13">
        <f t="shared" si="0"/>
        <v>37246.934117447985</v>
      </c>
      <c r="U18" s="13">
        <f t="shared" si="0"/>
        <v>37805.638129209699</v>
      </c>
      <c r="V18" s="13">
        <f t="shared" si="0"/>
        <v>38372.722701147839</v>
      </c>
    </row>
    <row r="20" spans="1:22" x14ac:dyDescent="0.3">
      <c r="A20" t="s">
        <v>875</v>
      </c>
    </row>
    <row r="21" spans="1:22" x14ac:dyDescent="0.3">
      <c r="A21" t="s">
        <v>876</v>
      </c>
      <c r="F21" s="13">
        <f>(N6+N8+E10)/E6*N5*E11</f>
        <v>68018.823529411777</v>
      </c>
      <c r="G21" s="13">
        <f t="shared" ref="G21:V21" si="1">F21*1.015</f>
        <v>69039.105882352946</v>
      </c>
      <c r="H21" s="13">
        <f t="shared" si="1"/>
        <v>70074.692470588227</v>
      </c>
      <c r="I21" s="13">
        <f t="shared" si="1"/>
        <v>71125.812857647048</v>
      </c>
      <c r="J21" s="13">
        <f t="shared" si="1"/>
        <v>72192.700050511747</v>
      </c>
      <c r="K21" s="13">
        <f t="shared" si="1"/>
        <v>73275.590551269415</v>
      </c>
      <c r="L21" s="13">
        <f t="shared" si="1"/>
        <v>74374.724409538452</v>
      </c>
      <c r="M21" s="13">
        <f t="shared" si="1"/>
        <v>75490.345275681524</v>
      </c>
      <c r="N21" s="13">
        <f t="shared" si="1"/>
        <v>76622.700454816746</v>
      </c>
      <c r="O21" s="13">
        <f t="shared" si="1"/>
        <v>77772.040961638995</v>
      </c>
      <c r="P21" s="13">
        <f t="shared" si="1"/>
        <v>78938.621576063568</v>
      </c>
      <c r="Q21" s="13">
        <f t="shared" si="1"/>
        <v>80122.70089970452</v>
      </c>
      <c r="R21" s="13">
        <f t="shared" si="1"/>
        <v>81324.541413200073</v>
      </c>
      <c r="S21" s="13">
        <f t="shared" si="1"/>
        <v>82544.409534398073</v>
      </c>
      <c r="T21" s="13">
        <f t="shared" si="1"/>
        <v>83782.575677414032</v>
      </c>
      <c r="U21" s="13">
        <f t="shared" si="1"/>
        <v>85039.314312575239</v>
      </c>
      <c r="V21" s="13">
        <f t="shared" si="1"/>
        <v>86314.904027263867</v>
      </c>
    </row>
    <row r="22" spans="1:22" x14ac:dyDescent="0.3">
      <c r="A22" t="s">
        <v>544</v>
      </c>
      <c r="F22">
        <f>E15*1.35*12*2</f>
        <v>32400</v>
      </c>
      <c r="G22" s="13">
        <f t="shared" ref="G22:V22" si="2">F22*1.015</f>
        <v>32886</v>
      </c>
      <c r="H22" s="13">
        <f t="shared" si="2"/>
        <v>33379.289999999994</v>
      </c>
      <c r="I22" s="13">
        <f t="shared" si="2"/>
        <v>33879.979349999987</v>
      </c>
      <c r="J22" s="13">
        <f t="shared" si="2"/>
        <v>34388.179040249983</v>
      </c>
      <c r="K22" s="13">
        <f t="shared" si="2"/>
        <v>34904.001725853726</v>
      </c>
      <c r="L22" s="13">
        <f t="shared" si="2"/>
        <v>35427.56175174153</v>
      </c>
      <c r="M22" s="13">
        <f t="shared" si="2"/>
        <v>35958.975178017652</v>
      </c>
      <c r="N22" s="13">
        <f t="shared" si="2"/>
        <v>36498.359805687913</v>
      </c>
      <c r="O22" s="13">
        <f t="shared" si="2"/>
        <v>37045.835202773225</v>
      </c>
      <c r="P22" s="13">
        <f t="shared" si="2"/>
        <v>37601.522730814817</v>
      </c>
      <c r="Q22" s="13">
        <f t="shared" si="2"/>
        <v>38165.545571777038</v>
      </c>
      <c r="R22" s="13">
        <f t="shared" si="2"/>
        <v>38738.028755353691</v>
      </c>
      <c r="S22" s="13">
        <f t="shared" si="2"/>
        <v>39319.09918668399</v>
      </c>
      <c r="T22" s="13">
        <f t="shared" si="2"/>
        <v>39908.885674484249</v>
      </c>
      <c r="U22" s="13">
        <f t="shared" si="2"/>
        <v>40507.518959601512</v>
      </c>
      <c r="V22" s="13">
        <f t="shared" si="2"/>
        <v>41115.131743995531</v>
      </c>
    </row>
    <row r="23" spans="1:22" x14ac:dyDescent="0.3">
      <c r="A23" t="s">
        <v>536</v>
      </c>
      <c r="F23" s="13">
        <f>N8*E7*N4</f>
        <v>2499.84</v>
      </c>
      <c r="G23" s="13">
        <f t="shared" ref="G23:V23" si="3">F23*1.015</f>
        <v>2537.3375999999998</v>
      </c>
      <c r="H23" s="13">
        <f t="shared" si="3"/>
        <v>2575.3976639999996</v>
      </c>
      <c r="I23" s="13">
        <f t="shared" si="3"/>
        <v>2614.0286289599994</v>
      </c>
      <c r="J23" s="13">
        <f t="shared" si="3"/>
        <v>2653.2390583943993</v>
      </c>
      <c r="K23" s="13">
        <f t="shared" si="3"/>
        <v>2693.037644270315</v>
      </c>
      <c r="L23" s="13">
        <f t="shared" si="3"/>
        <v>2733.4332089343693</v>
      </c>
      <c r="M23" s="13">
        <f t="shared" si="3"/>
        <v>2774.4347070683848</v>
      </c>
      <c r="N23" s="13">
        <f t="shared" si="3"/>
        <v>2816.0512276744103</v>
      </c>
      <c r="O23" s="13">
        <f t="shared" si="3"/>
        <v>2858.291996089526</v>
      </c>
      <c r="P23" s="13">
        <f t="shared" si="3"/>
        <v>2901.1663760308688</v>
      </c>
      <c r="Q23" s="13">
        <f t="shared" si="3"/>
        <v>2944.6838716713314</v>
      </c>
      <c r="R23" s="13">
        <f t="shared" si="3"/>
        <v>2988.8541297464012</v>
      </c>
      <c r="S23" s="13">
        <f t="shared" si="3"/>
        <v>3033.686941692597</v>
      </c>
      <c r="T23" s="13">
        <f t="shared" si="3"/>
        <v>3079.1922458179856</v>
      </c>
      <c r="U23" s="13">
        <f t="shared" si="3"/>
        <v>3125.3801295052549</v>
      </c>
      <c r="V23" s="13">
        <f t="shared" si="3"/>
        <v>3172.2608314478334</v>
      </c>
    </row>
    <row r="24" spans="1:22" x14ac:dyDescent="0.3">
      <c r="A24" t="s">
        <v>537</v>
      </c>
      <c r="F24">
        <f>(N6+E10)*N13</f>
        <v>12825</v>
      </c>
      <c r="G24" s="13">
        <f t="shared" ref="G24:V24" si="4">F24*1.1</f>
        <v>14107.500000000002</v>
      </c>
      <c r="H24" s="13">
        <f t="shared" si="4"/>
        <v>15518.250000000004</v>
      </c>
      <c r="I24" s="13">
        <f t="shared" si="4"/>
        <v>17070.075000000004</v>
      </c>
      <c r="J24" s="13">
        <f t="shared" si="4"/>
        <v>18777.082500000008</v>
      </c>
      <c r="K24" s="13">
        <f t="shared" si="4"/>
        <v>20654.790750000011</v>
      </c>
      <c r="L24" s="13">
        <f t="shared" si="4"/>
        <v>22720.269825000014</v>
      </c>
      <c r="M24" s="13">
        <f t="shared" si="4"/>
        <v>24992.296807500017</v>
      </c>
      <c r="N24" s="13">
        <f t="shared" si="4"/>
        <v>27491.52648825002</v>
      </c>
      <c r="O24" s="13">
        <f t="shared" si="4"/>
        <v>30240.679137075025</v>
      </c>
      <c r="P24" s="13">
        <f t="shared" si="4"/>
        <v>33264.747050782527</v>
      </c>
      <c r="Q24" s="13">
        <f t="shared" si="4"/>
        <v>36591.221755860781</v>
      </c>
      <c r="R24" s="13">
        <f t="shared" si="4"/>
        <v>40250.343931446863</v>
      </c>
      <c r="S24" s="13">
        <f t="shared" si="4"/>
        <v>44275.378324591555</v>
      </c>
      <c r="T24" s="13">
        <f t="shared" si="4"/>
        <v>48702.916157050713</v>
      </c>
      <c r="U24" s="13">
        <f t="shared" si="4"/>
        <v>53573.207772755792</v>
      </c>
      <c r="V24" s="13">
        <f t="shared" si="4"/>
        <v>58930.528550031377</v>
      </c>
    </row>
    <row r="25" spans="1:22" x14ac:dyDescent="0.3">
      <c r="A25" t="s">
        <v>546</v>
      </c>
      <c r="F25" s="13">
        <f>SUM(F21:F24)*N14</f>
        <v>4629.7465411764706</v>
      </c>
      <c r="G25" s="13">
        <f>SUM(G21:G24)*N14</f>
        <v>4742.7977392941175</v>
      </c>
      <c r="H25" s="13">
        <f>SUM(H21:H24)*N14</f>
        <v>4861.9052053835294</v>
      </c>
      <c r="I25" s="13">
        <f>SUM(I21:I24)*N14</f>
        <v>4987.595833464281</v>
      </c>
      <c r="J25" s="13">
        <f>SUM(J21:J24)*N14</f>
        <v>5120.448025966245</v>
      </c>
      <c r="K25" s="13">
        <f>SUM(K21:K24)*N14</f>
        <v>5261.0968268557381</v>
      </c>
      <c r="L25" s="13">
        <f>SUM(L21:L24)*N14</f>
        <v>5410.2395678085741</v>
      </c>
      <c r="M25" s="13">
        <f>SUM(M21:M24)*N14</f>
        <v>5568.6420787307043</v>
      </c>
      <c r="N25" s="13">
        <f>SUM(N21:N24)*N14</f>
        <v>5737.1455190571633</v>
      </c>
      <c r="O25" s="13">
        <f>SUM(O21:O24)*N14</f>
        <v>5916.6738919030704</v>
      </c>
      <c r="P25" s="13">
        <f>SUM(P21:P24)*N14</f>
        <v>6108.2423093476718</v>
      </c>
      <c r="Q25" s="13">
        <f>SUM(Q21:Q24)*N14</f>
        <v>6312.9660839605476</v>
      </c>
      <c r="R25" s="13">
        <f>SUM(R21:R24)*N14</f>
        <v>6532.0707291898807</v>
      </c>
      <c r="S25" s="13">
        <f>SUM(S21:S24)*N14</f>
        <v>6766.9029594946487</v>
      </c>
      <c r="T25" s="13">
        <f>SUM(T21:T24)*N14</f>
        <v>7018.9427901906802</v>
      </c>
      <c r="U25" s="13">
        <f>SUM(U21:U24)*N14</f>
        <v>7289.8168469775119</v>
      </c>
      <c r="V25" s="13">
        <f>SUM(V21:V24)*N14</f>
        <v>7581.3130061095444</v>
      </c>
    </row>
    <row r="26" spans="1:22" x14ac:dyDescent="0.3">
      <c r="A26" t="s">
        <v>731</v>
      </c>
      <c r="F26" s="13">
        <f t="shared" ref="F26:V26" si="5">SUM(F21:F25)</f>
        <v>120373.41007058824</v>
      </c>
      <c r="G26" s="13">
        <f t="shared" si="5"/>
        <v>123312.74122164707</v>
      </c>
      <c r="H26" s="13">
        <f t="shared" si="5"/>
        <v>126409.53533997176</v>
      </c>
      <c r="I26" s="13">
        <f t="shared" si="5"/>
        <v>129677.49167007131</v>
      </c>
      <c r="J26" s="13">
        <f t="shared" si="5"/>
        <v>133131.64867512239</v>
      </c>
      <c r="K26" s="13">
        <f t="shared" si="5"/>
        <v>136788.51749824919</v>
      </c>
      <c r="L26" s="13">
        <f t="shared" si="5"/>
        <v>140666.22876302293</v>
      </c>
      <c r="M26" s="13">
        <f t="shared" si="5"/>
        <v>144784.69404699831</v>
      </c>
      <c r="N26" s="13">
        <f t="shared" si="5"/>
        <v>149165.78349548625</v>
      </c>
      <c r="O26" s="13">
        <f t="shared" si="5"/>
        <v>153833.52118947983</v>
      </c>
      <c r="P26" s="13">
        <f t="shared" si="5"/>
        <v>158814.30004303946</v>
      </c>
      <c r="Q26" s="13">
        <f t="shared" si="5"/>
        <v>164137.11818297423</v>
      </c>
      <c r="R26" s="13">
        <f t="shared" si="5"/>
        <v>169833.83895893689</v>
      </c>
      <c r="S26" s="13">
        <f t="shared" si="5"/>
        <v>175939.47694686087</v>
      </c>
      <c r="T26" s="13">
        <f t="shared" si="5"/>
        <v>182492.51254495769</v>
      </c>
      <c r="U26" s="13">
        <f t="shared" si="5"/>
        <v>189535.23802141531</v>
      </c>
      <c r="V26" s="13">
        <f t="shared" si="5"/>
        <v>197114.13815884816</v>
      </c>
    </row>
    <row r="27" spans="1:22" x14ac:dyDescent="0.3">
      <c r="A27" t="s">
        <v>547</v>
      </c>
      <c r="F27">
        <f>N10*N11</f>
        <v>97200</v>
      </c>
      <c r="G27">
        <f>N10*N11</f>
        <v>97200</v>
      </c>
      <c r="H27">
        <f>N10*N11</f>
        <v>97200</v>
      </c>
      <c r="I27">
        <f>N10*N11</f>
        <v>97200</v>
      </c>
      <c r="J27">
        <f>N10*N11</f>
        <v>97200</v>
      </c>
      <c r="K27">
        <f>N10*N11</f>
        <v>97200</v>
      </c>
      <c r="L27">
        <f>N10*N11</f>
        <v>97200</v>
      </c>
      <c r="M27">
        <f>N10*N11</f>
        <v>97200</v>
      </c>
      <c r="N27">
        <f>N10*N11</f>
        <v>97200</v>
      </c>
      <c r="O27">
        <f>N10*N11</f>
        <v>97200</v>
      </c>
      <c r="P27">
        <f>N10*N11</f>
        <v>97200</v>
      </c>
      <c r="Q27">
        <f>N10*N11</f>
        <v>97200</v>
      </c>
      <c r="R27">
        <f>N10*N11</f>
        <v>97200</v>
      </c>
      <c r="S27">
        <f>N10*N11</f>
        <v>97200</v>
      </c>
      <c r="T27">
        <f>N10*N11</f>
        <v>97200</v>
      </c>
      <c r="U27">
        <f>N10*N11</f>
        <v>97200</v>
      </c>
      <c r="V27">
        <f>N10*N11</f>
        <v>97200</v>
      </c>
    </row>
    <row r="28" spans="1:22" x14ac:dyDescent="0.3">
      <c r="A28" t="s">
        <v>730</v>
      </c>
      <c r="F28">
        <f>I12/10</f>
        <v>170100</v>
      </c>
      <c r="G28">
        <f>I12/10</f>
        <v>170100</v>
      </c>
      <c r="H28">
        <f>I12/10</f>
        <v>170100</v>
      </c>
      <c r="I28">
        <f>I12/10</f>
        <v>170100</v>
      </c>
      <c r="J28">
        <f>I12/10</f>
        <v>170100</v>
      </c>
      <c r="K28">
        <f>I12/10</f>
        <v>170100</v>
      </c>
      <c r="L28">
        <f>I12/10</f>
        <v>170100</v>
      </c>
      <c r="M28">
        <f>I12/10</f>
        <v>170100</v>
      </c>
      <c r="N28">
        <f>I12/10</f>
        <v>170100</v>
      </c>
      <c r="O28">
        <f>I12/10</f>
        <v>170100</v>
      </c>
      <c r="P28">
        <v>0</v>
      </c>
    </row>
    <row r="29" spans="1:22" x14ac:dyDescent="0.3">
      <c r="A29" t="s">
        <v>878</v>
      </c>
      <c r="F29" s="10">
        <f>I12-F28</f>
        <v>1530900</v>
      </c>
      <c r="G29" s="10">
        <f t="shared" ref="G29:O29" si="6">F29-G28</f>
        <v>1360800</v>
      </c>
      <c r="H29" s="10">
        <f t="shared" si="6"/>
        <v>1190700</v>
      </c>
      <c r="I29" s="10">
        <f t="shared" si="6"/>
        <v>1020600</v>
      </c>
      <c r="J29" s="10">
        <f t="shared" si="6"/>
        <v>850500</v>
      </c>
      <c r="K29" s="10">
        <f t="shared" si="6"/>
        <v>680400</v>
      </c>
      <c r="L29" s="10">
        <f t="shared" si="6"/>
        <v>510300</v>
      </c>
      <c r="M29" s="10">
        <f t="shared" si="6"/>
        <v>340200</v>
      </c>
      <c r="N29" s="10">
        <f t="shared" si="6"/>
        <v>170100</v>
      </c>
      <c r="O29" s="10">
        <f t="shared" si="6"/>
        <v>0</v>
      </c>
      <c r="P29">
        <v>0</v>
      </c>
    </row>
    <row r="30" spans="1:22" x14ac:dyDescent="0.3">
      <c r="A30" t="s">
        <v>733</v>
      </c>
      <c r="F30">
        <f>F29*E12</f>
        <v>76545</v>
      </c>
      <c r="G30">
        <f>G29*E12</f>
        <v>68040</v>
      </c>
      <c r="H30">
        <f>H29*E12</f>
        <v>59535</v>
      </c>
      <c r="I30">
        <f>I29*E12</f>
        <v>51030</v>
      </c>
      <c r="J30">
        <f>J29*E12</f>
        <v>42525</v>
      </c>
      <c r="K30">
        <f>K29*E12</f>
        <v>34020</v>
      </c>
      <c r="L30">
        <f>L29*E12</f>
        <v>25515</v>
      </c>
      <c r="M30">
        <f>M29*E12</f>
        <v>17010</v>
      </c>
      <c r="N30">
        <f>N29*E12</f>
        <v>8505</v>
      </c>
      <c r="O30">
        <v>0</v>
      </c>
      <c r="P30">
        <v>0</v>
      </c>
    </row>
    <row r="31" spans="1:22" x14ac:dyDescent="0.3">
      <c r="A31" t="s">
        <v>758</v>
      </c>
      <c r="F31" s="13">
        <f>F27+F30+F26</f>
        <v>294118.41007058823</v>
      </c>
      <c r="G31" s="13">
        <f t="shared" ref="G31:V31" si="7">G26+G27+G30</f>
        <v>288552.74122164707</v>
      </c>
      <c r="H31" s="13">
        <f t="shared" si="7"/>
        <v>283144.53533997177</v>
      </c>
      <c r="I31" s="13">
        <f t="shared" si="7"/>
        <v>277907.49167007132</v>
      </c>
      <c r="J31" s="13">
        <f t="shared" si="7"/>
        <v>272856.64867512241</v>
      </c>
      <c r="K31" s="13">
        <f t="shared" si="7"/>
        <v>268008.51749824919</v>
      </c>
      <c r="L31" s="13">
        <f t="shared" si="7"/>
        <v>263381.22876302293</v>
      </c>
      <c r="M31" s="13">
        <f t="shared" si="7"/>
        <v>258994.69404699831</v>
      </c>
      <c r="N31" s="13">
        <f t="shared" si="7"/>
        <v>254870.78349548625</v>
      </c>
      <c r="O31" s="13">
        <f t="shared" si="7"/>
        <v>251033.52118947983</v>
      </c>
      <c r="P31" s="13">
        <f t="shared" si="7"/>
        <v>256014.30004303946</v>
      </c>
      <c r="Q31" s="13">
        <f t="shared" si="7"/>
        <v>261337.11818297423</v>
      </c>
      <c r="R31" s="13">
        <f t="shared" si="7"/>
        <v>267033.83895893686</v>
      </c>
      <c r="S31" s="13">
        <f t="shared" si="7"/>
        <v>273139.4769468609</v>
      </c>
      <c r="T31" s="13">
        <f t="shared" si="7"/>
        <v>279692.51254495769</v>
      </c>
      <c r="U31" s="13">
        <f t="shared" si="7"/>
        <v>286735.23802141531</v>
      </c>
      <c r="V31" s="13">
        <f t="shared" si="7"/>
        <v>294314.13815884816</v>
      </c>
    </row>
    <row r="32" spans="1:22" x14ac:dyDescent="0.3">
      <c r="A32" t="s">
        <v>879</v>
      </c>
      <c r="F32" s="14">
        <f>(F31-F18)/N6</f>
        <v>98.645337063180833</v>
      </c>
      <c r="G32" s="14">
        <f>(G31-G18)/N6</f>
        <v>96.429667119128538</v>
      </c>
      <c r="H32" s="14">
        <f>(H31-H18)/N6</f>
        <v>94.270002125915468</v>
      </c>
      <c r="I32" s="14">
        <f>(I31-I18)/N6</f>
        <v>92.171381157804191</v>
      </c>
      <c r="J32" s="14">
        <f>(J31-J18)/N6</f>
        <v>89.171180023704608</v>
      </c>
      <c r="K32" s="14">
        <f>(K31-K18)/N6</f>
        <v>87.197273314060141</v>
      </c>
      <c r="L32" s="14">
        <f>(L31-L18)/N6</f>
        <v>85.302485562771039</v>
      </c>
      <c r="M32" s="14">
        <f>(M31-M18)/N6</f>
        <v>83.494151310112628</v>
      </c>
      <c r="N32" s="14">
        <f>(N31-N18)/N6</f>
        <v>81.780329890054304</v>
      </c>
      <c r="O32" s="14">
        <f>(O31-O18)/N6</f>
        <v>80.169877779724132</v>
      </c>
      <c r="P32" s="14">
        <f>(P31-P18)/N6</f>
        <v>81.822528181870879</v>
      </c>
      <c r="Q32" s="14">
        <f>(Q31-Q18)/N6</f>
        <v>83.598978563594954</v>
      </c>
      <c r="R32" s="14">
        <f>(R31-R18)/N6</f>
        <v>85.510986946944428</v>
      </c>
      <c r="S32" s="14">
        <f>(S31-S18)/N6</f>
        <v>87.57147782653378</v>
      </c>
      <c r="T32" s="14">
        <f>(T31-T18)/N6</f>
        <v>89.794658676855448</v>
      </c>
      <c r="U32" s="14">
        <f>(U31-U18)/N6</f>
        <v>92.196148108224307</v>
      </c>
      <c r="V32" s="14">
        <f>(V31-V18)/N6</f>
        <v>94.793116836185305</v>
      </c>
    </row>
    <row r="33" spans="1:22" x14ac:dyDescent="0.3">
      <c r="A33" t="s">
        <v>740</v>
      </c>
      <c r="F33" s="13">
        <f t="shared" ref="F33:V33" si="8">F39-F26-F30</f>
        <v>107051.93352517649</v>
      </c>
      <c r="G33" s="13">
        <f t="shared" si="8"/>
        <v>171870.92185305414</v>
      </c>
      <c r="H33" s="13">
        <f t="shared" si="8"/>
        <v>175946.55343834992</v>
      </c>
      <c r="I33" s="13">
        <f t="shared" si="8"/>
        <v>180028.95627317519</v>
      </c>
      <c r="J33" s="13">
        <f t="shared" si="8"/>
        <v>186732.29173280785</v>
      </c>
      <c r="K33" s="13">
        <f t="shared" si="8"/>
        <v>190867.85084403242</v>
      </c>
      <c r="L33" s="13">
        <f t="shared" si="8"/>
        <v>195011.18331544864</v>
      </c>
      <c r="M33" s="13">
        <f t="shared" si="8"/>
        <v>199162.44724481172</v>
      </c>
      <c r="N33" s="13">
        <f t="shared" si="8"/>
        <v>203321.80725107831</v>
      </c>
      <c r="O33" s="13">
        <f t="shared" si="8"/>
        <v>207489.43498719842</v>
      </c>
      <c r="P33" s="13">
        <f t="shared" si="8"/>
        <v>203160.50970209562</v>
      </c>
      <c r="Q33" s="13">
        <f t="shared" si="8"/>
        <v>198840.21885672532</v>
      </c>
      <c r="R33" s="13">
        <f t="shared" si="8"/>
        <v>194528.7587995842</v>
      </c>
      <c r="S33" s="13">
        <f t="shared" si="8"/>
        <v>190226.33550758686</v>
      </c>
      <c r="T33" s="13">
        <f t="shared" si="8"/>
        <v>185933.16539881041</v>
      </c>
      <c r="U33" s="13">
        <f t="shared" si="8"/>
        <v>181649.47622426326</v>
      </c>
      <c r="V33" s="13">
        <f t="shared" si="8"/>
        <v>177375.50804654497</v>
      </c>
    </row>
    <row r="34" spans="1:22" x14ac:dyDescent="0.3">
      <c r="A34" t="s">
        <v>741</v>
      </c>
      <c r="F34" s="13">
        <f t="shared" ref="F34:V34" si="9">F39-F31</f>
        <v>9851.933525176486</v>
      </c>
      <c r="G34" s="13">
        <f t="shared" si="9"/>
        <v>74670.92185305414</v>
      </c>
      <c r="H34" s="13">
        <f t="shared" si="9"/>
        <v>78746.553438349918</v>
      </c>
      <c r="I34" s="13">
        <f t="shared" si="9"/>
        <v>82828.956273175194</v>
      </c>
      <c r="J34" s="13">
        <f t="shared" si="9"/>
        <v>89532.291732807818</v>
      </c>
      <c r="K34" s="13">
        <f t="shared" si="9"/>
        <v>93667.850844032422</v>
      </c>
      <c r="L34" s="13">
        <f t="shared" si="9"/>
        <v>97811.183315448638</v>
      </c>
      <c r="M34" s="13">
        <f t="shared" si="9"/>
        <v>101962.44724481172</v>
      </c>
      <c r="N34" s="13">
        <f t="shared" si="9"/>
        <v>106121.80725107831</v>
      </c>
      <c r="O34" s="13">
        <f t="shared" si="9"/>
        <v>110289.43498719842</v>
      </c>
      <c r="P34" s="13">
        <f t="shared" si="9"/>
        <v>105960.50970209562</v>
      </c>
      <c r="Q34" s="13">
        <f t="shared" si="9"/>
        <v>101640.21885672532</v>
      </c>
      <c r="R34" s="13">
        <f t="shared" si="9"/>
        <v>97328.758799584233</v>
      </c>
      <c r="S34" s="13">
        <f t="shared" si="9"/>
        <v>93026.335507586831</v>
      </c>
      <c r="T34" s="13">
        <f t="shared" si="9"/>
        <v>88733.165398810408</v>
      </c>
      <c r="U34" s="13">
        <f t="shared" si="9"/>
        <v>84449.476224263257</v>
      </c>
      <c r="V34" s="13">
        <f t="shared" si="9"/>
        <v>80175.508046544972</v>
      </c>
    </row>
    <row r="35" spans="1:22" x14ac:dyDescent="0.3">
      <c r="A35" t="s">
        <v>739</v>
      </c>
      <c r="F35" s="10">
        <f>I12-N10+F33+F27-F28</f>
        <v>-694848.06647482351</v>
      </c>
      <c r="G35" s="13">
        <f t="shared" ref="G35:V35" si="10">G33+G27-G28</f>
        <v>98970.92185305414</v>
      </c>
      <c r="H35" s="13">
        <f t="shared" si="10"/>
        <v>103046.55343834992</v>
      </c>
      <c r="I35" s="13">
        <f t="shared" si="10"/>
        <v>107128.95627317519</v>
      </c>
      <c r="J35" s="13">
        <f t="shared" si="10"/>
        <v>113832.29173280788</v>
      </c>
      <c r="K35" s="13">
        <f t="shared" si="10"/>
        <v>117967.85084403242</v>
      </c>
      <c r="L35" s="13">
        <f t="shared" si="10"/>
        <v>122111.18331544864</v>
      </c>
      <c r="M35" s="13">
        <f t="shared" si="10"/>
        <v>126262.44724481169</v>
      </c>
      <c r="N35" s="13">
        <f t="shared" si="10"/>
        <v>130421.80725107831</v>
      </c>
      <c r="O35" s="13">
        <f t="shared" si="10"/>
        <v>134589.43498719845</v>
      </c>
      <c r="P35" s="13">
        <f t="shared" si="10"/>
        <v>300360.50970209565</v>
      </c>
      <c r="Q35" s="13">
        <f t="shared" si="10"/>
        <v>296040.21885672532</v>
      </c>
      <c r="R35" s="13">
        <f t="shared" si="10"/>
        <v>291728.75879958423</v>
      </c>
      <c r="S35" s="13">
        <f t="shared" si="10"/>
        <v>287426.33550758683</v>
      </c>
      <c r="T35" s="13">
        <f t="shared" si="10"/>
        <v>283133.16539881041</v>
      </c>
      <c r="U35" s="13">
        <f t="shared" si="10"/>
        <v>278849.47622426326</v>
      </c>
      <c r="V35" s="13">
        <f t="shared" si="10"/>
        <v>274575.50804654497</v>
      </c>
    </row>
    <row r="36" spans="1:22" ht="15" thickBot="1" x14ac:dyDescent="0.35">
      <c r="A36" t="s">
        <v>742</v>
      </c>
      <c r="F36" s="10">
        <f>F35</f>
        <v>-694848.06647482351</v>
      </c>
      <c r="G36" s="10">
        <f t="shared" ref="G36:V36" si="11">F36+G35</f>
        <v>-595877.14462176943</v>
      </c>
      <c r="H36" s="10">
        <f t="shared" si="11"/>
        <v>-492830.59118341951</v>
      </c>
      <c r="I36" s="10">
        <f t="shared" si="11"/>
        <v>-385701.63491024432</v>
      </c>
      <c r="J36" s="10">
        <f t="shared" si="11"/>
        <v>-271869.34317743644</v>
      </c>
      <c r="K36" s="10">
        <f t="shared" si="11"/>
        <v>-153901.49233340402</v>
      </c>
      <c r="L36" s="10">
        <f t="shared" si="11"/>
        <v>-31790.309017955384</v>
      </c>
      <c r="M36" s="10">
        <f t="shared" si="11"/>
        <v>94472.138226856303</v>
      </c>
      <c r="N36" s="10">
        <f t="shared" si="11"/>
        <v>224893.94547793461</v>
      </c>
      <c r="O36" s="10">
        <f t="shared" si="11"/>
        <v>359483.38046513306</v>
      </c>
      <c r="P36" s="10">
        <f t="shared" si="11"/>
        <v>659843.89016722864</v>
      </c>
      <c r="Q36" s="10">
        <f t="shared" si="11"/>
        <v>955884.10902395402</v>
      </c>
      <c r="R36" s="10">
        <f t="shared" si="11"/>
        <v>1247612.8678235384</v>
      </c>
      <c r="S36" s="10">
        <f t="shared" si="11"/>
        <v>1535039.2033311252</v>
      </c>
      <c r="T36" s="10">
        <f t="shared" si="11"/>
        <v>1818172.3687299355</v>
      </c>
      <c r="U36" s="10">
        <f t="shared" si="11"/>
        <v>2097021.8449541987</v>
      </c>
      <c r="V36" s="10">
        <f t="shared" si="11"/>
        <v>2371597.3530007438</v>
      </c>
    </row>
    <row r="37" spans="1:22" ht="15" thickBot="1" x14ac:dyDescent="0.35">
      <c r="A37" t="s">
        <v>743</v>
      </c>
      <c r="B37" s="67">
        <f>NPV(F37,F35:V35)-N12</f>
        <v>-185523.31337368547</v>
      </c>
      <c r="F37" s="70">
        <v>0.1</v>
      </c>
    </row>
    <row r="38" spans="1:22" x14ac:dyDescent="0.3">
      <c r="A38" t="s">
        <v>735</v>
      </c>
      <c r="E38">
        <v>0</v>
      </c>
      <c r="F38">
        <f>N10-F27</f>
        <v>2332800</v>
      </c>
      <c r="G38">
        <f t="shared" ref="G38:V38" si="12">F38-G27</f>
        <v>2235600</v>
      </c>
      <c r="H38">
        <f t="shared" si="12"/>
        <v>2138400</v>
      </c>
      <c r="I38">
        <f t="shared" si="12"/>
        <v>2041200</v>
      </c>
      <c r="J38">
        <f t="shared" si="12"/>
        <v>1944000</v>
      </c>
      <c r="K38">
        <f t="shared" si="12"/>
        <v>1846800</v>
      </c>
      <c r="L38">
        <f t="shared" si="12"/>
        <v>1749600</v>
      </c>
      <c r="M38">
        <f t="shared" si="12"/>
        <v>1652400</v>
      </c>
      <c r="N38">
        <f t="shared" si="12"/>
        <v>1555200</v>
      </c>
      <c r="O38">
        <f t="shared" si="12"/>
        <v>1458000</v>
      </c>
      <c r="P38">
        <f t="shared" si="12"/>
        <v>1360800</v>
      </c>
      <c r="Q38">
        <f t="shared" si="12"/>
        <v>1263600</v>
      </c>
      <c r="R38">
        <f t="shared" si="12"/>
        <v>1166400</v>
      </c>
      <c r="S38">
        <f t="shared" si="12"/>
        <v>1069200</v>
      </c>
      <c r="T38">
        <f t="shared" si="12"/>
        <v>972000</v>
      </c>
      <c r="U38">
        <f t="shared" si="12"/>
        <v>874800</v>
      </c>
      <c r="V38">
        <f t="shared" si="12"/>
        <v>777600</v>
      </c>
    </row>
    <row r="39" spans="1:22" x14ac:dyDescent="0.3">
      <c r="A39" t="s">
        <v>549</v>
      </c>
      <c r="F39" s="13">
        <f t="shared" ref="F39:V39" si="13">F42+F18</f>
        <v>303970.34359576472</v>
      </c>
      <c r="G39" s="13">
        <f t="shared" si="13"/>
        <v>363223.66307470121</v>
      </c>
      <c r="H39" s="13">
        <f t="shared" si="13"/>
        <v>361891.08877832169</v>
      </c>
      <c r="I39" s="13">
        <f t="shared" si="13"/>
        <v>360736.44794324652</v>
      </c>
      <c r="J39" s="13">
        <f t="shared" si="13"/>
        <v>362388.94040793023</v>
      </c>
      <c r="K39" s="13">
        <f t="shared" si="13"/>
        <v>361676.36834228161</v>
      </c>
      <c r="L39" s="13">
        <f t="shared" si="13"/>
        <v>361192.41207847156</v>
      </c>
      <c r="M39" s="13">
        <f t="shared" si="13"/>
        <v>360957.14129181002</v>
      </c>
      <c r="N39" s="13">
        <f t="shared" si="13"/>
        <v>360992.59074656456</v>
      </c>
      <c r="O39" s="13">
        <f t="shared" si="13"/>
        <v>361322.95617667824</v>
      </c>
      <c r="P39" s="13">
        <f t="shared" si="13"/>
        <v>361974.80974513508</v>
      </c>
      <c r="Q39" s="13">
        <f t="shared" si="13"/>
        <v>362977.33703969955</v>
      </c>
      <c r="R39" s="13">
        <f t="shared" si="13"/>
        <v>364362.59775852109</v>
      </c>
      <c r="S39" s="13">
        <f t="shared" si="13"/>
        <v>366165.81245444773</v>
      </c>
      <c r="T39" s="13">
        <f t="shared" si="13"/>
        <v>368425.6779437681</v>
      </c>
      <c r="U39" s="13">
        <f t="shared" si="13"/>
        <v>371184.71424567857</v>
      </c>
      <c r="V39" s="13">
        <f t="shared" si="13"/>
        <v>374489.64620539313</v>
      </c>
    </row>
    <row r="40" spans="1:22" x14ac:dyDescent="0.3">
      <c r="A40" t="s">
        <v>729</v>
      </c>
      <c r="F40" s="13">
        <f t="shared" ref="F40:V40" si="14">(E38+F38)/2+F26*0.05</f>
        <v>1172418.6705035295</v>
      </c>
      <c r="G40">
        <f t="shared" si="14"/>
        <v>2290365.6370610823</v>
      </c>
      <c r="H40">
        <f t="shared" si="14"/>
        <v>2193320.4767669984</v>
      </c>
      <c r="I40">
        <f t="shared" si="14"/>
        <v>2096283.8745835035</v>
      </c>
      <c r="J40">
        <f t="shared" si="14"/>
        <v>1999256.5824337562</v>
      </c>
      <c r="K40">
        <f t="shared" si="14"/>
        <v>1902239.4258749124</v>
      </c>
      <c r="L40">
        <f t="shared" si="14"/>
        <v>1805233.3114381512</v>
      </c>
      <c r="M40">
        <f t="shared" si="14"/>
        <v>1708239.2347023499</v>
      </c>
      <c r="N40">
        <f t="shared" si="14"/>
        <v>1611258.2891747742</v>
      </c>
      <c r="O40" s="13">
        <f t="shared" si="14"/>
        <v>1514291.676059474</v>
      </c>
      <c r="P40" s="13">
        <f t="shared" si="14"/>
        <v>1417340.7150021519</v>
      </c>
      <c r="Q40" s="13">
        <f t="shared" si="14"/>
        <v>1320406.8559091487</v>
      </c>
      <c r="R40" s="13">
        <f t="shared" si="14"/>
        <v>1223491.6919479468</v>
      </c>
      <c r="S40" s="13">
        <f t="shared" si="14"/>
        <v>1126596.9738473431</v>
      </c>
      <c r="T40" s="13">
        <f t="shared" si="14"/>
        <v>1029724.6256272478</v>
      </c>
      <c r="U40" s="13">
        <f t="shared" si="14"/>
        <v>932876.76190107071</v>
      </c>
      <c r="V40" s="13">
        <f t="shared" si="14"/>
        <v>836055.70690794243</v>
      </c>
    </row>
    <row r="41" spans="1:22" x14ac:dyDescent="0.3">
      <c r="A41" t="s">
        <v>882</v>
      </c>
      <c r="F41" s="13">
        <f>F40*I15</f>
        <v>58620.933525176479</v>
      </c>
      <c r="G41" s="13">
        <f>G40*I15</f>
        <v>114518.28185305413</v>
      </c>
      <c r="H41" s="13">
        <f>H40*I15</f>
        <v>109666.02383834992</v>
      </c>
      <c r="I41" s="13">
        <f>I40*I15</f>
        <v>104814.19372917518</v>
      </c>
      <c r="J41" s="13">
        <f>J40*I15</f>
        <v>99962.829121687813</v>
      </c>
      <c r="K41" s="13">
        <f>K40*I15</f>
        <v>95111.971293745621</v>
      </c>
      <c r="L41" s="13">
        <f>L40*I15</f>
        <v>90261.665571907564</v>
      </c>
      <c r="M41" s="13">
        <f>M40*I15</f>
        <v>85411.961735117497</v>
      </c>
      <c r="N41" s="13">
        <f>N40*I15</f>
        <v>80562.914458738713</v>
      </c>
      <c r="O41" s="13">
        <f>O40*I15</f>
        <v>75714.583802973706</v>
      </c>
      <c r="P41" s="13">
        <f>P40*I15</f>
        <v>70867.035750107592</v>
      </c>
      <c r="Q41" s="13">
        <f>Q40*I15</f>
        <v>66020.342795457444</v>
      </c>
      <c r="R41" s="13">
        <f>R40*I15</f>
        <v>61174.584597397341</v>
      </c>
      <c r="S41" s="13">
        <f>S40*I15</f>
        <v>56329.848692367159</v>
      </c>
      <c r="T41" s="13">
        <f>T40*I15</f>
        <v>51486.231281362394</v>
      </c>
      <c r="U41" s="13">
        <f>U40*I15</f>
        <v>46643.838095053536</v>
      </c>
      <c r="V41" s="13">
        <f>V40*I15</f>
        <v>41802.785345397126</v>
      </c>
    </row>
    <row r="42" spans="1:22" ht="15" thickBot="1" x14ac:dyDescent="0.35">
      <c r="A42" t="s">
        <v>880</v>
      </c>
      <c r="F42" s="13">
        <f>F41+F31-F30</f>
        <v>276194.34359576472</v>
      </c>
      <c r="G42" s="13">
        <f t="shared" ref="G42:V42" si="15">G31+G41-G30</f>
        <v>335031.0230747012</v>
      </c>
      <c r="H42" s="13">
        <f t="shared" si="15"/>
        <v>333275.55917832168</v>
      </c>
      <c r="I42" s="13">
        <f t="shared" si="15"/>
        <v>331691.68539924652</v>
      </c>
      <c r="J42" s="13">
        <f t="shared" si="15"/>
        <v>330294.47779681021</v>
      </c>
      <c r="K42" s="13">
        <f t="shared" si="15"/>
        <v>329100.48879199481</v>
      </c>
      <c r="L42" s="13">
        <f t="shared" si="15"/>
        <v>328127.89433493046</v>
      </c>
      <c r="M42" s="13">
        <f t="shared" si="15"/>
        <v>327396.65578211582</v>
      </c>
      <c r="N42" s="13">
        <f t="shared" si="15"/>
        <v>326928.69795422495</v>
      </c>
      <c r="O42" s="13">
        <f t="shared" si="15"/>
        <v>326748.10499245353</v>
      </c>
      <c r="P42" s="13">
        <f t="shared" si="15"/>
        <v>326881.33579314704</v>
      </c>
      <c r="Q42" s="13">
        <f t="shared" si="15"/>
        <v>327357.46097843169</v>
      </c>
      <c r="R42" s="13">
        <f t="shared" si="15"/>
        <v>328208.42355633422</v>
      </c>
      <c r="S42" s="13">
        <f t="shared" si="15"/>
        <v>329469.32563922805</v>
      </c>
      <c r="T42" s="13">
        <f t="shared" si="15"/>
        <v>331178.7438263201</v>
      </c>
      <c r="U42" s="13">
        <f t="shared" si="15"/>
        <v>333379.07611646887</v>
      </c>
      <c r="V42" s="13">
        <f t="shared" si="15"/>
        <v>336116.92350424529</v>
      </c>
    </row>
    <row r="43" spans="1:22" s="1" customFormat="1" ht="15" thickBot="1" x14ac:dyDescent="0.35">
      <c r="A43" s="1" t="s">
        <v>881</v>
      </c>
      <c r="F43" s="90">
        <f>(F42-F18)/E8</f>
        <v>92.006793924357297</v>
      </c>
      <c r="G43" s="74">
        <f>(G42-G18)/E8</f>
        <v>113.64384558322266</v>
      </c>
      <c r="H43" s="74">
        <f>(H42-H18)/E8</f>
        <v>112.83704799197099</v>
      </c>
      <c r="I43" s="74">
        <f>(I42-I18)/E8</f>
        <v>112.09145290935056</v>
      </c>
      <c r="J43" s="74">
        <f>(J42-J18)/E8</f>
        <v>110.44445006877415</v>
      </c>
      <c r="K43" s="74">
        <f>(K42-K18)/E8</f>
        <v>109.82392934878074</v>
      </c>
      <c r="L43" s="74">
        <f>(L42-L18)/E8</f>
        <v>109.28273207088495</v>
      </c>
      <c r="M43" s="74">
        <f>(M42-M18)/E8</f>
        <v>108.828211212008</v>
      </c>
      <c r="N43" s="74">
        <f>(N42-N18)/E8</f>
        <v>108.46844635625382</v>
      </c>
      <c r="O43" s="74">
        <f>(O42-O18)/E8</f>
        <v>108.21231622526993</v>
      </c>
      <c r="P43" s="74">
        <f>(P42-P18)/E8</f>
        <v>108.06957845968851</v>
      </c>
      <c r="Q43" s="74">
        <f>(Q42-Q18)/E8</f>
        <v>108.05095737672734</v>
      </c>
      <c r="R43" s="74">
        <f>(R42-R18)/E8</f>
        <v>108.16824050153606</v>
      </c>
      <c r="S43" s="74">
        <f>(S42-S18)/E8</f>
        <v>108.43438474963273</v>
      </c>
      <c r="T43" s="74">
        <f>(T42-T18)/E8</f>
        <v>108.8636332255082</v>
      </c>
      <c r="U43" s="74">
        <f>(U42-U18)/E8</f>
        <v>109.47164369898488</v>
      </c>
      <c r="V43" s="74">
        <f>(V42-V18)/E8</f>
        <v>110.27562992707313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37" workbookViewId="0">
      <selection activeCell="I83" sqref="I83"/>
    </sheetView>
  </sheetViews>
  <sheetFormatPr defaultRowHeight="14.4" x14ac:dyDescent="0.3"/>
  <sheetData>
    <row r="1" spans="1:9" x14ac:dyDescent="0.3">
      <c r="A1" s="43" t="s">
        <v>897</v>
      </c>
      <c r="B1" s="43"/>
      <c r="C1" s="43"/>
      <c r="D1" s="43"/>
      <c r="E1" s="43"/>
    </row>
    <row r="2" spans="1:9" x14ac:dyDescent="0.3">
      <c r="A2" t="s">
        <v>898</v>
      </c>
      <c r="C2" t="s">
        <v>899</v>
      </c>
      <c r="E2" t="s">
        <v>490</v>
      </c>
      <c r="F2" t="s">
        <v>953</v>
      </c>
      <c r="H2" t="s">
        <v>900</v>
      </c>
      <c r="I2" t="s">
        <v>901</v>
      </c>
    </row>
    <row r="3" spans="1:9" x14ac:dyDescent="0.3">
      <c r="A3">
        <v>1</v>
      </c>
      <c r="C3">
        <v>0.68</v>
      </c>
      <c r="E3" s="13">
        <f>C3*31*24</f>
        <v>505.92000000000007</v>
      </c>
      <c r="F3">
        <v>45.5</v>
      </c>
      <c r="H3">
        <v>1</v>
      </c>
      <c r="I3">
        <v>1</v>
      </c>
    </row>
    <row r="4" spans="1:9" x14ac:dyDescent="0.3">
      <c r="A4">
        <v>2</v>
      </c>
      <c r="C4">
        <v>0.9</v>
      </c>
      <c r="E4" s="13">
        <f>C4*28*24</f>
        <v>604.79999999999995</v>
      </c>
      <c r="F4">
        <v>60.5</v>
      </c>
      <c r="H4">
        <v>100</v>
      </c>
      <c r="I4">
        <v>0.99</v>
      </c>
    </row>
    <row r="5" spans="1:9" x14ac:dyDescent="0.3">
      <c r="A5">
        <v>3</v>
      </c>
      <c r="C5">
        <v>0.56000000000000005</v>
      </c>
      <c r="E5" s="13">
        <f>C5*31*24</f>
        <v>416.6400000000001</v>
      </c>
      <c r="F5">
        <v>37.5</v>
      </c>
      <c r="H5">
        <v>200</v>
      </c>
      <c r="I5">
        <v>0.95</v>
      </c>
    </row>
    <row r="6" spans="1:9" x14ac:dyDescent="0.3">
      <c r="A6">
        <v>4</v>
      </c>
      <c r="E6">
        <v>0</v>
      </c>
      <c r="H6">
        <v>300</v>
      </c>
      <c r="I6">
        <v>0.9</v>
      </c>
    </row>
    <row r="7" spans="1:9" x14ac:dyDescent="0.3">
      <c r="A7">
        <v>5</v>
      </c>
      <c r="E7">
        <v>0</v>
      </c>
      <c r="H7">
        <v>400</v>
      </c>
      <c r="I7">
        <v>0.85</v>
      </c>
    </row>
    <row r="8" spans="1:9" x14ac:dyDescent="0.3">
      <c r="A8">
        <v>6</v>
      </c>
      <c r="E8">
        <v>0</v>
      </c>
      <c r="H8">
        <v>500</v>
      </c>
      <c r="I8">
        <v>0.8</v>
      </c>
    </row>
    <row r="9" spans="1:9" x14ac:dyDescent="0.3">
      <c r="A9">
        <v>7</v>
      </c>
      <c r="E9">
        <v>0</v>
      </c>
      <c r="H9">
        <v>600</v>
      </c>
      <c r="I9">
        <v>0.78</v>
      </c>
    </row>
    <row r="10" spans="1:9" x14ac:dyDescent="0.3">
      <c r="A10">
        <v>8</v>
      </c>
      <c r="E10">
        <v>0</v>
      </c>
      <c r="H10">
        <v>700</v>
      </c>
      <c r="I10">
        <v>0.76</v>
      </c>
    </row>
    <row r="11" spans="1:9" x14ac:dyDescent="0.3">
      <c r="A11">
        <v>9</v>
      </c>
      <c r="E11">
        <v>0</v>
      </c>
      <c r="H11">
        <v>800</v>
      </c>
      <c r="I11">
        <v>0.73</v>
      </c>
    </row>
    <row r="12" spans="1:9" x14ac:dyDescent="0.3">
      <c r="A12">
        <v>10</v>
      </c>
      <c r="C12">
        <v>0.38</v>
      </c>
      <c r="E12" s="13">
        <f>C12*31*24</f>
        <v>282.71999999999997</v>
      </c>
      <c r="F12">
        <v>24</v>
      </c>
      <c r="H12">
        <v>900</v>
      </c>
      <c r="I12">
        <v>0.7</v>
      </c>
    </row>
    <row r="13" spans="1:9" x14ac:dyDescent="0.3">
      <c r="A13">
        <v>11</v>
      </c>
      <c r="C13">
        <v>0.56000000000000005</v>
      </c>
      <c r="E13" s="13">
        <f>C13*30*24</f>
        <v>403.20000000000005</v>
      </c>
      <c r="F13">
        <v>34.200000000000003</v>
      </c>
      <c r="H13">
        <v>1000</v>
      </c>
      <c r="I13">
        <v>0.68</v>
      </c>
    </row>
    <row r="14" spans="1:9" x14ac:dyDescent="0.3">
      <c r="A14">
        <v>12</v>
      </c>
      <c r="C14">
        <v>0.66</v>
      </c>
      <c r="E14" s="13">
        <f>C14*31*24</f>
        <v>491.04</v>
      </c>
      <c r="F14">
        <v>41.7</v>
      </c>
      <c r="H14">
        <v>1100</v>
      </c>
      <c r="I14">
        <v>0.66</v>
      </c>
    </row>
    <row r="15" spans="1:9" x14ac:dyDescent="0.3">
      <c r="H15">
        <v>1200</v>
      </c>
      <c r="I15">
        <v>0.64</v>
      </c>
    </row>
    <row r="16" spans="1:9" x14ac:dyDescent="0.3">
      <c r="C16" t="s">
        <v>902</v>
      </c>
      <c r="E16" s="13">
        <f>SUM(E3:E14)</f>
        <v>2704.32</v>
      </c>
      <c r="F16">
        <v>243.4</v>
      </c>
      <c r="H16">
        <v>1300</v>
      </c>
      <c r="I16">
        <v>0.62</v>
      </c>
    </row>
    <row r="17" spans="1:17" x14ac:dyDescent="0.3">
      <c r="H17">
        <v>1400</v>
      </c>
      <c r="I17">
        <v>0.6</v>
      </c>
    </row>
    <row r="18" spans="1:17" x14ac:dyDescent="0.3">
      <c r="A18" t="s">
        <v>903</v>
      </c>
      <c r="H18">
        <v>1500</v>
      </c>
      <c r="I18">
        <v>0.59</v>
      </c>
    </row>
    <row r="19" spans="1:17" x14ac:dyDescent="0.3">
      <c r="A19" t="s">
        <v>904</v>
      </c>
      <c r="G19">
        <v>4000</v>
      </c>
      <c r="H19">
        <v>1600</v>
      </c>
      <c r="I19">
        <v>0.59</v>
      </c>
    </row>
    <row r="20" spans="1:17" x14ac:dyDescent="0.3">
      <c r="A20" t="s">
        <v>908</v>
      </c>
      <c r="H20">
        <v>1700</v>
      </c>
      <c r="I20">
        <v>0.57999999999999996</v>
      </c>
    </row>
    <row r="21" spans="1:17" x14ac:dyDescent="0.3">
      <c r="A21" t="s">
        <v>905</v>
      </c>
      <c r="F21" s="8"/>
      <c r="G21" s="8">
        <v>0.35</v>
      </c>
      <c r="H21">
        <v>1800</v>
      </c>
      <c r="I21">
        <v>0.57999999999999996</v>
      </c>
    </row>
    <row r="22" spans="1:17" x14ac:dyDescent="0.3">
      <c r="H22">
        <v>1900</v>
      </c>
      <c r="I22">
        <v>0.56999999999999995</v>
      </c>
      <c r="O22" s="28" t="s">
        <v>906</v>
      </c>
      <c r="P22" s="28"/>
      <c r="Q22" s="28"/>
    </row>
    <row r="23" spans="1:17" x14ac:dyDescent="0.3">
      <c r="H23">
        <v>2000</v>
      </c>
      <c r="I23">
        <v>0.56999999999999995</v>
      </c>
    </row>
    <row r="24" spans="1:17" x14ac:dyDescent="0.3">
      <c r="H24">
        <v>2100</v>
      </c>
      <c r="I24">
        <v>0.56999999999999995</v>
      </c>
    </row>
    <row r="25" spans="1:17" x14ac:dyDescent="0.3">
      <c r="H25">
        <v>2200</v>
      </c>
      <c r="I25">
        <v>0.56000000000000005</v>
      </c>
    </row>
    <row r="26" spans="1:17" x14ac:dyDescent="0.3">
      <c r="H26">
        <v>2300</v>
      </c>
      <c r="I26">
        <v>0.55000000000000004</v>
      </c>
    </row>
    <row r="27" spans="1:17" x14ac:dyDescent="0.3">
      <c r="H27">
        <v>2400</v>
      </c>
      <c r="I27">
        <v>0.54</v>
      </c>
    </row>
    <row r="28" spans="1:17" x14ac:dyDescent="0.3">
      <c r="H28">
        <v>2500</v>
      </c>
      <c r="I28">
        <v>0.53</v>
      </c>
    </row>
    <row r="29" spans="1:17" x14ac:dyDescent="0.3">
      <c r="H29">
        <v>2600</v>
      </c>
      <c r="I29">
        <v>0.52</v>
      </c>
    </row>
    <row r="30" spans="1:17" x14ac:dyDescent="0.3">
      <c r="H30">
        <v>2700</v>
      </c>
      <c r="I30">
        <v>0.52</v>
      </c>
    </row>
    <row r="31" spans="1:17" x14ac:dyDescent="0.3">
      <c r="H31">
        <v>2800</v>
      </c>
      <c r="I31">
        <v>0.5</v>
      </c>
    </row>
    <row r="32" spans="1:17" x14ac:dyDescent="0.3">
      <c r="H32">
        <v>2900</v>
      </c>
      <c r="I32">
        <v>0.49</v>
      </c>
    </row>
    <row r="33" spans="8:15" x14ac:dyDescent="0.3">
      <c r="H33">
        <v>3000</v>
      </c>
      <c r="I33">
        <v>0.48</v>
      </c>
    </row>
    <row r="34" spans="8:15" x14ac:dyDescent="0.3">
      <c r="H34">
        <v>3100</v>
      </c>
      <c r="I34">
        <v>0.46</v>
      </c>
    </row>
    <row r="35" spans="8:15" x14ac:dyDescent="0.3">
      <c r="H35">
        <v>3200</v>
      </c>
      <c r="I35">
        <v>0.44</v>
      </c>
    </row>
    <row r="36" spans="8:15" x14ac:dyDescent="0.3">
      <c r="H36">
        <v>3300</v>
      </c>
      <c r="I36">
        <v>0.42</v>
      </c>
    </row>
    <row r="37" spans="8:15" x14ac:dyDescent="0.3">
      <c r="H37">
        <v>3400</v>
      </c>
      <c r="I37">
        <v>0.4</v>
      </c>
    </row>
    <row r="38" spans="8:15" x14ac:dyDescent="0.3">
      <c r="H38">
        <v>3500</v>
      </c>
      <c r="I38">
        <v>0.39</v>
      </c>
    </row>
    <row r="39" spans="8:15" x14ac:dyDescent="0.3">
      <c r="H39">
        <v>3600</v>
      </c>
      <c r="I39">
        <v>0.38</v>
      </c>
    </row>
    <row r="40" spans="8:15" x14ac:dyDescent="0.3">
      <c r="H40">
        <v>3700</v>
      </c>
      <c r="I40">
        <v>0.35</v>
      </c>
    </row>
    <row r="41" spans="8:15" x14ac:dyDescent="0.3">
      <c r="H41">
        <v>3800</v>
      </c>
      <c r="I41">
        <v>0.32</v>
      </c>
    </row>
    <row r="42" spans="8:15" x14ac:dyDescent="0.3">
      <c r="H42">
        <v>3900</v>
      </c>
      <c r="I42">
        <v>0.3</v>
      </c>
    </row>
    <row r="43" spans="8:15" x14ac:dyDescent="0.3">
      <c r="H43">
        <v>4000</v>
      </c>
      <c r="I43">
        <v>0.28000000000000003</v>
      </c>
    </row>
    <row r="46" spans="8:15" x14ac:dyDescent="0.3">
      <c r="O46" s="28"/>
    </row>
    <row r="49" spans="2:3" x14ac:dyDescent="0.3">
      <c r="C49" t="s">
        <v>907</v>
      </c>
    </row>
    <row r="51" spans="2:3" x14ac:dyDescent="0.3">
      <c r="B51" s="79"/>
    </row>
    <row r="69" spans="1:6" x14ac:dyDescent="0.3">
      <c r="A69" t="s">
        <v>954</v>
      </c>
    </row>
    <row r="71" spans="1:6" x14ac:dyDescent="0.3">
      <c r="A71" t="s">
        <v>898</v>
      </c>
      <c r="C71" t="s">
        <v>955</v>
      </c>
      <c r="E71" t="s">
        <v>490</v>
      </c>
      <c r="F71" t="s">
        <v>953</v>
      </c>
    </row>
    <row r="72" spans="1:6" x14ac:dyDescent="0.3">
      <c r="A72">
        <v>1</v>
      </c>
      <c r="C72">
        <v>0.83</v>
      </c>
      <c r="E72" s="13">
        <f>C72*24*31</f>
        <v>617.52</v>
      </c>
      <c r="F72" s="13">
        <f>E72*0.09</f>
        <v>55.576799999999999</v>
      </c>
    </row>
    <row r="73" spans="1:6" x14ac:dyDescent="0.3">
      <c r="A73">
        <v>2</v>
      </c>
      <c r="C73">
        <v>0.98</v>
      </c>
      <c r="E73" s="13">
        <f>C73*24*28</f>
        <v>658.56</v>
      </c>
      <c r="F73" s="13">
        <f>E73*0.09</f>
        <v>59.270399999999995</v>
      </c>
    </row>
    <row r="74" spans="1:6" x14ac:dyDescent="0.3">
      <c r="A74">
        <v>3</v>
      </c>
      <c r="C74">
        <v>0.61</v>
      </c>
      <c r="E74" s="13">
        <f>C74*31*24</f>
        <v>453.84000000000003</v>
      </c>
      <c r="F74" s="13">
        <f>E74*0.09</f>
        <v>40.845600000000005</v>
      </c>
    </row>
    <row r="75" spans="1:6" x14ac:dyDescent="0.3">
      <c r="A75">
        <v>4</v>
      </c>
      <c r="C75">
        <v>0.17</v>
      </c>
      <c r="E75" s="13">
        <f>C75*30*24</f>
        <v>122.4</v>
      </c>
      <c r="F75" s="13">
        <f>E75*0.09</f>
        <v>11.016</v>
      </c>
    </row>
    <row r="76" spans="1:6" x14ac:dyDescent="0.3">
      <c r="A76">
        <v>5</v>
      </c>
      <c r="C76">
        <v>0.17</v>
      </c>
      <c r="E76" s="13">
        <f>C76*24*31</f>
        <v>126.48</v>
      </c>
      <c r="F76" s="13">
        <f>E76*0.25</f>
        <v>31.62</v>
      </c>
    </row>
    <row r="77" spans="1:6" x14ac:dyDescent="0.3">
      <c r="A77">
        <v>6</v>
      </c>
      <c r="C77">
        <v>0.17</v>
      </c>
      <c r="E77" s="13">
        <f>C77*24*30</f>
        <v>122.4</v>
      </c>
      <c r="F77" s="13">
        <f>E77*0.25</f>
        <v>30.6</v>
      </c>
    </row>
    <row r="78" spans="1:6" x14ac:dyDescent="0.3">
      <c r="A78">
        <v>7</v>
      </c>
      <c r="C78">
        <v>0.17</v>
      </c>
      <c r="E78" s="13">
        <f>C78*24*31</f>
        <v>126.48</v>
      </c>
      <c r="F78" s="13">
        <f>E78*0.25</f>
        <v>31.62</v>
      </c>
    </row>
    <row r="79" spans="1:6" x14ac:dyDescent="0.3">
      <c r="A79">
        <v>8</v>
      </c>
      <c r="C79">
        <v>0.17</v>
      </c>
      <c r="E79" s="13">
        <f>C79*24*31</f>
        <v>126.48</v>
      </c>
      <c r="F79" s="13">
        <f>E79*0.25</f>
        <v>31.62</v>
      </c>
    </row>
    <row r="80" spans="1:6" x14ac:dyDescent="0.3">
      <c r="A80">
        <v>9</v>
      </c>
      <c r="C80">
        <v>0.17</v>
      </c>
      <c r="E80" s="13">
        <f>C80*24*30</f>
        <v>122.4</v>
      </c>
      <c r="F80" s="13">
        <f>E80*0.25</f>
        <v>30.6</v>
      </c>
    </row>
    <row r="81" spans="1:6" x14ac:dyDescent="0.3">
      <c r="A81">
        <v>10</v>
      </c>
      <c r="C81">
        <v>0.53</v>
      </c>
      <c r="E81" s="13">
        <f>C81*24*31</f>
        <v>394.32</v>
      </c>
      <c r="F81" s="13">
        <f>E81*0.09</f>
        <v>35.488799999999998</v>
      </c>
    </row>
    <row r="82" spans="1:6" x14ac:dyDescent="0.3">
      <c r="A82">
        <v>11</v>
      </c>
      <c r="C82">
        <v>0.71</v>
      </c>
      <c r="E82" s="13">
        <f>C82*24*30</f>
        <v>511.2</v>
      </c>
      <c r="F82" s="13">
        <f>E82*0.09</f>
        <v>46.007999999999996</v>
      </c>
    </row>
    <row r="83" spans="1:6" x14ac:dyDescent="0.3">
      <c r="A83">
        <v>12</v>
      </c>
      <c r="C83">
        <v>0.81</v>
      </c>
      <c r="E83" s="13">
        <f>C83*24*31</f>
        <v>602.64</v>
      </c>
      <c r="F83" s="13">
        <f>E83*0.09</f>
        <v>54.237599999999993</v>
      </c>
    </row>
    <row r="85" spans="1:6" x14ac:dyDescent="0.3">
      <c r="D85" t="s">
        <v>436</v>
      </c>
      <c r="E85" s="13">
        <f>SUM(E72:E83)</f>
        <v>3984.7200000000003</v>
      </c>
      <c r="F85" s="13">
        <f>SUM(F72:F83)</f>
        <v>458.50319999999999</v>
      </c>
    </row>
    <row r="86" spans="1:6" x14ac:dyDescent="0.3">
      <c r="B86" t="s">
        <v>956</v>
      </c>
      <c r="D86" s="14">
        <f>F85/E85*100</f>
        <v>11.506534963560801</v>
      </c>
    </row>
    <row r="88" spans="1:6" x14ac:dyDescent="0.3">
      <c r="B88" t="s">
        <v>966</v>
      </c>
      <c r="E88" s="13">
        <f>E85-E16</f>
        <v>1280.4000000000001</v>
      </c>
      <c r="F88" t="s">
        <v>490</v>
      </c>
    </row>
    <row r="89" spans="1:6" x14ac:dyDescent="0.3">
      <c r="B89" t="s">
        <v>967</v>
      </c>
      <c r="E89" s="13">
        <f>E88/0.98</f>
        <v>1306.5306122448981</v>
      </c>
      <c r="F89" t="s">
        <v>490</v>
      </c>
    </row>
    <row r="90" spans="1:6" x14ac:dyDescent="0.3">
      <c r="B90" t="s">
        <v>968</v>
      </c>
      <c r="E90">
        <f>E89*90.3</f>
        <v>117979.71428571429</v>
      </c>
      <c r="F90" t="s">
        <v>460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2"/>
  <sheetViews>
    <sheetView topLeftCell="A22" workbookViewId="0">
      <selection activeCell="I47" sqref="I47"/>
    </sheetView>
  </sheetViews>
  <sheetFormatPr defaultRowHeight="14.4" x14ac:dyDescent="0.3"/>
  <cols>
    <col min="5" max="20" width="9.33203125" bestFit="1" customWidth="1"/>
    <col min="21" max="22" width="9.5546875" bestFit="1" customWidth="1"/>
    <col min="23" max="23" width="9.33203125" bestFit="1" customWidth="1"/>
  </cols>
  <sheetData>
    <row r="2" spans="1:12" x14ac:dyDescent="0.3">
      <c r="A2" t="s">
        <v>516</v>
      </c>
    </row>
    <row r="3" spans="1:12" x14ac:dyDescent="0.3">
      <c r="A3" s="28" t="s">
        <v>552</v>
      </c>
      <c r="B3" s="28"/>
      <c r="C3" s="28"/>
      <c r="D3" s="28"/>
    </row>
    <row r="4" spans="1:12" x14ac:dyDescent="0.3">
      <c r="A4" t="s">
        <v>517</v>
      </c>
    </row>
    <row r="5" spans="1:12" x14ac:dyDescent="0.3">
      <c r="A5" t="s">
        <v>518</v>
      </c>
      <c r="D5">
        <v>1</v>
      </c>
      <c r="G5" t="s">
        <v>539</v>
      </c>
      <c r="I5" t="s">
        <v>466</v>
      </c>
      <c r="J5">
        <v>2.2999999999999998</v>
      </c>
    </row>
    <row r="6" spans="1:12" x14ac:dyDescent="0.3">
      <c r="A6" t="s">
        <v>519</v>
      </c>
      <c r="D6">
        <v>1</v>
      </c>
      <c r="G6" t="s">
        <v>540</v>
      </c>
      <c r="I6" t="s">
        <v>466</v>
      </c>
      <c r="J6">
        <v>3.8</v>
      </c>
    </row>
    <row r="7" spans="1:12" x14ac:dyDescent="0.3">
      <c r="A7" t="s">
        <v>520</v>
      </c>
      <c r="D7" s="1">
        <v>3985</v>
      </c>
      <c r="G7" t="s">
        <v>538</v>
      </c>
      <c r="J7">
        <v>0.04</v>
      </c>
    </row>
    <row r="8" spans="1:12" x14ac:dyDescent="0.3">
      <c r="A8" t="s">
        <v>521</v>
      </c>
      <c r="D8">
        <v>0.84</v>
      </c>
      <c r="G8" t="s">
        <v>889</v>
      </c>
      <c r="J8">
        <v>2.5000000000000001E-2</v>
      </c>
    </row>
    <row r="9" spans="1:12" x14ac:dyDescent="0.3">
      <c r="A9" t="s">
        <v>522</v>
      </c>
      <c r="D9">
        <v>0.115</v>
      </c>
      <c r="E9" s="32">
        <f>J12*D9</f>
        <v>517.8248587570622</v>
      </c>
      <c r="G9" t="s">
        <v>542</v>
      </c>
      <c r="J9">
        <v>0.1</v>
      </c>
      <c r="L9" t="s">
        <v>543</v>
      </c>
    </row>
    <row r="10" spans="1:12" x14ac:dyDescent="0.3">
      <c r="A10" t="s">
        <v>523</v>
      </c>
      <c r="D10">
        <v>18</v>
      </c>
      <c r="G10" t="s">
        <v>545</v>
      </c>
      <c r="J10">
        <v>55</v>
      </c>
      <c r="L10" t="s">
        <v>556</v>
      </c>
    </row>
    <row r="11" spans="1:12" x14ac:dyDescent="0.3">
      <c r="A11" t="s">
        <v>524</v>
      </c>
      <c r="D11">
        <f>D12+D13</f>
        <v>650000</v>
      </c>
      <c r="G11" t="s">
        <v>687</v>
      </c>
      <c r="J11">
        <v>8500</v>
      </c>
    </row>
    <row r="12" spans="1:12" x14ac:dyDescent="0.3">
      <c r="A12" t="s">
        <v>525</v>
      </c>
      <c r="D12">
        <v>350000</v>
      </c>
      <c r="G12" t="s">
        <v>972</v>
      </c>
      <c r="I12" t="s">
        <v>490</v>
      </c>
      <c r="J12" s="13">
        <f>D7/(1-0.115)</f>
        <v>4502.8248587570624</v>
      </c>
    </row>
    <row r="13" spans="1:12" x14ac:dyDescent="0.3">
      <c r="A13" t="s">
        <v>526</v>
      </c>
      <c r="D13">
        <v>300000</v>
      </c>
    </row>
    <row r="14" spans="1:12" x14ac:dyDescent="0.3">
      <c r="A14" t="s">
        <v>527</v>
      </c>
      <c r="D14">
        <f>(D12+D13)*0.7</f>
        <v>455000</v>
      </c>
      <c r="E14" t="s">
        <v>745</v>
      </c>
      <c r="F14">
        <f>D11-D14</f>
        <v>195000</v>
      </c>
    </row>
    <row r="15" spans="1:12" x14ac:dyDescent="0.3">
      <c r="A15" t="s">
        <v>746</v>
      </c>
      <c r="D15">
        <v>0.05</v>
      </c>
    </row>
    <row r="16" spans="1:12" x14ac:dyDescent="0.3">
      <c r="A16" t="s">
        <v>529</v>
      </c>
      <c r="D16">
        <v>20</v>
      </c>
      <c r="G16" t="s">
        <v>726</v>
      </c>
      <c r="J16">
        <v>0.05</v>
      </c>
      <c r="L16" t="s">
        <v>728</v>
      </c>
    </row>
    <row r="17" spans="1:24" x14ac:dyDescent="0.3">
      <c r="A17" t="s">
        <v>530</v>
      </c>
      <c r="D17">
        <v>2</v>
      </c>
      <c r="G17" t="s">
        <v>727</v>
      </c>
      <c r="J17">
        <f>1/40</f>
        <v>2.5000000000000001E-2</v>
      </c>
    </row>
    <row r="18" spans="1:24" x14ac:dyDescent="0.3">
      <c r="A18" t="s">
        <v>531</v>
      </c>
      <c r="D18">
        <v>1.4999999999999999E-2</v>
      </c>
      <c r="J18">
        <f>J16*D12+J17*D13</f>
        <v>25000</v>
      </c>
    </row>
    <row r="19" spans="1:24" x14ac:dyDescent="0.3">
      <c r="A19" t="s">
        <v>532</v>
      </c>
      <c r="D19">
        <v>800</v>
      </c>
      <c r="V19" t="s">
        <v>708</v>
      </c>
    </row>
    <row r="20" spans="1:24" x14ac:dyDescent="0.3">
      <c r="A20" t="s">
        <v>533</v>
      </c>
      <c r="D20">
        <v>1.4999999999999999E-2</v>
      </c>
      <c r="V20" t="s">
        <v>709</v>
      </c>
    </row>
    <row r="21" spans="1:24" x14ac:dyDescent="0.3">
      <c r="A21" t="s">
        <v>534</v>
      </c>
      <c r="D21">
        <v>0</v>
      </c>
    </row>
    <row r="22" spans="1:24" x14ac:dyDescent="0.3">
      <c r="E22">
        <v>2014</v>
      </c>
      <c r="F22">
        <v>2015</v>
      </c>
      <c r="G22">
        <v>2016</v>
      </c>
      <c r="H22">
        <v>2017</v>
      </c>
      <c r="I22">
        <v>2018</v>
      </c>
      <c r="J22">
        <v>2019</v>
      </c>
      <c r="K22">
        <v>2020</v>
      </c>
      <c r="L22">
        <v>2021</v>
      </c>
      <c r="M22">
        <v>2022</v>
      </c>
      <c r="N22">
        <v>2023</v>
      </c>
      <c r="O22">
        <v>2024</v>
      </c>
      <c r="P22">
        <v>2025</v>
      </c>
      <c r="Q22">
        <v>2026</v>
      </c>
      <c r="R22">
        <v>2027</v>
      </c>
      <c r="S22">
        <v>2028</v>
      </c>
      <c r="T22">
        <v>2029</v>
      </c>
      <c r="U22">
        <v>2030</v>
      </c>
    </row>
    <row r="23" spans="1:24" x14ac:dyDescent="0.3">
      <c r="A23" t="s">
        <v>535</v>
      </c>
      <c r="E23" s="13">
        <f>(D7+E9)/D8*D10</f>
        <v>96489.104116222778</v>
      </c>
      <c r="F23" s="13">
        <f t="shared" ref="F23:U23" si="0">E23*1.015</f>
        <v>97936.440677966108</v>
      </c>
      <c r="G23" s="13">
        <f t="shared" si="0"/>
        <v>99405.487288135584</v>
      </c>
      <c r="H23" s="13">
        <f t="shared" si="0"/>
        <v>100896.56959745761</v>
      </c>
      <c r="I23" s="13">
        <f t="shared" si="0"/>
        <v>102410.01814141947</v>
      </c>
      <c r="J23" s="13">
        <f t="shared" si="0"/>
        <v>103946.16841354076</v>
      </c>
      <c r="K23" s="13">
        <f t="shared" si="0"/>
        <v>105505.36093974386</v>
      </c>
      <c r="L23" s="13">
        <f t="shared" si="0"/>
        <v>107087.94135384</v>
      </c>
      <c r="M23" s="13">
        <f t="shared" si="0"/>
        <v>108694.26047414758</v>
      </c>
      <c r="N23" s="13">
        <f t="shared" si="0"/>
        <v>110324.67438125979</v>
      </c>
      <c r="O23" s="13">
        <f t="shared" si="0"/>
        <v>111979.54449697868</v>
      </c>
      <c r="P23" s="13">
        <f t="shared" si="0"/>
        <v>113659.23766443334</v>
      </c>
      <c r="Q23" s="13">
        <f t="shared" si="0"/>
        <v>115364.12622939983</v>
      </c>
      <c r="R23" s="13">
        <f t="shared" si="0"/>
        <v>117094.58812284081</v>
      </c>
      <c r="S23" s="13">
        <f t="shared" si="0"/>
        <v>118851.00694468341</v>
      </c>
      <c r="T23" s="13">
        <f t="shared" si="0"/>
        <v>120633.77204885364</v>
      </c>
      <c r="U23" s="13">
        <f t="shared" si="0"/>
        <v>122443.27862958644</v>
      </c>
      <c r="V23" s="13"/>
      <c r="W23" s="13">
        <f>(D7+E9)/D8*21.6/D7</f>
        <v>29.055690072639234</v>
      </c>
      <c r="X23" t="s">
        <v>710</v>
      </c>
    </row>
    <row r="24" spans="1:24" x14ac:dyDescent="0.3">
      <c r="A24" t="s">
        <v>544</v>
      </c>
      <c r="E24" s="13">
        <f>D19*1.34*12*D17</f>
        <v>25728</v>
      </c>
      <c r="F24" s="13">
        <f>E24*1.05</f>
        <v>27014.400000000001</v>
      </c>
      <c r="G24" s="13">
        <f t="shared" ref="G24:U25" si="1">F24*1.015</f>
        <v>27419.615999999998</v>
      </c>
      <c r="H24" s="13">
        <f t="shared" si="1"/>
        <v>27830.910239999994</v>
      </c>
      <c r="I24" s="13">
        <f t="shared" si="1"/>
        <v>28248.37389359999</v>
      </c>
      <c r="J24" s="13">
        <f t="shared" si="1"/>
        <v>28672.099502003988</v>
      </c>
      <c r="K24" s="13">
        <f t="shared" si="1"/>
        <v>29102.180994534046</v>
      </c>
      <c r="L24" s="13">
        <f t="shared" si="1"/>
        <v>29538.713709452055</v>
      </c>
      <c r="M24" s="13">
        <f t="shared" si="1"/>
        <v>29981.794415093831</v>
      </c>
      <c r="N24" s="13">
        <f t="shared" si="1"/>
        <v>30431.521331320237</v>
      </c>
      <c r="O24" s="13">
        <f t="shared" si="1"/>
        <v>30887.994151290037</v>
      </c>
      <c r="P24" s="13">
        <f t="shared" si="1"/>
        <v>31351.314063559385</v>
      </c>
      <c r="Q24" s="13">
        <f t="shared" si="1"/>
        <v>31821.583774512772</v>
      </c>
      <c r="R24" s="13">
        <f t="shared" si="1"/>
        <v>32298.907531130459</v>
      </c>
      <c r="S24" s="13">
        <f t="shared" si="1"/>
        <v>32783.391144097412</v>
      </c>
      <c r="T24" s="13">
        <f t="shared" si="1"/>
        <v>33275.142011258868</v>
      </c>
      <c r="U24" s="13">
        <f t="shared" si="1"/>
        <v>33774.269141427751</v>
      </c>
      <c r="V24" s="13"/>
      <c r="W24" s="13"/>
    </row>
    <row r="25" spans="1:24" x14ac:dyDescent="0.3">
      <c r="A25" t="s">
        <v>536</v>
      </c>
      <c r="E25" s="13">
        <f>2.3*(D7+E9)</f>
        <v>10356.497175141243</v>
      </c>
      <c r="F25" s="13">
        <f>E25*1.015</f>
        <v>10511.844632768361</v>
      </c>
      <c r="G25" s="13">
        <f t="shared" si="1"/>
        <v>10669.522302259886</v>
      </c>
      <c r="H25" s="13">
        <f t="shared" si="1"/>
        <v>10829.565136793783</v>
      </c>
      <c r="I25" s="13">
        <f t="shared" si="1"/>
        <v>10992.008613845688</v>
      </c>
      <c r="J25" s="13">
        <f t="shared" si="1"/>
        <v>11156.888743053372</v>
      </c>
      <c r="K25" s="13">
        <f t="shared" si="1"/>
        <v>11324.242074199172</v>
      </c>
      <c r="L25" s="13">
        <f t="shared" si="1"/>
        <v>11494.105705312159</v>
      </c>
      <c r="M25" s="13">
        <f t="shared" si="1"/>
        <v>11666.517290891839</v>
      </c>
      <c r="N25" s="13">
        <f t="shared" si="1"/>
        <v>11841.515050255215</v>
      </c>
      <c r="O25" s="13">
        <f t="shared" si="1"/>
        <v>12019.137776009042</v>
      </c>
      <c r="P25" s="13">
        <f t="shared" si="1"/>
        <v>12199.424842649176</v>
      </c>
      <c r="Q25" s="13">
        <f t="shared" si="1"/>
        <v>12382.416215288913</v>
      </c>
      <c r="R25" s="13">
        <f t="shared" si="1"/>
        <v>12568.152458518245</v>
      </c>
      <c r="S25" s="13">
        <f t="shared" si="1"/>
        <v>12756.674745396018</v>
      </c>
      <c r="T25" s="13">
        <f t="shared" si="1"/>
        <v>12948.024866576958</v>
      </c>
      <c r="U25" s="13">
        <f t="shared" si="1"/>
        <v>13142.24523957561</v>
      </c>
      <c r="V25" s="13"/>
      <c r="W25" s="13"/>
    </row>
    <row r="26" spans="1:24" x14ac:dyDescent="0.3">
      <c r="A26" t="s">
        <v>537</v>
      </c>
      <c r="E26" s="13">
        <f>3.8*(D7+E9)</f>
        <v>17110.734463276836</v>
      </c>
      <c r="F26" s="13">
        <f t="shared" ref="F26:U26" si="2">E26*1.1</f>
        <v>18821.807909604522</v>
      </c>
      <c r="G26" s="13">
        <f t="shared" si="2"/>
        <v>20703.988700564976</v>
      </c>
      <c r="H26" s="13">
        <f t="shared" si="2"/>
        <v>22774.387570621475</v>
      </c>
      <c r="I26" s="13">
        <f t="shared" si="2"/>
        <v>25051.826327683626</v>
      </c>
      <c r="J26" s="13">
        <f t="shared" si="2"/>
        <v>27557.008960451993</v>
      </c>
      <c r="K26" s="13">
        <f t="shared" si="2"/>
        <v>30312.709856497193</v>
      </c>
      <c r="L26" s="13">
        <f t="shared" si="2"/>
        <v>33343.980842146913</v>
      </c>
      <c r="M26" s="13">
        <f t="shared" si="2"/>
        <v>36678.378926361605</v>
      </c>
      <c r="N26" s="13">
        <f t="shared" si="2"/>
        <v>40346.216818997767</v>
      </c>
      <c r="O26" s="13">
        <f t="shared" si="2"/>
        <v>44380.838500897546</v>
      </c>
      <c r="P26" s="13">
        <f t="shared" si="2"/>
        <v>48818.922350987305</v>
      </c>
      <c r="Q26" s="13">
        <f t="shared" si="2"/>
        <v>53700.814586086039</v>
      </c>
      <c r="R26" s="13">
        <f t="shared" si="2"/>
        <v>59070.896044694644</v>
      </c>
      <c r="S26" s="13">
        <f t="shared" si="2"/>
        <v>64977.985649164111</v>
      </c>
      <c r="T26" s="13">
        <f t="shared" si="2"/>
        <v>71475.78421408053</v>
      </c>
      <c r="U26" s="13">
        <f t="shared" si="2"/>
        <v>78623.362635488593</v>
      </c>
      <c r="V26" s="13"/>
      <c r="W26" s="13"/>
    </row>
    <row r="27" spans="1:24" x14ac:dyDescent="0.3">
      <c r="A27" t="s">
        <v>546</v>
      </c>
      <c r="E27" s="13">
        <f>SUM(E23:E26)*J7</f>
        <v>5987.3734301856348</v>
      </c>
      <c r="F27" s="13">
        <f>SUM(F23:F26)*J7</f>
        <v>6171.3797288135593</v>
      </c>
      <c r="G27" s="13">
        <f>SUM(G23:G26)*J7</f>
        <v>6327.944571638418</v>
      </c>
      <c r="H27" s="13">
        <f>SUM(H23:H26)*J7</f>
        <v>6493.2573017949144</v>
      </c>
      <c r="I27" s="13">
        <f>SUM(I23:I26)*J7</f>
        <v>6668.0890790619515</v>
      </c>
      <c r="J27" s="13">
        <f>SUM(J23:J26)*J7</f>
        <v>6853.2866247620041</v>
      </c>
      <c r="K27" s="13">
        <f>SUM(K23:K26)*J7</f>
        <v>7049.7797545989697</v>
      </c>
      <c r="L27" s="13">
        <f>SUM(L23:L26)*J7</f>
        <v>7258.5896644300446</v>
      </c>
      <c r="M27" s="13">
        <f>SUM(M23:M26)*J7</f>
        <v>7480.8380442597954</v>
      </c>
      <c r="N27" s="13">
        <f>SUM(N23:N26)*J7</f>
        <v>7717.7571032733213</v>
      </c>
      <c r="O27" s="13">
        <f>SUM(O23:O26)*J7</f>
        <v>7970.7005970070113</v>
      </c>
      <c r="P27" s="13">
        <f>SUM(P23:P26)*J7</f>
        <v>8241.1559568651683</v>
      </c>
      <c r="Q27" s="13">
        <f>SUM(Q23:Q26)*J7</f>
        <v>8530.7576322115019</v>
      </c>
      <c r="R27" s="13">
        <f>SUM(R23:R26)*J7</f>
        <v>8841.3017662873663</v>
      </c>
      <c r="S27" s="13">
        <f>SUM(S23:S26)*J7</f>
        <v>9174.762339333638</v>
      </c>
      <c r="T27" s="13">
        <f>SUM(T23:T26)*0.04</f>
        <v>9533.3089256307994</v>
      </c>
      <c r="U27" s="13">
        <f>SUM(U23:U26)*0.04</f>
        <v>9919.326225843135</v>
      </c>
      <c r="V27" s="13"/>
      <c r="W27" s="13"/>
    </row>
    <row r="28" spans="1:24" x14ac:dyDescent="0.3">
      <c r="A28" t="s">
        <v>731</v>
      </c>
      <c r="E28" s="13">
        <f>SUM(E23:E27)</f>
        <v>155671.7091848265</v>
      </c>
      <c r="F28" s="13">
        <f t="shared" ref="F28:U28" si="3">SUM(F23:F27)</f>
        <v>160455.87294915254</v>
      </c>
      <c r="G28" s="13">
        <f t="shared" si="3"/>
        <v>164526.55886259887</v>
      </c>
      <c r="H28" s="13">
        <f t="shared" si="3"/>
        <v>168824.68984666778</v>
      </c>
      <c r="I28" s="13">
        <f t="shared" si="3"/>
        <v>173370.31605561075</v>
      </c>
      <c r="J28" s="13">
        <f t="shared" si="3"/>
        <v>178185.45224381209</v>
      </c>
      <c r="K28" s="13">
        <f t="shared" si="3"/>
        <v>183294.27361957321</v>
      </c>
      <c r="L28" s="13">
        <f t="shared" si="3"/>
        <v>188723.33127518115</v>
      </c>
      <c r="M28" s="13">
        <f t="shared" si="3"/>
        <v>194501.78915075466</v>
      </c>
      <c r="N28" s="13">
        <f t="shared" si="3"/>
        <v>200661.68468510636</v>
      </c>
      <c r="O28" s="13">
        <f t="shared" si="3"/>
        <v>207238.21552218229</v>
      </c>
      <c r="P28" s="13">
        <f t="shared" si="3"/>
        <v>214270.05487849435</v>
      </c>
      <c r="Q28" s="13">
        <f t="shared" si="3"/>
        <v>221799.69843749906</v>
      </c>
      <c r="R28" s="13">
        <f t="shared" si="3"/>
        <v>229873.84592347153</v>
      </c>
      <c r="S28" s="13">
        <f t="shared" si="3"/>
        <v>238543.82082267458</v>
      </c>
      <c r="T28" s="13">
        <f t="shared" si="3"/>
        <v>247866.03206640077</v>
      </c>
      <c r="U28" s="13">
        <f t="shared" si="3"/>
        <v>257902.48187192151</v>
      </c>
      <c r="V28" s="13"/>
      <c r="W28" s="13"/>
    </row>
    <row r="29" spans="1:24" x14ac:dyDescent="0.3">
      <c r="A29" t="s">
        <v>547</v>
      </c>
      <c r="E29" s="13">
        <f>(J16*D12+D13*J17)</f>
        <v>25000</v>
      </c>
      <c r="F29" s="13">
        <f>$J$16*$D$12+$J$17*$D$13</f>
        <v>25000</v>
      </c>
      <c r="G29" s="13">
        <f t="shared" ref="G29:U29" si="4">$J$16*$D$12+$J$17*$D$13</f>
        <v>25000</v>
      </c>
      <c r="H29" s="13">
        <f t="shared" si="4"/>
        <v>25000</v>
      </c>
      <c r="I29" s="13">
        <f t="shared" si="4"/>
        <v>25000</v>
      </c>
      <c r="J29" s="13">
        <f t="shared" si="4"/>
        <v>25000</v>
      </c>
      <c r="K29" s="13">
        <f t="shared" si="4"/>
        <v>25000</v>
      </c>
      <c r="L29" s="13">
        <f t="shared" si="4"/>
        <v>25000</v>
      </c>
      <c r="M29" s="13">
        <f t="shared" si="4"/>
        <v>25000</v>
      </c>
      <c r="N29" s="13">
        <f t="shared" si="4"/>
        <v>25000</v>
      </c>
      <c r="O29" s="13">
        <f t="shared" si="4"/>
        <v>25000</v>
      </c>
      <c r="P29" s="13">
        <f t="shared" si="4"/>
        <v>25000</v>
      </c>
      <c r="Q29" s="13">
        <f t="shared" si="4"/>
        <v>25000</v>
      </c>
      <c r="R29" s="13">
        <f t="shared" si="4"/>
        <v>25000</v>
      </c>
      <c r="S29" s="13">
        <f t="shared" si="4"/>
        <v>25000</v>
      </c>
      <c r="T29" s="13">
        <f t="shared" si="4"/>
        <v>25000</v>
      </c>
      <c r="U29" s="13">
        <f t="shared" si="4"/>
        <v>25000</v>
      </c>
      <c r="V29" s="13"/>
      <c r="W29" s="13"/>
    </row>
    <row r="30" spans="1:24" x14ac:dyDescent="0.3">
      <c r="A30" t="s">
        <v>730</v>
      </c>
      <c r="E30" s="13">
        <f>$D$14/10</f>
        <v>45500</v>
      </c>
      <c r="F30" s="13">
        <f>$D$14/10</f>
        <v>45500</v>
      </c>
      <c r="G30" s="13">
        <f t="shared" ref="G30:N30" si="5">$D$14/10</f>
        <v>45500</v>
      </c>
      <c r="H30" s="13">
        <f t="shared" si="5"/>
        <v>45500</v>
      </c>
      <c r="I30" s="13">
        <f t="shared" si="5"/>
        <v>45500</v>
      </c>
      <c r="J30" s="13">
        <f t="shared" si="5"/>
        <v>45500</v>
      </c>
      <c r="K30" s="13">
        <f t="shared" si="5"/>
        <v>45500</v>
      </c>
      <c r="L30" s="13">
        <f t="shared" si="5"/>
        <v>45500</v>
      </c>
      <c r="M30" s="13">
        <f t="shared" si="5"/>
        <v>45500</v>
      </c>
      <c r="N30" s="13">
        <f t="shared" si="5"/>
        <v>45500</v>
      </c>
      <c r="O30" s="13">
        <f>D14-SUM(E30:N30)</f>
        <v>0</v>
      </c>
      <c r="P30" s="13"/>
      <c r="Q30" s="13"/>
      <c r="R30" s="13"/>
      <c r="S30" s="13"/>
      <c r="T30" s="13"/>
      <c r="U30" s="13"/>
      <c r="V30" s="13"/>
      <c r="W30" s="13"/>
    </row>
    <row r="31" spans="1:24" x14ac:dyDescent="0.3">
      <c r="A31" t="s">
        <v>732</v>
      </c>
      <c r="E31" s="13">
        <f>$D$14-E30</f>
        <v>409500</v>
      </c>
      <c r="F31" s="13">
        <f>E31-F30</f>
        <v>364000</v>
      </c>
      <c r="G31" s="13">
        <f t="shared" ref="G31:O31" si="6">F31-G30</f>
        <v>318500</v>
      </c>
      <c r="H31" s="13">
        <f t="shared" si="6"/>
        <v>273000</v>
      </c>
      <c r="I31" s="13">
        <f t="shared" si="6"/>
        <v>227500</v>
      </c>
      <c r="J31" s="13">
        <f t="shared" si="6"/>
        <v>182000</v>
      </c>
      <c r="K31" s="13">
        <f t="shared" si="6"/>
        <v>136500</v>
      </c>
      <c r="L31" s="13">
        <f t="shared" si="6"/>
        <v>91000</v>
      </c>
      <c r="M31" s="13">
        <f t="shared" si="6"/>
        <v>45500</v>
      </c>
      <c r="N31" s="13">
        <f t="shared" si="6"/>
        <v>0</v>
      </c>
      <c r="O31" s="13">
        <f t="shared" si="6"/>
        <v>0</v>
      </c>
      <c r="P31" s="13"/>
      <c r="Q31" s="13"/>
      <c r="R31" s="13"/>
      <c r="S31" s="13"/>
      <c r="T31" s="13"/>
      <c r="U31" s="13"/>
      <c r="V31" s="13"/>
      <c r="W31" s="13"/>
    </row>
    <row r="32" spans="1:24" x14ac:dyDescent="0.3">
      <c r="A32" t="s">
        <v>733</v>
      </c>
      <c r="E32" s="13">
        <f>E31*$D$15</f>
        <v>20475</v>
      </c>
      <c r="F32" s="13">
        <f t="shared" ref="F32:O32" si="7">F31*$D$15</f>
        <v>18200</v>
      </c>
      <c r="G32" s="13">
        <f t="shared" si="7"/>
        <v>15925</v>
      </c>
      <c r="H32" s="13">
        <f t="shared" si="7"/>
        <v>13650</v>
      </c>
      <c r="I32" s="13">
        <f t="shared" si="7"/>
        <v>11375</v>
      </c>
      <c r="J32" s="13">
        <f t="shared" si="7"/>
        <v>9100</v>
      </c>
      <c r="K32" s="13">
        <f t="shared" si="7"/>
        <v>6825</v>
      </c>
      <c r="L32" s="13">
        <f t="shared" si="7"/>
        <v>4550</v>
      </c>
      <c r="M32" s="13">
        <f t="shared" si="7"/>
        <v>2275</v>
      </c>
      <c r="N32" s="13">
        <f t="shared" si="7"/>
        <v>0</v>
      </c>
      <c r="O32" s="13">
        <f t="shared" si="7"/>
        <v>0</v>
      </c>
      <c r="P32" s="13"/>
      <c r="Q32" s="13"/>
      <c r="R32" s="13"/>
      <c r="S32" s="13"/>
      <c r="T32" s="13"/>
      <c r="U32" s="13"/>
      <c r="V32" s="13"/>
      <c r="W32" s="13"/>
    </row>
    <row r="33" spans="1:23" x14ac:dyDescent="0.3">
      <c r="A33" t="s">
        <v>734</v>
      </c>
      <c r="E33" s="13">
        <f>E28+E29+E32</f>
        <v>201146.7091848265</v>
      </c>
      <c r="F33" s="13">
        <f t="shared" ref="F33:U33" si="8">F28+F29+F32</f>
        <v>203655.87294915254</v>
      </c>
      <c r="G33" s="13">
        <f t="shared" si="8"/>
        <v>205451.55886259887</v>
      </c>
      <c r="H33" s="13">
        <f t="shared" si="8"/>
        <v>207474.68984666778</v>
      </c>
      <c r="I33" s="13">
        <f t="shared" si="8"/>
        <v>209745.31605561075</v>
      </c>
      <c r="J33" s="13">
        <f t="shared" si="8"/>
        <v>212285.45224381209</v>
      </c>
      <c r="K33" s="13">
        <f t="shared" si="8"/>
        <v>215119.27361957321</v>
      </c>
      <c r="L33" s="13">
        <f t="shared" si="8"/>
        <v>218273.33127518115</v>
      </c>
      <c r="M33" s="13">
        <f t="shared" si="8"/>
        <v>221776.78915075466</v>
      </c>
      <c r="N33" s="13">
        <f t="shared" si="8"/>
        <v>225661.68468510636</v>
      </c>
      <c r="O33" s="13">
        <f t="shared" si="8"/>
        <v>232238.21552218229</v>
      </c>
      <c r="P33" s="13">
        <f>P28+P29+P32</f>
        <v>239270.05487849435</v>
      </c>
      <c r="Q33" s="13">
        <f t="shared" si="8"/>
        <v>246799.69843749906</v>
      </c>
      <c r="R33" s="13">
        <f t="shared" si="8"/>
        <v>254873.84592347153</v>
      </c>
      <c r="S33" s="13">
        <f t="shared" si="8"/>
        <v>263543.82082267455</v>
      </c>
      <c r="T33" s="13">
        <f t="shared" si="8"/>
        <v>272866.03206640074</v>
      </c>
      <c r="U33" s="13">
        <f t="shared" si="8"/>
        <v>282902.48187192151</v>
      </c>
      <c r="V33" s="13"/>
      <c r="W33" s="13"/>
    </row>
    <row r="34" spans="1:23" x14ac:dyDescent="0.3">
      <c r="A34" t="s">
        <v>736</v>
      </c>
      <c r="E34" s="13">
        <f>E33/$D$7</f>
        <v>50.475962154285192</v>
      </c>
      <c r="F34" s="13">
        <f t="shared" ref="F34:U34" si="9">F33/$D$7</f>
        <v>51.105614290878933</v>
      </c>
      <c r="G34" s="13">
        <f t="shared" si="9"/>
        <v>51.556225561505364</v>
      </c>
      <c r="H34" s="13">
        <f t="shared" si="9"/>
        <v>52.063912132162557</v>
      </c>
      <c r="I34" s="13">
        <f t="shared" si="9"/>
        <v>52.633705409187137</v>
      </c>
      <c r="J34" s="13">
        <f t="shared" si="9"/>
        <v>53.271129797694378</v>
      </c>
      <c r="K34" s="13">
        <f t="shared" si="9"/>
        <v>53.982251849328286</v>
      </c>
      <c r="L34" s="13">
        <f t="shared" si="9"/>
        <v>54.77373432250468</v>
      </c>
      <c r="M34" s="13">
        <f t="shared" si="9"/>
        <v>55.652895646362524</v>
      </c>
      <c r="N34" s="13">
        <f t="shared" si="9"/>
        <v>56.627775328759441</v>
      </c>
      <c r="O34" s="13">
        <f t="shared" si="9"/>
        <v>58.278096743333073</v>
      </c>
      <c r="P34" s="13">
        <f t="shared" si="9"/>
        <v>60.042673746171729</v>
      </c>
      <c r="Q34" s="13">
        <f t="shared" si="9"/>
        <v>61.932170247804031</v>
      </c>
      <c r="R34" s="13">
        <f t="shared" si="9"/>
        <v>63.958305125086959</v>
      </c>
      <c r="S34" s="13">
        <f t="shared" si="9"/>
        <v>66.133957546467897</v>
      </c>
      <c r="T34" s="13">
        <f t="shared" si="9"/>
        <v>68.473282827202198</v>
      </c>
      <c r="U34" s="13">
        <f t="shared" si="9"/>
        <v>70.991839867483435</v>
      </c>
      <c r="V34" s="13"/>
      <c r="W34" s="13"/>
    </row>
    <row r="35" spans="1:23" x14ac:dyDescent="0.3">
      <c r="A35" t="s">
        <v>740</v>
      </c>
      <c r="E35" s="13">
        <f>E42-E28-E32</f>
        <v>23103.290815173503</v>
      </c>
      <c r="F35" s="13">
        <f t="shared" ref="F35:U35" si="10">F42-F28-F32</f>
        <v>25575.377050847426</v>
      </c>
      <c r="G35" s="13">
        <f t="shared" si="10"/>
        <v>28885.472387401067</v>
      </c>
      <c r="H35" s="13">
        <f t="shared" si="10"/>
        <v>32095.767184582131</v>
      </c>
      <c r="I35" s="13">
        <f t="shared" si="10"/>
        <v>35189.402401420433</v>
      </c>
      <c r="J35" s="13">
        <f t="shared" si="10"/>
        <v>38147.634174644831</v>
      </c>
      <c r="K35" s="13">
        <f t="shared" si="10"/>
        <v>40949.639959345106</v>
      </c>
      <c r="L35" s="13">
        <f t="shared" si="10"/>
        <v>43572.305143210106</v>
      </c>
      <c r="M35" s="13">
        <f t="shared" si="10"/>
        <v>45989.988178096362</v>
      </c>
      <c r="N35" s="13">
        <f t="shared" si="10"/>
        <v>48174.262076965912</v>
      </c>
      <c r="O35" s="13">
        <f t="shared" si="10"/>
        <v>47818.629908941744</v>
      </c>
      <c r="P35" s="13">
        <f t="shared" si="10"/>
        <v>47163.211688407755</v>
      </c>
      <c r="Q35" s="13">
        <f t="shared" si="10"/>
        <v>46169.399793575576</v>
      </c>
      <c r="R35" s="13">
        <f t="shared" si="10"/>
        <v>44794.479763379932</v>
      </c>
      <c r="S35" s="13">
        <f t="shared" si="10"/>
        <v>42991.213006348145</v>
      </c>
      <c r="T35" s="13">
        <f t="shared" si="10"/>
        <v>40707.377608347539</v>
      </c>
      <c r="U35" s="13">
        <f t="shared" si="10"/>
        <v>37885.263044695428</v>
      </c>
      <c r="V35" s="13"/>
      <c r="W35" s="13"/>
    </row>
    <row r="36" spans="1:23" x14ac:dyDescent="0.3">
      <c r="A36" t="s">
        <v>741</v>
      </c>
      <c r="E36" s="13">
        <f>E42-E33</f>
        <v>-1896.7091848264972</v>
      </c>
      <c r="F36" s="13">
        <f t="shared" ref="F36:U36" si="11">F42-F33</f>
        <v>575.37705084742629</v>
      </c>
      <c r="G36" s="13">
        <f t="shared" si="11"/>
        <v>3885.472387401067</v>
      </c>
      <c r="H36" s="13">
        <f t="shared" si="11"/>
        <v>7095.7671845821314</v>
      </c>
      <c r="I36" s="13">
        <f t="shared" si="11"/>
        <v>10189.402401420433</v>
      </c>
      <c r="J36" s="13">
        <f t="shared" si="11"/>
        <v>13147.634174644831</v>
      </c>
      <c r="K36" s="13">
        <f t="shared" si="11"/>
        <v>15949.639959345106</v>
      </c>
      <c r="L36" s="13">
        <f t="shared" si="11"/>
        <v>18572.305143210106</v>
      </c>
      <c r="M36" s="13">
        <f t="shared" si="11"/>
        <v>20989.988178096362</v>
      </c>
      <c r="N36" s="13">
        <f t="shared" si="11"/>
        <v>23174.262076965912</v>
      </c>
      <c r="O36" s="13">
        <f t="shared" si="11"/>
        <v>22818.629908941744</v>
      </c>
      <c r="P36" s="13">
        <f t="shared" si="11"/>
        <v>22163.211688407755</v>
      </c>
      <c r="Q36" s="13">
        <f t="shared" si="11"/>
        <v>21169.399793575576</v>
      </c>
      <c r="R36" s="13">
        <f t="shared" si="11"/>
        <v>19794.479763379932</v>
      </c>
      <c r="S36" s="13">
        <f t="shared" si="11"/>
        <v>17991.213006348175</v>
      </c>
      <c r="T36" s="13">
        <f t="shared" si="11"/>
        <v>15707.377608347568</v>
      </c>
      <c r="U36" s="13">
        <f t="shared" si="11"/>
        <v>12885.263044695428</v>
      </c>
      <c r="V36" s="13"/>
      <c r="W36" s="13"/>
    </row>
    <row r="37" spans="1:23" x14ac:dyDescent="0.3">
      <c r="A37" t="s">
        <v>739</v>
      </c>
      <c r="E37" s="13">
        <f>D14-D11+E35+E29-E30+F14</f>
        <v>2603.2908151735028</v>
      </c>
      <c r="F37" s="13">
        <f>F35+F29-F30</f>
        <v>5075.3770508474263</v>
      </c>
      <c r="G37" s="13">
        <f t="shared" ref="G37:U37" si="12">G35+G29-G30</f>
        <v>8385.472387401067</v>
      </c>
      <c r="H37" s="13">
        <f t="shared" si="12"/>
        <v>11595.767184582131</v>
      </c>
      <c r="I37" s="13">
        <f t="shared" si="12"/>
        <v>14689.402401420433</v>
      </c>
      <c r="J37" s="13">
        <f t="shared" si="12"/>
        <v>17647.634174644831</v>
      </c>
      <c r="K37" s="13">
        <f t="shared" si="12"/>
        <v>20449.639959345106</v>
      </c>
      <c r="L37" s="13">
        <f t="shared" si="12"/>
        <v>23072.305143210106</v>
      </c>
      <c r="M37" s="13">
        <f t="shared" si="12"/>
        <v>25489.988178096362</v>
      </c>
      <c r="N37" s="13">
        <f t="shared" si="12"/>
        <v>27674.262076965912</v>
      </c>
      <c r="O37" s="13">
        <f t="shared" si="12"/>
        <v>72818.629908941744</v>
      </c>
      <c r="P37" s="13">
        <f t="shared" si="12"/>
        <v>72163.211688407755</v>
      </c>
      <c r="Q37" s="13">
        <f t="shared" si="12"/>
        <v>71169.399793575576</v>
      </c>
      <c r="R37" s="13">
        <f t="shared" si="12"/>
        <v>69794.479763379932</v>
      </c>
      <c r="S37" s="13">
        <f t="shared" si="12"/>
        <v>67991.213006348145</v>
      </c>
      <c r="T37" s="13">
        <f t="shared" si="12"/>
        <v>65707.377608347539</v>
      </c>
      <c r="U37" s="13">
        <f t="shared" si="12"/>
        <v>62885.263044695428</v>
      </c>
      <c r="V37" s="13"/>
      <c r="W37" s="13"/>
    </row>
    <row r="38" spans="1:23" ht="15" thickBot="1" x14ac:dyDescent="0.35">
      <c r="A38" t="s">
        <v>742</v>
      </c>
      <c r="E38" s="13">
        <f>D38+E37</f>
        <v>2603.2908151735028</v>
      </c>
      <c r="F38" s="13">
        <f t="shared" ref="F38:U38" si="13">E38+F37</f>
        <v>7678.6678660209291</v>
      </c>
      <c r="G38" s="13">
        <f t="shared" si="13"/>
        <v>16064.140253421996</v>
      </c>
      <c r="H38" s="13">
        <f t="shared" si="13"/>
        <v>27659.907438004127</v>
      </c>
      <c r="I38" s="13">
        <f t="shared" si="13"/>
        <v>42349.309839424561</v>
      </c>
      <c r="J38" s="13">
        <f t="shared" si="13"/>
        <v>59996.944014069391</v>
      </c>
      <c r="K38" s="13">
        <f t="shared" si="13"/>
        <v>80446.583973414497</v>
      </c>
      <c r="L38" s="13">
        <f t="shared" si="13"/>
        <v>103518.8891166246</v>
      </c>
      <c r="M38" s="13">
        <f t="shared" si="13"/>
        <v>129008.87729472097</v>
      </c>
      <c r="N38" s="13">
        <f t="shared" si="13"/>
        <v>156683.13937168688</v>
      </c>
      <c r="O38" s="13">
        <f t="shared" si="13"/>
        <v>229501.76928062862</v>
      </c>
      <c r="P38" s="13">
        <f t="shared" si="13"/>
        <v>301664.98096903635</v>
      </c>
      <c r="Q38" s="13">
        <f t="shared" si="13"/>
        <v>372834.38076261192</v>
      </c>
      <c r="R38" s="13">
        <f t="shared" si="13"/>
        <v>442628.86052599188</v>
      </c>
      <c r="S38" s="13">
        <f t="shared" si="13"/>
        <v>510620.07353234</v>
      </c>
      <c r="T38" s="13">
        <f t="shared" si="13"/>
        <v>576327.45114068757</v>
      </c>
      <c r="U38" s="13">
        <f t="shared" si="13"/>
        <v>639212.71418538294</v>
      </c>
      <c r="V38" s="13"/>
      <c r="W38" s="13"/>
    </row>
    <row r="39" spans="1:23" ht="15" thickBot="1" x14ac:dyDescent="0.35">
      <c r="A39" t="s">
        <v>743</v>
      </c>
      <c r="B39" s="69">
        <f>NPV(E39,E37:V37)-F14</f>
        <v>18129.236642690841</v>
      </c>
      <c r="E39" s="70">
        <v>0.1</v>
      </c>
    </row>
    <row r="41" spans="1:23" x14ac:dyDescent="0.3">
      <c r="A41" t="s">
        <v>735</v>
      </c>
      <c r="D41">
        <v>0</v>
      </c>
      <c r="E41">
        <f>D12+D13</f>
        <v>650000</v>
      </c>
      <c r="F41">
        <f>E41-$D$12*$J$16-$J$17*$D$13</f>
        <v>625000</v>
      </c>
      <c r="G41">
        <f t="shared" ref="G41:U41" si="14">F41-$D$12*$J$16-$J$17*$D$13</f>
        <v>600000</v>
      </c>
      <c r="H41">
        <f t="shared" si="14"/>
        <v>575000</v>
      </c>
      <c r="I41">
        <f t="shared" si="14"/>
        <v>550000</v>
      </c>
      <c r="J41">
        <f t="shared" si="14"/>
        <v>525000</v>
      </c>
      <c r="K41">
        <f t="shared" si="14"/>
        <v>500000</v>
      </c>
      <c r="L41">
        <f t="shared" si="14"/>
        <v>475000</v>
      </c>
      <c r="M41">
        <f t="shared" si="14"/>
        <v>450000</v>
      </c>
      <c r="N41">
        <f t="shared" si="14"/>
        <v>425000</v>
      </c>
      <c r="O41">
        <f t="shared" si="14"/>
        <v>400000</v>
      </c>
      <c r="P41">
        <f t="shared" si="14"/>
        <v>375000</v>
      </c>
      <c r="Q41">
        <f t="shared" si="14"/>
        <v>350000</v>
      </c>
      <c r="R41">
        <f t="shared" si="14"/>
        <v>325000</v>
      </c>
      <c r="S41">
        <f t="shared" si="14"/>
        <v>300000</v>
      </c>
      <c r="T41">
        <f t="shared" si="14"/>
        <v>275000</v>
      </c>
      <c r="U41">
        <f t="shared" si="14"/>
        <v>250000</v>
      </c>
    </row>
    <row r="42" spans="1:23" x14ac:dyDescent="0.3">
      <c r="A42" t="s">
        <v>549</v>
      </c>
      <c r="E42">
        <f>E45</f>
        <v>199250</v>
      </c>
      <c r="F42">
        <f>F46*D7</f>
        <v>204231.24999999997</v>
      </c>
      <c r="G42">
        <f>G46*D7</f>
        <v>209337.03124999994</v>
      </c>
      <c r="H42">
        <f>H46*D7</f>
        <v>214570.45703124991</v>
      </c>
      <c r="I42">
        <f>I46*D7</f>
        <v>219934.71845703118</v>
      </c>
      <c r="J42">
        <f>J46*D7</f>
        <v>225433.08641845692</v>
      </c>
      <c r="K42">
        <f>K46*D7</f>
        <v>231068.91357891832</v>
      </c>
      <c r="L42">
        <f>L46*D7</f>
        <v>236845.63641839125</v>
      </c>
      <c r="M42">
        <f>M46*D7</f>
        <v>242766.77732885102</v>
      </c>
      <c r="N42">
        <f>N46*D7</f>
        <v>248835.94676207227</v>
      </c>
      <c r="O42">
        <f>O46*D7</f>
        <v>255056.84543112403</v>
      </c>
      <c r="P42">
        <f>P46*D7</f>
        <v>261433.26656690211</v>
      </c>
      <c r="Q42">
        <f>Q46*D7</f>
        <v>267969.09823107463</v>
      </c>
      <c r="R42">
        <f>R46*D7</f>
        <v>274668.32568685146</v>
      </c>
      <c r="S42">
        <f>S46*D7</f>
        <v>281535.03382902272</v>
      </c>
      <c r="T42">
        <f>T46*D7</f>
        <v>288573.40967474831</v>
      </c>
      <c r="U42">
        <f>U46*D7</f>
        <v>295787.74491661694</v>
      </c>
    </row>
    <row r="43" spans="1:23" x14ac:dyDescent="0.3">
      <c r="A43" t="s">
        <v>729</v>
      </c>
      <c r="E43">
        <f>(E41+D41)/2+E33*0.05</f>
        <v>335057.33545924135</v>
      </c>
      <c r="F43">
        <f t="shared" ref="F43:U43" si="15">(F41+E41)/2+F33*0.05</f>
        <v>647682.79364745761</v>
      </c>
      <c r="G43">
        <f t="shared" si="15"/>
        <v>622772.57794312993</v>
      </c>
      <c r="H43">
        <f t="shared" si="15"/>
        <v>597873.73449233337</v>
      </c>
      <c r="I43">
        <f t="shared" si="15"/>
        <v>572987.26580278052</v>
      </c>
      <c r="J43">
        <f t="shared" si="15"/>
        <v>548114.27261219057</v>
      </c>
      <c r="K43">
        <f t="shared" si="15"/>
        <v>523255.96368097863</v>
      </c>
      <c r="L43">
        <f t="shared" si="15"/>
        <v>498413.66656375903</v>
      </c>
      <c r="M43">
        <f t="shared" si="15"/>
        <v>473588.83945753775</v>
      </c>
      <c r="N43">
        <f t="shared" si="15"/>
        <v>448783.08423425531</v>
      </c>
      <c r="O43">
        <f t="shared" si="15"/>
        <v>424111.91077610909</v>
      </c>
      <c r="P43">
        <f t="shared" si="15"/>
        <v>399463.50274392474</v>
      </c>
      <c r="Q43">
        <f t="shared" si="15"/>
        <v>374839.98492187494</v>
      </c>
      <c r="R43">
        <f t="shared" si="15"/>
        <v>350243.6922961736</v>
      </c>
      <c r="S43">
        <f t="shared" si="15"/>
        <v>325677.19104113372</v>
      </c>
      <c r="T43">
        <f t="shared" si="15"/>
        <v>301143.30160332005</v>
      </c>
      <c r="U43">
        <f t="shared" si="15"/>
        <v>276645.12409359607</v>
      </c>
    </row>
    <row r="44" spans="1:23" x14ac:dyDescent="0.3">
      <c r="A44" t="s">
        <v>744</v>
      </c>
      <c r="D44">
        <f>D21</f>
        <v>0</v>
      </c>
      <c r="E44">
        <f>E43*$D$21</f>
        <v>0</v>
      </c>
      <c r="F44">
        <f t="shared" ref="F44:U44" si="16">F43*$D$21</f>
        <v>0</v>
      </c>
      <c r="G44">
        <f t="shared" si="16"/>
        <v>0</v>
      </c>
      <c r="H44">
        <f t="shared" si="16"/>
        <v>0</v>
      </c>
      <c r="I44">
        <f t="shared" si="16"/>
        <v>0</v>
      </c>
      <c r="J44">
        <f t="shared" si="16"/>
        <v>0</v>
      </c>
      <c r="K44">
        <f t="shared" si="16"/>
        <v>0</v>
      </c>
      <c r="L44">
        <f t="shared" si="16"/>
        <v>0</v>
      </c>
      <c r="M44">
        <f t="shared" si="16"/>
        <v>0</v>
      </c>
      <c r="N44">
        <f t="shared" si="16"/>
        <v>0</v>
      </c>
      <c r="O44">
        <f t="shared" si="16"/>
        <v>0</v>
      </c>
      <c r="P44">
        <f t="shared" si="16"/>
        <v>0</v>
      </c>
      <c r="Q44">
        <f t="shared" si="16"/>
        <v>0</v>
      </c>
      <c r="R44">
        <f t="shared" si="16"/>
        <v>0</v>
      </c>
      <c r="S44">
        <f t="shared" si="16"/>
        <v>0</v>
      </c>
      <c r="T44">
        <f t="shared" si="16"/>
        <v>0</v>
      </c>
      <c r="U44">
        <f t="shared" si="16"/>
        <v>0</v>
      </c>
    </row>
    <row r="45" spans="1:23" x14ac:dyDescent="0.3">
      <c r="A45" t="s">
        <v>549</v>
      </c>
      <c r="E45">
        <f>E46*$D$7</f>
        <v>199250</v>
      </c>
      <c r="F45">
        <f t="shared" ref="F45:U45" si="17">F46*$D$7</f>
        <v>204231.24999999997</v>
      </c>
      <c r="G45">
        <f t="shared" si="17"/>
        <v>209337.03124999994</v>
      </c>
      <c r="H45">
        <f t="shared" si="17"/>
        <v>214570.45703124991</v>
      </c>
      <c r="I45">
        <f t="shared" si="17"/>
        <v>219934.71845703118</v>
      </c>
      <c r="J45">
        <f t="shared" si="17"/>
        <v>225433.08641845692</v>
      </c>
      <c r="K45">
        <f t="shared" si="17"/>
        <v>231068.91357891832</v>
      </c>
      <c r="L45">
        <f t="shared" si="17"/>
        <v>236845.63641839125</v>
      </c>
      <c r="M45">
        <f t="shared" si="17"/>
        <v>242766.77732885102</v>
      </c>
      <c r="N45">
        <f t="shared" si="17"/>
        <v>248835.94676207227</v>
      </c>
      <c r="O45">
        <f t="shared" si="17"/>
        <v>255056.84543112403</v>
      </c>
      <c r="P45">
        <f t="shared" si="17"/>
        <v>261433.26656690211</v>
      </c>
      <c r="Q45">
        <f t="shared" si="17"/>
        <v>267969.09823107463</v>
      </c>
      <c r="R45">
        <f t="shared" si="17"/>
        <v>274668.32568685146</v>
      </c>
      <c r="S45">
        <f t="shared" si="17"/>
        <v>281535.03382902272</v>
      </c>
      <c r="T45">
        <f t="shared" si="17"/>
        <v>288573.40967474831</v>
      </c>
      <c r="U45">
        <f t="shared" si="17"/>
        <v>295787.74491661694</v>
      </c>
    </row>
    <row r="46" spans="1:23" ht="15" thickBot="1" x14ac:dyDescent="0.35">
      <c r="A46" t="s">
        <v>738</v>
      </c>
      <c r="E46" s="13">
        <v>50</v>
      </c>
      <c r="F46" s="13">
        <f>(1+$J$8)*E46</f>
        <v>51.249999999999993</v>
      </c>
      <c r="G46" s="13">
        <f t="shared" ref="G46:U46" si="18">(1+$J$8)*F46</f>
        <v>52.531249999999986</v>
      </c>
      <c r="H46" s="13">
        <f t="shared" si="18"/>
        <v>53.844531249999982</v>
      </c>
      <c r="I46" s="13">
        <f t="shared" si="18"/>
        <v>55.19064453124998</v>
      </c>
      <c r="J46" s="13">
        <f t="shared" si="18"/>
        <v>56.570410644531222</v>
      </c>
      <c r="K46" s="13">
        <f t="shared" si="18"/>
        <v>57.984670910644496</v>
      </c>
      <c r="L46" s="13">
        <f t="shared" si="18"/>
        <v>59.434287683410602</v>
      </c>
      <c r="M46" s="13">
        <f t="shared" si="18"/>
        <v>60.920144875495865</v>
      </c>
      <c r="N46" s="13">
        <f t="shared" si="18"/>
        <v>62.443148497383255</v>
      </c>
      <c r="O46" s="13">
        <f t="shared" si="18"/>
        <v>64.004227209817827</v>
      </c>
      <c r="P46" s="13">
        <f t="shared" si="18"/>
        <v>65.604332890063262</v>
      </c>
      <c r="Q46" s="13">
        <f t="shared" si="18"/>
        <v>67.24444121231484</v>
      </c>
      <c r="R46" s="13">
        <f t="shared" si="18"/>
        <v>68.9255522426227</v>
      </c>
      <c r="S46" s="13">
        <f t="shared" si="18"/>
        <v>70.648691048688264</v>
      </c>
      <c r="T46" s="13">
        <f t="shared" si="18"/>
        <v>72.414908324905468</v>
      </c>
      <c r="U46" s="13">
        <f t="shared" si="18"/>
        <v>74.225281033028097</v>
      </c>
      <c r="V46" s="13"/>
      <c r="W46" s="13">
        <f>W23+V24+V25+V26+V27+V29+V32+V44</f>
        <v>29.055690072639234</v>
      </c>
    </row>
    <row r="47" spans="1:23" ht="15" thickBot="1" x14ac:dyDescent="0.35">
      <c r="A47" t="s">
        <v>548</v>
      </c>
      <c r="I47" s="90">
        <f>U46</f>
        <v>74.225281033028097</v>
      </c>
      <c r="J47" t="s">
        <v>466</v>
      </c>
    </row>
    <row r="48" spans="1:23" x14ac:dyDescent="0.3">
      <c r="A48">
        <v>60</v>
      </c>
      <c r="B48" t="s">
        <v>779</v>
      </c>
      <c r="C48">
        <v>100</v>
      </c>
      <c r="D48" t="s">
        <v>780</v>
      </c>
      <c r="E48">
        <f>$A$48*$C$48*E46/1000</f>
        <v>300</v>
      </c>
      <c r="F48">
        <f t="shared" ref="F48:O48" si="19">$A$48*$C$48*F46/1000</f>
        <v>307.49999999999994</v>
      </c>
      <c r="G48">
        <f t="shared" si="19"/>
        <v>315.18749999999994</v>
      </c>
      <c r="H48">
        <f t="shared" si="19"/>
        <v>323.06718749999987</v>
      </c>
      <c r="I48">
        <f t="shared" si="19"/>
        <v>331.14386718749989</v>
      </c>
      <c r="J48">
        <f t="shared" si="19"/>
        <v>339.42246386718733</v>
      </c>
      <c r="K48">
        <f t="shared" si="19"/>
        <v>347.90802546386698</v>
      </c>
      <c r="L48">
        <f t="shared" si="19"/>
        <v>356.60572610046358</v>
      </c>
      <c r="M48">
        <f t="shared" si="19"/>
        <v>365.52086925297522</v>
      </c>
      <c r="N48">
        <f t="shared" si="19"/>
        <v>374.65889098429955</v>
      </c>
      <c r="O48">
        <f t="shared" si="19"/>
        <v>384.02536325890696</v>
      </c>
    </row>
    <row r="49" spans="1:24" x14ac:dyDescent="0.3">
      <c r="A49" t="s">
        <v>551</v>
      </c>
      <c r="O49">
        <f>SUM(E48:O48)</f>
        <v>3745.0398936151992</v>
      </c>
    </row>
    <row r="51" spans="1:24" x14ac:dyDescent="0.3">
      <c r="E51">
        <v>2031</v>
      </c>
      <c r="F51">
        <v>2032</v>
      </c>
      <c r="G51">
        <v>2033</v>
      </c>
      <c r="H51">
        <v>2034</v>
      </c>
      <c r="I51">
        <v>2035</v>
      </c>
      <c r="J51">
        <v>2036</v>
      </c>
      <c r="K51">
        <v>2037</v>
      </c>
      <c r="L51">
        <v>2038</v>
      </c>
      <c r="M51">
        <v>2039</v>
      </c>
      <c r="N51">
        <v>2040</v>
      </c>
      <c r="O51">
        <v>2041</v>
      </c>
      <c r="P51">
        <v>2042</v>
      </c>
      <c r="Q51">
        <v>2043</v>
      </c>
      <c r="R51">
        <v>2044</v>
      </c>
      <c r="S51">
        <v>2045</v>
      </c>
      <c r="T51">
        <v>2046</v>
      </c>
      <c r="U51">
        <v>2047</v>
      </c>
      <c r="V51">
        <v>2048</v>
      </c>
      <c r="W51">
        <v>2049</v>
      </c>
      <c r="X51">
        <v>2050</v>
      </c>
    </row>
    <row r="52" spans="1:24" x14ac:dyDescent="0.3">
      <c r="E52">
        <f>I47*1.02</f>
        <v>75.709786653688653</v>
      </c>
      <c r="F52">
        <f t="shared" ref="F52:X52" si="20">E52*1.02</f>
        <v>77.22398238676243</v>
      </c>
      <c r="G52">
        <f t="shared" si="20"/>
        <v>78.768462034497674</v>
      </c>
      <c r="H52">
        <f t="shared" si="20"/>
        <v>80.343831275187625</v>
      </c>
      <c r="I52">
        <f t="shared" si="20"/>
        <v>81.950707900691384</v>
      </c>
      <c r="J52">
        <f t="shared" si="20"/>
        <v>83.58972205870522</v>
      </c>
      <c r="K52">
        <f t="shared" si="20"/>
        <v>85.26151649987932</v>
      </c>
      <c r="L52">
        <f t="shared" si="20"/>
        <v>86.966746829876911</v>
      </c>
      <c r="M52">
        <f t="shared" si="20"/>
        <v>88.706081766474455</v>
      </c>
      <c r="N52">
        <f t="shared" si="20"/>
        <v>90.480203401803948</v>
      </c>
      <c r="O52">
        <f t="shared" si="20"/>
        <v>92.289807469840028</v>
      </c>
      <c r="P52">
        <f t="shared" si="20"/>
        <v>94.135603619236832</v>
      </c>
      <c r="Q52">
        <f t="shared" si="20"/>
        <v>96.018315691621567</v>
      </c>
      <c r="R52">
        <f t="shared" si="20"/>
        <v>97.938682005453998</v>
      </c>
      <c r="S52">
        <f t="shared" si="20"/>
        <v>99.897455645563085</v>
      </c>
      <c r="T52">
        <f t="shared" si="20"/>
        <v>101.89540475847434</v>
      </c>
      <c r="U52">
        <f t="shared" si="20"/>
        <v>103.93331285364383</v>
      </c>
      <c r="V52">
        <f t="shared" si="20"/>
        <v>106.01197911071671</v>
      </c>
      <c r="W52">
        <f t="shared" si="20"/>
        <v>108.13221869293105</v>
      </c>
      <c r="X52">
        <f t="shared" si="20"/>
        <v>110.29486306678967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workbookViewId="0">
      <selection activeCell="D3" sqref="D3"/>
    </sheetView>
  </sheetViews>
  <sheetFormatPr defaultRowHeight="14.4" x14ac:dyDescent="0.3"/>
  <sheetData>
    <row r="1" spans="1:21" x14ac:dyDescent="0.3">
      <c r="A1" s="43" t="s">
        <v>820</v>
      </c>
      <c r="B1" s="43"/>
    </row>
    <row r="2" spans="1:21" x14ac:dyDescent="0.3"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  <c r="L2">
        <v>2022</v>
      </c>
      <c r="M2">
        <v>2023</v>
      </c>
      <c r="N2">
        <v>2024</v>
      </c>
      <c r="O2">
        <v>2025</v>
      </c>
      <c r="P2">
        <v>2026</v>
      </c>
      <c r="Q2">
        <v>2027</v>
      </c>
      <c r="R2">
        <v>2028</v>
      </c>
      <c r="S2">
        <v>2029</v>
      </c>
      <c r="T2">
        <v>2030</v>
      </c>
    </row>
    <row r="3" spans="1:21" x14ac:dyDescent="0.3">
      <c r="A3" t="s">
        <v>821</v>
      </c>
      <c r="D3" s="13">
        <f>(F67+G57)/F55*F48</f>
        <v>201726.5536723164</v>
      </c>
      <c r="E3" s="13">
        <f>D3*(1+$N$62)</f>
        <v>204752.45197740113</v>
      </c>
      <c r="F3" s="13">
        <f t="shared" ref="F3:T3" si="0">E3*(1+$N$62)</f>
        <v>207823.73875706212</v>
      </c>
      <c r="G3" s="13">
        <f t="shared" si="0"/>
        <v>210941.09483841804</v>
      </c>
      <c r="H3" s="13">
        <f t="shared" si="0"/>
        <v>214105.21126099429</v>
      </c>
      <c r="I3" s="13">
        <f t="shared" si="0"/>
        <v>217316.78942990917</v>
      </c>
      <c r="J3" s="13">
        <f t="shared" si="0"/>
        <v>220576.5412713578</v>
      </c>
      <c r="K3" s="13">
        <f t="shared" si="0"/>
        <v>223885.18939042813</v>
      </c>
      <c r="L3" s="13">
        <f t="shared" si="0"/>
        <v>227243.46723128454</v>
      </c>
      <c r="M3" s="13">
        <f t="shared" si="0"/>
        <v>230652.11923975378</v>
      </c>
      <c r="N3" s="13">
        <f t="shared" si="0"/>
        <v>234111.90102835005</v>
      </c>
      <c r="O3" s="13">
        <f t="shared" si="0"/>
        <v>237623.57954377527</v>
      </c>
      <c r="P3" s="13">
        <f t="shared" si="0"/>
        <v>241187.93323693189</v>
      </c>
      <c r="Q3" s="13">
        <f t="shared" si="0"/>
        <v>244805.75223548585</v>
      </c>
      <c r="R3" s="13">
        <f t="shared" si="0"/>
        <v>248477.83851901811</v>
      </c>
      <c r="S3" s="13">
        <f t="shared" si="0"/>
        <v>252205.00609680335</v>
      </c>
      <c r="T3" s="13">
        <f t="shared" si="0"/>
        <v>255988.08118825537</v>
      </c>
      <c r="U3" s="13"/>
    </row>
    <row r="4" spans="1:21" x14ac:dyDescent="0.3">
      <c r="A4" t="s">
        <v>544</v>
      </c>
      <c r="D4" s="13">
        <f>F65*1.34*12*2</f>
        <v>25728</v>
      </c>
      <c r="E4" s="13">
        <f t="shared" ref="E4:T4" si="1">D4*1.015</f>
        <v>26113.919999999998</v>
      </c>
      <c r="F4" s="13">
        <f t="shared" si="1"/>
        <v>26505.628799999995</v>
      </c>
      <c r="G4" s="13">
        <f t="shared" si="1"/>
        <v>26903.213231999991</v>
      </c>
      <c r="H4" s="13">
        <f t="shared" si="1"/>
        <v>27306.76143047999</v>
      </c>
      <c r="I4" s="13">
        <f t="shared" si="1"/>
        <v>27716.362851937189</v>
      </c>
      <c r="J4" s="13">
        <f t="shared" si="1"/>
        <v>28132.108294716243</v>
      </c>
      <c r="K4" s="13">
        <f t="shared" si="1"/>
        <v>28554.089919136983</v>
      </c>
      <c r="L4" s="13">
        <f t="shared" si="1"/>
        <v>28982.401267924033</v>
      </c>
      <c r="M4" s="13">
        <f t="shared" si="1"/>
        <v>29417.137286942892</v>
      </c>
      <c r="N4" s="13">
        <f t="shared" si="1"/>
        <v>29858.394346247034</v>
      </c>
      <c r="O4" s="13">
        <f t="shared" si="1"/>
        <v>30306.270261440735</v>
      </c>
      <c r="P4" s="13">
        <f t="shared" si="1"/>
        <v>30760.864315362345</v>
      </c>
      <c r="Q4" s="13">
        <f t="shared" si="1"/>
        <v>31222.277280092778</v>
      </c>
      <c r="R4" s="13">
        <f t="shared" si="1"/>
        <v>31690.611439294167</v>
      </c>
      <c r="S4" s="13">
        <f t="shared" si="1"/>
        <v>32165.970610883578</v>
      </c>
      <c r="T4" s="13">
        <f t="shared" si="1"/>
        <v>32648.46017004683</v>
      </c>
      <c r="U4" s="13"/>
    </row>
    <row r="5" spans="1:21" x14ac:dyDescent="0.3">
      <c r="A5" t="s">
        <v>536</v>
      </c>
      <c r="D5" s="13">
        <f>O45*O44</f>
        <v>4966.5</v>
      </c>
      <c r="E5" s="13">
        <f>D5*(1+$N$61)</f>
        <v>5090.6624999999995</v>
      </c>
      <c r="F5" s="13">
        <f t="shared" ref="F5:T5" si="2">E5*(1+$N$61)</f>
        <v>5217.9290624999994</v>
      </c>
      <c r="G5" s="13">
        <f t="shared" si="2"/>
        <v>5348.3772890624987</v>
      </c>
      <c r="H5" s="13">
        <f t="shared" si="2"/>
        <v>5482.0867212890607</v>
      </c>
      <c r="I5" s="13">
        <f t="shared" si="2"/>
        <v>5619.138889321287</v>
      </c>
      <c r="J5" s="13">
        <f t="shared" si="2"/>
        <v>5759.6173615543184</v>
      </c>
      <c r="K5" s="13">
        <f t="shared" si="2"/>
        <v>5903.607795593176</v>
      </c>
      <c r="L5" s="13">
        <f t="shared" si="2"/>
        <v>6051.197990483005</v>
      </c>
      <c r="M5" s="13">
        <f t="shared" si="2"/>
        <v>6202.4779402450795</v>
      </c>
      <c r="N5" s="13">
        <f t="shared" si="2"/>
        <v>6357.5398887512056</v>
      </c>
      <c r="O5" s="13">
        <f t="shared" si="2"/>
        <v>6516.4783859699855</v>
      </c>
      <c r="P5" s="13">
        <f t="shared" si="2"/>
        <v>6679.3903456192347</v>
      </c>
      <c r="Q5" s="13">
        <f t="shared" si="2"/>
        <v>6846.375104259715</v>
      </c>
      <c r="R5" s="13">
        <f t="shared" si="2"/>
        <v>7017.534481866207</v>
      </c>
      <c r="S5" s="13">
        <f t="shared" si="2"/>
        <v>7192.9728439128612</v>
      </c>
      <c r="T5" s="13">
        <f t="shared" si="2"/>
        <v>7372.797165010682</v>
      </c>
      <c r="U5" s="13"/>
    </row>
    <row r="6" spans="1:21" x14ac:dyDescent="0.3">
      <c r="A6" t="s">
        <v>537</v>
      </c>
      <c r="D6" s="13">
        <f>U56</f>
        <v>1876.7910018125374</v>
      </c>
      <c r="E6" s="13">
        <f>D6*(1+$P$59)</f>
        <v>2064.4701019937911</v>
      </c>
      <c r="F6" s="13">
        <f t="shared" ref="F6:T6" si="3">E6*(1+$P$59)</f>
        <v>2270.9171121931704</v>
      </c>
      <c r="G6" s="13">
        <f t="shared" si="3"/>
        <v>2498.0088234124878</v>
      </c>
      <c r="H6" s="13">
        <f t="shared" si="3"/>
        <v>2747.8097057537366</v>
      </c>
      <c r="I6" s="13">
        <f t="shared" si="3"/>
        <v>3022.5906763291105</v>
      </c>
      <c r="J6" s="13">
        <f t="shared" si="3"/>
        <v>3324.8497439620219</v>
      </c>
      <c r="K6" s="13">
        <f t="shared" si="3"/>
        <v>3657.3347183582246</v>
      </c>
      <c r="L6" s="13">
        <f t="shared" si="3"/>
        <v>4023.0681901940475</v>
      </c>
      <c r="M6" s="13">
        <f t="shared" si="3"/>
        <v>4425.3750092134524</v>
      </c>
      <c r="N6" s="13">
        <f t="shared" si="3"/>
        <v>4867.9125101347981</v>
      </c>
      <c r="O6" s="13">
        <f t="shared" si="3"/>
        <v>5354.7037611482783</v>
      </c>
      <c r="P6" s="13">
        <f t="shared" si="3"/>
        <v>5890.1741372631068</v>
      </c>
      <c r="Q6" s="13">
        <f t="shared" si="3"/>
        <v>6479.1915509894179</v>
      </c>
      <c r="R6" s="13">
        <f t="shared" si="3"/>
        <v>7127.1107060883605</v>
      </c>
      <c r="S6" s="13">
        <f t="shared" si="3"/>
        <v>7839.8217766971975</v>
      </c>
      <c r="T6" s="13">
        <f t="shared" si="3"/>
        <v>8623.8039543669183</v>
      </c>
      <c r="U6" s="13"/>
    </row>
    <row r="7" spans="1:21" x14ac:dyDescent="0.3">
      <c r="A7" t="s">
        <v>823</v>
      </c>
      <c r="D7" s="13">
        <f t="shared" ref="D7:T7" si="4">SUM(D3:D6)*0.04</f>
        <v>9371.9137869651568</v>
      </c>
      <c r="E7" s="13">
        <f t="shared" si="4"/>
        <v>9520.8601831757969</v>
      </c>
      <c r="F7" s="13">
        <f t="shared" si="4"/>
        <v>9672.7285492702122</v>
      </c>
      <c r="G7" s="13">
        <f t="shared" si="4"/>
        <v>9827.6277673157219</v>
      </c>
      <c r="H7" s="13">
        <f t="shared" si="4"/>
        <v>9985.6747647406828</v>
      </c>
      <c r="I7" s="13">
        <f t="shared" si="4"/>
        <v>10146.995273899871</v>
      </c>
      <c r="J7" s="13">
        <f t="shared" si="4"/>
        <v>10311.724666863616</v>
      </c>
      <c r="K7" s="13">
        <f t="shared" si="4"/>
        <v>10480.008872940662</v>
      </c>
      <c r="L7" s="13">
        <f t="shared" si="4"/>
        <v>10652.005387195424</v>
      </c>
      <c r="M7" s="13">
        <f t="shared" si="4"/>
        <v>10827.884379046209</v>
      </c>
      <c r="N7" s="13">
        <f t="shared" si="4"/>
        <v>11007.829910939325</v>
      </c>
      <c r="O7" s="13">
        <f t="shared" si="4"/>
        <v>11192.041278093371</v>
      </c>
      <c r="P7" s="13">
        <f t="shared" si="4"/>
        <v>11380.734481407062</v>
      </c>
      <c r="Q7" s="13">
        <f t="shared" si="4"/>
        <v>11574.143846833111</v>
      </c>
      <c r="R7" s="13">
        <f t="shared" si="4"/>
        <v>11772.523805850675</v>
      </c>
      <c r="S7" s="13">
        <f t="shared" si="4"/>
        <v>11976.150853131878</v>
      </c>
      <c r="T7" s="13">
        <f t="shared" si="4"/>
        <v>12185.325699107194</v>
      </c>
      <c r="U7" s="13"/>
    </row>
    <row r="8" spans="1:21" x14ac:dyDescent="0.3">
      <c r="A8" t="s">
        <v>731</v>
      </c>
      <c r="D8" s="13">
        <f t="shared" ref="D8:T8" si="5">SUM(D3:D7)</f>
        <v>243669.75846109408</v>
      </c>
      <c r="E8" s="13">
        <f t="shared" si="5"/>
        <v>247542.36476257074</v>
      </c>
      <c r="F8" s="13">
        <f t="shared" si="5"/>
        <v>251490.94228102552</v>
      </c>
      <c r="G8" s="13">
        <f t="shared" si="5"/>
        <v>255518.32195020874</v>
      </c>
      <c r="H8" s="13">
        <f t="shared" si="5"/>
        <v>259627.54388325775</v>
      </c>
      <c r="I8" s="13">
        <f t="shared" si="5"/>
        <v>263821.87712139665</v>
      </c>
      <c r="J8" s="13">
        <f t="shared" si="5"/>
        <v>268104.84133845399</v>
      </c>
      <c r="K8" s="13">
        <f t="shared" si="5"/>
        <v>272480.23069645721</v>
      </c>
      <c r="L8" s="13">
        <f t="shared" si="5"/>
        <v>276952.14006708103</v>
      </c>
      <c r="M8" s="13">
        <f t="shared" si="5"/>
        <v>281524.99385520141</v>
      </c>
      <c r="N8" s="13">
        <f t="shared" si="5"/>
        <v>286203.57768442243</v>
      </c>
      <c r="O8" s="13">
        <f t="shared" si="5"/>
        <v>290993.07323042763</v>
      </c>
      <c r="P8" s="13">
        <f t="shared" si="5"/>
        <v>295899.09651658358</v>
      </c>
      <c r="Q8" s="13">
        <f t="shared" si="5"/>
        <v>300927.74001766084</v>
      </c>
      <c r="R8" s="13">
        <f t="shared" si="5"/>
        <v>306085.61895211751</v>
      </c>
      <c r="S8" s="13">
        <f t="shared" si="5"/>
        <v>311379.92218142882</v>
      </c>
      <c r="T8" s="13">
        <f t="shared" si="5"/>
        <v>316818.46817678702</v>
      </c>
      <c r="U8" s="13"/>
    </row>
    <row r="9" spans="1:21" x14ac:dyDescent="0.3">
      <c r="A9" t="s">
        <v>547</v>
      </c>
      <c r="D9" s="13">
        <f>$F$58*$F$62+$F$59*$F$63</f>
        <v>20000</v>
      </c>
      <c r="E9" s="13">
        <f>D9</f>
        <v>20000</v>
      </c>
      <c r="F9" s="13">
        <f>D9</f>
        <v>20000</v>
      </c>
      <c r="G9" s="13">
        <f>D9</f>
        <v>20000</v>
      </c>
      <c r="H9" s="13">
        <f>D9</f>
        <v>20000</v>
      </c>
      <c r="I9" s="13">
        <f>D9</f>
        <v>20000</v>
      </c>
      <c r="J9" s="13">
        <f>D9</f>
        <v>20000</v>
      </c>
      <c r="K9" s="13">
        <f>D9</f>
        <v>20000</v>
      </c>
      <c r="L9" s="13">
        <f>D9</f>
        <v>20000</v>
      </c>
      <c r="M9" s="13">
        <f>D9</f>
        <v>20000</v>
      </c>
      <c r="N9" s="13">
        <f>D9</f>
        <v>20000</v>
      </c>
      <c r="O9" s="13">
        <f>D9</f>
        <v>20000</v>
      </c>
      <c r="P9" s="13">
        <f>D9</f>
        <v>20000</v>
      </c>
      <c r="Q9" s="13">
        <f>D9</f>
        <v>20000</v>
      </c>
      <c r="R9" s="13">
        <f>D9</f>
        <v>20000</v>
      </c>
      <c r="S9" s="13">
        <f>D9</f>
        <v>20000</v>
      </c>
      <c r="T9" s="13">
        <f>D9</f>
        <v>20000</v>
      </c>
      <c r="U9" s="13"/>
    </row>
    <row r="10" spans="1:21" x14ac:dyDescent="0.3">
      <c r="A10" t="s">
        <v>730</v>
      </c>
      <c r="D10" s="13">
        <f>$F$60/10</f>
        <v>38500</v>
      </c>
      <c r="E10" s="13">
        <f>D10</f>
        <v>38500</v>
      </c>
      <c r="F10" s="13">
        <f>D10</f>
        <v>38500</v>
      </c>
      <c r="G10" s="13">
        <f>D10</f>
        <v>38500</v>
      </c>
      <c r="H10" s="13">
        <f>D10</f>
        <v>38500</v>
      </c>
      <c r="I10" s="13">
        <f>D10</f>
        <v>38500</v>
      </c>
      <c r="J10" s="13">
        <f>D10</f>
        <v>38500</v>
      </c>
      <c r="K10" s="13">
        <f>D10</f>
        <v>38500</v>
      </c>
      <c r="L10" s="13">
        <f>D10</f>
        <v>38500</v>
      </c>
      <c r="M10" s="13">
        <f>D10</f>
        <v>38500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/>
    </row>
    <row r="11" spans="1:21" x14ac:dyDescent="0.3">
      <c r="A11" t="s">
        <v>732</v>
      </c>
      <c r="D11" s="13">
        <f>$F$60-D10</f>
        <v>346500</v>
      </c>
      <c r="E11" s="13">
        <f t="shared" ref="E11:M11" si="6">D11-E10</f>
        <v>308000</v>
      </c>
      <c r="F11" s="13">
        <f t="shared" si="6"/>
        <v>269500</v>
      </c>
      <c r="G11" s="13">
        <f t="shared" si="6"/>
        <v>231000</v>
      </c>
      <c r="H11" s="13">
        <f t="shared" si="6"/>
        <v>192500</v>
      </c>
      <c r="I11" s="13">
        <f t="shared" si="6"/>
        <v>154000</v>
      </c>
      <c r="J11" s="13">
        <f t="shared" si="6"/>
        <v>115500</v>
      </c>
      <c r="K11" s="13">
        <f t="shared" si="6"/>
        <v>77000</v>
      </c>
      <c r="L11" s="13">
        <f t="shared" si="6"/>
        <v>38500</v>
      </c>
      <c r="M11" s="13">
        <f t="shared" si="6"/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/>
    </row>
    <row r="12" spans="1:21" x14ac:dyDescent="0.3">
      <c r="A12" t="s">
        <v>733</v>
      </c>
      <c r="D12" s="13">
        <f t="shared" ref="D12:L12" si="7">D11*$F$61</f>
        <v>17325</v>
      </c>
      <c r="E12" s="13">
        <f t="shared" si="7"/>
        <v>15400</v>
      </c>
      <c r="F12" s="13">
        <f t="shared" si="7"/>
        <v>13475</v>
      </c>
      <c r="G12" s="13">
        <f t="shared" si="7"/>
        <v>11550</v>
      </c>
      <c r="H12" s="13">
        <f t="shared" si="7"/>
        <v>9625</v>
      </c>
      <c r="I12" s="13">
        <f t="shared" si="7"/>
        <v>7700</v>
      </c>
      <c r="J12" s="13">
        <f t="shared" si="7"/>
        <v>5775</v>
      </c>
      <c r="K12" s="13">
        <f t="shared" si="7"/>
        <v>3850</v>
      </c>
      <c r="L12" s="13">
        <f t="shared" si="7"/>
        <v>1925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/>
    </row>
    <row r="13" spans="1:21" x14ac:dyDescent="0.3">
      <c r="A13" t="s">
        <v>758</v>
      </c>
      <c r="D13" s="13">
        <f t="shared" ref="D13:T13" si="8">D8+D10+D12</f>
        <v>299494.75846109411</v>
      </c>
      <c r="E13" s="13">
        <f t="shared" si="8"/>
        <v>301442.36476257071</v>
      </c>
      <c r="F13" s="13">
        <f t="shared" si="8"/>
        <v>303465.94228102552</v>
      </c>
      <c r="G13" s="13">
        <f t="shared" si="8"/>
        <v>305568.32195020874</v>
      </c>
      <c r="H13" s="13">
        <f t="shared" si="8"/>
        <v>307752.54388325778</v>
      </c>
      <c r="I13" s="13">
        <f t="shared" si="8"/>
        <v>310021.87712139665</v>
      </c>
      <c r="J13" s="13">
        <f t="shared" si="8"/>
        <v>312379.84133845399</v>
      </c>
      <c r="K13" s="13">
        <f t="shared" si="8"/>
        <v>314830.23069645721</v>
      </c>
      <c r="L13" s="13">
        <f t="shared" si="8"/>
        <v>317377.14006708103</v>
      </c>
      <c r="M13" s="13">
        <f t="shared" si="8"/>
        <v>320024.99385520141</v>
      </c>
      <c r="N13" s="13">
        <f t="shared" si="8"/>
        <v>286203.57768442243</v>
      </c>
      <c r="O13" s="13">
        <f t="shared" si="8"/>
        <v>290993.07323042763</v>
      </c>
      <c r="P13" s="13">
        <f t="shared" si="8"/>
        <v>295899.09651658358</v>
      </c>
      <c r="Q13" s="13">
        <f t="shared" si="8"/>
        <v>300927.74001766084</v>
      </c>
      <c r="R13" s="13">
        <f t="shared" si="8"/>
        <v>306085.61895211751</v>
      </c>
      <c r="S13" s="13">
        <f t="shared" si="8"/>
        <v>311379.92218142882</v>
      </c>
      <c r="T13" s="13">
        <f t="shared" si="8"/>
        <v>316818.46817678702</v>
      </c>
      <c r="U13" s="13"/>
    </row>
    <row r="14" spans="1:21" x14ac:dyDescent="0.3">
      <c r="A14" t="s">
        <v>824</v>
      </c>
      <c r="D14" s="13">
        <f>D13/F67</f>
        <v>75.155522825870548</v>
      </c>
      <c r="E14" s="13">
        <f>E13/F67</f>
        <v>75.644257154973829</v>
      </c>
      <c r="F14" s="13">
        <f>F13/F67</f>
        <v>76.152055779429233</v>
      </c>
      <c r="G14" s="13">
        <f>G13/F67</f>
        <v>76.679629096664684</v>
      </c>
      <c r="H14" s="13">
        <f>H13/F67</f>
        <v>77.227739995798686</v>
      </c>
      <c r="I14" s="13">
        <f>I13/F67</f>
        <v>77.797208813399408</v>
      </c>
      <c r="J14" s="13">
        <f>J13/F67</f>
        <v>78.388918780038637</v>
      </c>
      <c r="K14" s="13">
        <f>K13/F67</f>
        <v>79.003822006639197</v>
      </c>
      <c r="L14" s="13">
        <f>L13/F67</f>
        <v>79.642946064512174</v>
      </c>
      <c r="M14" s="13">
        <f>M13/F67</f>
        <v>80.307401218369236</v>
      </c>
      <c r="N14" s="13">
        <f>N13/F67</f>
        <v>71.820220247031983</v>
      </c>
      <c r="O14" s="13">
        <f>O13/F67</f>
        <v>73.022101187058382</v>
      </c>
      <c r="P14" s="13">
        <f>P13/F67</f>
        <v>74.253223718088734</v>
      </c>
      <c r="Q14" s="13">
        <f>Q13/F67</f>
        <v>75.515116692010253</v>
      </c>
      <c r="R14" s="13">
        <f>R13/F67</f>
        <v>76.809440138548936</v>
      </c>
      <c r="S14" s="13">
        <f>S13/F67</f>
        <v>78.137998037999708</v>
      </c>
      <c r="T14" s="13">
        <f>T13/F67</f>
        <v>79.50275236556763</v>
      </c>
      <c r="U14" s="13"/>
    </row>
    <row r="15" spans="1:21" x14ac:dyDescent="0.3">
      <c r="A15" t="s">
        <v>740</v>
      </c>
      <c r="D15" s="13">
        <f t="shared" ref="D15:T15" si="9">D21-D8-D12</f>
        <v>6000.241538905917</v>
      </c>
      <c r="E15" s="13">
        <f t="shared" si="9"/>
        <v>10727.510237429262</v>
      </c>
      <c r="F15" s="13">
        <f t="shared" si="9"/>
        <v>15545.679593974433</v>
      </c>
      <c r="G15" s="13">
        <f t="shared" si="9"/>
        <v>20456.09047166619</v>
      </c>
      <c r="H15" s="13">
        <f t="shared" si="9"/>
        <v>25459.978849164007</v>
      </c>
      <c r="I15" s="13">
        <f t="shared" si="9"/>
        <v>30558.458679335599</v>
      </c>
      <c r="J15" s="13">
        <f t="shared" si="9"/>
        <v>35752.502857296611</v>
      </c>
      <c r="K15" s="13">
        <f t="shared" si="9"/>
        <v>41042.922104187077</v>
      </c>
      <c r="L15" s="13">
        <f t="shared" si="9"/>
        <v>46430.341553579317</v>
      </c>
      <c r="M15" s="13">
        <f t="shared" si="9"/>
        <v>51915.174805975403</v>
      </c>
      <c r="N15" s="13">
        <f t="shared" si="9"/>
        <v>55572.595193283807</v>
      </c>
      <c r="O15" s="13">
        <f t="shared" si="9"/>
        <v>59327.503969221259</v>
      </c>
      <c r="P15" s="13">
        <f t="shared" si="9"/>
        <v>63179.495113056502</v>
      </c>
      <c r="Q15" s="13">
        <f t="shared" si="9"/>
        <v>67127.816402720229</v>
      </c>
      <c r="R15" s="13">
        <f t="shared" si="9"/>
        <v>71171.326378773083</v>
      </c>
      <c r="S15" s="13">
        <f t="shared" si="9"/>
        <v>75308.446782733954</v>
      </c>
      <c r="T15" s="13">
        <f t="shared" si="9"/>
        <v>79537.110011479759</v>
      </c>
      <c r="U15" s="13"/>
    </row>
    <row r="16" spans="1:21" x14ac:dyDescent="0.3">
      <c r="A16" t="s">
        <v>741</v>
      </c>
      <c r="D16" s="13">
        <f t="shared" ref="D16:T16" si="10">D21-D13</f>
        <v>-32499.758461094112</v>
      </c>
      <c r="E16" s="13">
        <f t="shared" si="10"/>
        <v>-27772.489762570709</v>
      </c>
      <c r="F16" s="13">
        <f t="shared" si="10"/>
        <v>-22954.320406025567</v>
      </c>
      <c r="G16" s="13">
        <f t="shared" si="10"/>
        <v>-18043.90952833381</v>
      </c>
      <c r="H16" s="13">
        <f t="shared" si="10"/>
        <v>-13040.021150836023</v>
      </c>
      <c r="I16" s="13">
        <f t="shared" si="10"/>
        <v>-7941.5413206644007</v>
      </c>
      <c r="J16" s="13">
        <f t="shared" si="10"/>
        <v>-2747.4971427033888</v>
      </c>
      <c r="K16" s="13">
        <f t="shared" si="10"/>
        <v>2542.9221041870769</v>
      </c>
      <c r="L16" s="13">
        <f t="shared" si="10"/>
        <v>7930.3415535793174</v>
      </c>
      <c r="M16" s="13">
        <f t="shared" si="10"/>
        <v>13415.174805975403</v>
      </c>
      <c r="N16" s="13">
        <f t="shared" si="10"/>
        <v>55572.595193283807</v>
      </c>
      <c r="O16" s="13">
        <f t="shared" si="10"/>
        <v>59327.503969221259</v>
      </c>
      <c r="P16" s="13">
        <f t="shared" si="10"/>
        <v>63179.495113056502</v>
      </c>
      <c r="Q16" s="13">
        <f t="shared" si="10"/>
        <v>67127.816402720229</v>
      </c>
      <c r="R16" s="13">
        <f t="shared" si="10"/>
        <v>71171.326378773083</v>
      </c>
      <c r="S16" s="13">
        <f t="shared" si="10"/>
        <v>75308.446782733954</v>
      </c>
      <c r="T16" s="13">
        <f t="shared" si="10"/>
        <v>79537.110011479759</v>
      </c>
      <c r="U16" s="13"/>
    </row>
    <row r="17" spans="1:21" x14ac:dyDescent="0.3">
      <c r="A17" t="s">
        <v>755</v>
      </c>
      <c r="D17" s="13">
        <f>F60+D15+D9-F58-F59-D10+H60</f>
        <v>-12499.758461094112</v>
      </c>
      <c r="E17" s="13">
        <f>E15+E9-E10</f>
        <v>-7772.4897625707381</v>
      </c>
      <c r="F17" s="13">
        <f>F15+F9-F10</f>
        <v>-2954.3204060255666</v>
      </c>
      <c r="G17" s="13">
        <f t="shared" ref="G17:T17" si="11">G15+G9-G10</f>
        <v>1956.0904716661898</v>
      </c>
      <c r="H17" s="13">
        <f t="shared" si="11"/>
        <v>6959.9788491640065</v>
      </c>
      <c r="I17" s="13">
        <f t="shared" si="11"/>
        <v>12058.458679335599</v>
      </c>
      <c r="J17" s="13">
        <f t="shared" si="11"/>
        <v>17252.502857296611</v>
      </c>
      <c r="K17" s="13">
        <f t="shared" si="11"/>
        <v>22542.922104187077</v>
      </c>
      <c r="L17" s="13">
        <f>L15+L9-L10</f>
        <v>27930.341553579317</v>
      </c>
      <c r="M17" s="13">
        <f t="shared" si="11"/>
        <v>33415.174805975403</v>
      </c>
      <c r="N17" s="13">
        <f t="shared" si="11"/>
        <v>75572.595193283807</v>
      </c>
      <c r="O17" s="13">
        <f t="shared" si="11"/>
        <v>79327.503969221259</v>
      </c>
      <c r="P17" s="13">
        <f t="shared" si="11"/>
        <v>83179.495113056502</v>
      </c>
      <c r="Q17" s="13">
        <f t="shared" si="11"/>
        <v>87127.816402720229</v>
      </c>
      <c r="R17" s="13">
        <f t="shared" si="11"/>
        <v>91171.326378773083</v>
      </c>
      <c r="S17" s="13">
        <f t="shared" si="11"/>
        <v>95308.446782733954</v>
      </c>
      <c r="T17" s="13">
        <f t="shared" si="11"/>
        <v>99537.110011479759</v>
      </c>
      <c r="U17" s="13"/>
    </row>
    <row r="18" spans="1:21" ht="15" thickBot="1" x14ac:dyDescent="0.35">
      <c r="A18" t="s">
        <v>742</v>
      </c>
      <c r="D18" s="13">
        <f>D17</f>
        <v>-12499.758461094112</v>
      </c>
      <c r="E18" s="13">
        <f t="shared" ref="E18:T18" si="12">D18+E17</f>
        <v>-20272.24822366485</v>
      </c>
      <c r="F18" s="13">
        <f t="shared" si="12"/>
        <v>-23226.568629690417</v>
      </c>
      <c r="G18" s="13">
        <f t="shared" si="12"/>
        <v>-21270.478158024227</v>
      </c>
      <c r="H18" s="13">
        <f t="shared" si="12"/>
        <v>-14310.49930886022</v>
      </c>
      <c r="I18" s="13">
        <f t="shared" si="12"/>
        <v>-2252.0406295246212</v>
      </c>
      <c r="J18" s="13">
        <f t="shared" si="12"/>
        <v>15000.46222777199</v>
      </c>
      <c r="K18" s="13">
        <f t="shared" si="12"/>
        <v>37543.384331959067</v>
      </c>
      <c r="L18" s="13">
        <f>K18+L17</f>
        <v>65473.725885538384</v>
      </c>
      <c r="M18" s="13">
        <f t="shared" si="12"/>
        <v>98888.900691513787</v>
      </c>
      <c r="N18" s="13">
        <f t="shared" si="12"/>
        <v>174461.49588479759</v>
      </c>
      <c r="O18" s="13">
        <f t="shared" si="12"/>
        <v>253788.99985401885</v>
      </c>
      <c r="P18" s="13">
        <f t="shared" si="12"/>
        <v>336968.49496707536</v>
      </c>
      <c r="Q18" s="13">
        <f t="shared" si="12"/>
        <v>424096.31136979559</v>
      </c>
      <c r="R18" s="13">
        <f t="shared" si="12"/>
        <v>515267.63774856867</v>
      </c>
      <c r="S18" s="13">
        <f t="shared" si="12"/>
        <v>610576.08453130256</v>
      </c>
      <c r="T18" s="13">
        <f t="shared" si="12"/>
        <v>710113.19454278238</v>
      </c>
      <c r="U18" s="13"/>
    </row>
    <row r="19" spans="1:21" ht="15" thickBot="1" x14ac:dyDescent="0.35">
      <c r="A19" t="s">
        <v>743</v>
      </c>
      <c r="B19" s="69">
        <f>NPV(D19,D17:T17)-H60</f>
        <v>32617.630661465955</v>
      </c>
      <c r="D19" s="97">
        <v>0.1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3">
      <c r="A20" t="s">
        <v>735</v>
      </c>
      <c r="D20" s="13">
        <f>F58+F59</f>
        <v>550000</v>
      </c>
      <c r="E20" s="13">
        <f t="shared" ref="E20:T20" si="13">D20-$F$58*$F62-$F$59*$F$63</f>
        <v>530000</v>
      </c>
      <c r="F20" s="13">
        <f t="shared" si="13"/>
        <v>510000</v>
      </c>
      <c r="G20" s="13">
        <f t="shared" si="13"/>
        <v>490000</v>
      </c>
      <c r="H20" s="13">
        <f t="shared" si="13"/>
        <v>470000</v>
      </c>
      <c r="I20" s="13">
        <f t="shared" si="13"/>
        <v>450000</v>
      </c>
      <c r="J20" s="13">
        <f t="shared" si="13"/>
        <v>430000</v>
      </c>
      <c r="K20" s="13">
        <f t="shared" si="13"/>
        <v>410000</v>
      </c>
      <c r="L20" s="13">
        <f t="shared" si="13"/>
        <v>390000</v>
      </c>
      <c r="M20" s="13">
        <f t="shared" si="13"/>
        <v>370000</v>
      </c>
      <c r="N20" s="13">
        <f t="shared" si="13"/>
        <v>350000</v>
      </c>
      <c r="O20" s="13">
        <f t="shared" si="13"/>
        <v>330000</v>
      </c>
      <c r="P20" s="13">
        <f t="shared" si="13"/>
        <v>310000</v>
      </c>
      <c r="Q20" s="13">
        <f t="shared" si="13"/>
        <v>290000</v>
      </c>
      <c r="R20" s="13">
        <f t="shared" si="13"/>
        <v>270000</v>
      </c>
      <c r="S20" s="13">
        <f t="shared" si="13"/>
        <v>250000</v>
      </c>
      <c r="T20" s="13">
        <f t="shared" si="13"/>
        <v>230000</v>
      </c>
      <c r="U20" s="13"/>
    </row>
    <row r="21" spans="1:21" x14ac:dyDescent="0.3">
      <c r="A21" t="s">
        <v>549</v>
      </c>
      <c r="D21" s="13">
        <f>D22*$F$67</f>
        <v>266995</v>
      </c>
      <c r="E21" s="13">
        <f t="shared" ref="E21:T21" si="14">E22*$F$67</f>
        <v>273669.875</v>
      </c>
      <c r="F21" s="13">
        <f t="shared" si="14"/>
        <v>280511.62187499995</v>
      </c>
      <c r="G21" s="13">
        <f t="shared" si="14"/>
        <v>287524.41242187493</v>
      </c>
      <c r="H21" s="13">
        <f t="shared" si="14"/>
        <v>294712.52273242176</v>
      </c>
      <c r="I21" s="13">
        <f t="shared" si="14"/>
        <v>302080.33580073225</v>
      </c>
      <c r="J21" s="13">
        <f t="shared" si="14"/>
        <v>309632.3441957506</v>
      </c>
      <c r="K21" s="13">
        <f t="shared" si="14"/>
        <v>317373.15280064428</v>
      </c>
      <c r="L21" s="13">
        <f t="shared" si="14"/>
        <v>325307.48162066034</v>
      </c>
      <c r="M21" s="13">
        <f t="shared" si="14"/>
        <v>333440.16866117681</v>
      </c>
      <c r="N21" s="13">
        <f t="shared" si="14"/>
        <v>341776.17287770624</v>
      </c>
      <c r="O21" s="13">
        <f t="shared" si="14"/>
        <v>350320.57719964889</v>
      </c>
      <c r="P21" s="13">
        <f t="shared" si="14"/>
        <v>359078.59162964008</v>
      </c>
      <c r="Q21" s="13">
        <f t="shared" si="14"/>
        <v>368055.55642038106</v>
      </c>
      <c r="R21" s="13">
        <f t="shared" si="14"/>
        <v>377256.94533089059</v>
      </c>
      <c r="S21" s="13">
        <f t="shared" si="14"/>
        <v>386688.36896416277</v>
      </c>
      <c r="T21" s="13">
        <f t="shared" si="14"/>
        <v>396355.57818826678</v>
      </c>
      <c r="U21" s="13"/>
    </row>
    <row r="22" spans="1:21" x14ac:dyDescent="0.3">
      <c r="A22" t="s">
        <v>827</v>
      </c>
      <c r="D22" s="13">
        <v>67</v>
      </c>
      <c r="E22" s="13">
        <f>(1+$N$61)*D22</f>
        <v>68.674999999999997</v>
      </c>
      <c r="F22" s="13">
        <f t="shared" ref="F22:T22" si="15">(1+$N$61)*E22</f>
        <v>70.391874999999985</v>
      </c>
      <c r="G22" s="13">
        <f t="shared" si="15"/>
        <v>72.151671874999977</v>
      </c>
      <c r="H22" s="13">
        <f t="shared" si="15"/>
        <v>73.955463671874966</v>
      </c>
      <c r="I22" s="13">
        <f t="shared" si="15"/>
        <v>75.804350263671836</v>
      </c>
      <c r="J22" s="13">
        <f t="shared" si="15"/>
        <v>77.699459020263632</v>
      </c>
      <c r="K22" s="13">
        <f t="shared" si="15"/>
        <v>79.641945495770216</v>
      </c>
      <c r="L22" s="13">
        <f t="shared" si="15"/>
        <v>81.632994133164459</v>
      </c>
      <c r="M22" s="13">
        <f t="shared" si="15"/>
        <v>83.673818986493558</v>
      </c>
      <c r="N22" s="13">
        <f t="shared" si="15"/>
        <v>85.765664461155893</v>
      </c>
      <c r="O22" s="13">
        <f t="shared" si="15"/>
        <v>87.909806072684788</v>
      </c>
      <c r="P22" s="13">
        <f t="shared" si="15"/>
        <v>90.107551224501904</v>
      </c>
      <c r="Q22" s="13">
        <f t="shared" si="15"/>
        <v>92.360240005114449</v>
      </c>
      <c r="R22" s="13">
        <f t="shared" si="15"/>
        <v>94.6692460052423</v>
      </c>
      <c r="S22" s="13">
        <f t="shared" si="15"/>
        <v>97.035977155373345</v>
      </c>
      <c r="T22" s="13">
        <f t="shared" si="15"/>
        <v>99.461876584257666</v>
      </c>
      <c r="U22" s="13"/>
    </row>
    <row r="23" spans="1:21" ht="15" thickBot="1" x14ac:dyDescent="0.35"/>
    <row r="24" spans="1:21" ht="15" thickBot="1" x14ac:dyDescent="0.35">
      <c r="A24" t="s">
        <v>838</v>
      </c>
      <c r="F24" s="90">
        <f>T22</f>
        <v>99.461876584257666</v>
      </c>
      <c r="G24" t="s">
        <v>466</v>
      </c>
      <c r="I24" t="s">
        <v>980</v>
      </c>
    </row>
    <row r="26" spans="1:21" x14ac:dyDescent="0.3">
      <c r="A26">
        <v>60</v>
      </c>
      <c r="B26" t="s">
        <v>840</v>
      </c>
      <c r="C26">
        <v>100</v>
      </c>
      <c r="D26" t="s">
        <v>839</v>
      </c>
      <c r="F26" t="s">
        <v>841</v>
      </c>
    </row>
    <row r="27" spans="1:21" x14ac:dyDescent="0.3">
      <c r="D27">
        <f>A26*C26*D22/1000</f>
        <v>402</v>
      </c>
      <c r="E27">
        <f>A26*C26*E22/1000</f>
        <v>412.05</v>
      </c>
      <c r="F27">
        <f>A26*C26*F22/1000</f>
        <v>422.35124999999988</v>
      </c>
      <c r="G27">
        <f>A26*C26*G22/1000</f>
        <v>432.91003124999986</v>
      </c>
      <c r="H27">
        <f>A26*C26*H22/1000</f>
        <v>443.73278203124977</v>
      </c>
      <c r="I27">
        <f>A26*C26*I22/1000</f>
        <v>454.82610158203101</v>
      </c>
      <c r="J27">
        <f>A26*C26*J22/1000</f>
        <v>466.19675412158182</v>
      </c>
      <c r="K27">
        <f>A26*C26*K22/1000</f>
        <v>477.85167297462129</v>
      </c>
      <c r="L27">
        <f>A26*C26*L22/1000</f>
        <v>489.79796479898675</v>
      </c>
      <c r="M27">
        <f>A26*C26*M22/1000</f>
        <v>502.04291391896135</v>
      </c>
      <c r="Q27" s="96"/>
      <c r="T27">
        <f>A26*C26*T22/1000</f>
        <v>596.77125950554591</v>
      </c>
    </row>
    <row r="28" spans="1:21" x14ac:dyDescent="0.3">
      <c r="M28">
        <f>SUM(D27:M27)</f>
        <v>4503.7594706774316</v>
      </c>
    </row>
    <row r="29" spans="1:21" x14ac:dyDescent="0.3">
      <c r="A29" t="s">
        <v>842</v>
      </c>
      <c r="D29">
        <v>0.02</v>
      </c>
      <c r="E29" t="s">
        <v>843</v>
      </c>
    </row>
    <row r="31" spans="1:21" x14ac:dyDescent="0.3">
      <c r="A31">
        <v>2031</v>
      </c>
      <c r="B31">
        <v>2032</v>
      </c>
      <c r="C31">
        <v>2033</v>
      </c>
      <c r="D31">
        <v>2034</v>
      </c>
      <c r="E31">
        <v>2035</v>
      </c>
      <c r="F31">
        <v>2036</v>
      </c>
      <c r="G31">
        <v>2037</v>
      </c>
      <c r="H31">
        <v>2038</v>
      </c>
      <c r="I31">
        <v>2039</v>
      </c>
      <c r="J31">
        <v>2040</v>
      </c>
      <c r="K31">
        <v>2041</v>
      </c>
      <c r="L31">
        <v>2042</v>
      </c>
      <c r="M31">
        <v>2043</v>
      </c>
      <c r="N31">
        <v>2044</v>
      </c>
      <c r="O31">
        <v>2045</v>
      </c>
      <c r="P31">
        <v>2046</v>
      </c>
      <c r="Q31">
        <v>2047</v>
      </c>
      <c r="R31">
        <v>2048</v>
      </c>
      <c r="S31">
        <v>2049</v>
      </c>
      <c r="T31">
        <v>2050</v>
      </c>
    </row>
    <row r="32" spans="1:21" x14ac:dyDescent="0.3">
      <c r="A32">
        <f>T22*1.02</f>
        <v>101.45111411594281</v>
      </c>
      <c r="B32">
        <f t="shared" ref="B32:T32" si="16">A32*1.02</f>
        <v>103.48013639826168</v>
      </c>
      <c r="C32">
        <f t="shared" si="16"/>
        <v>105.54973912622691</v>
      </c>
      <c r="D32">
        <f t="shared" si="16"/>
        <v>107.66073390875145</v>
      </c>
      <c r="E32">
        <f t="shared" si="16"/>
        <v>109.81394858692649</v>
      </c>
      <c r="F32">
        <f t="shared" si="16"/>
        <v>112.01022755866502</v>
      </c>
      <c r="G32">
        <f t="shared" si="16"/>
        <v>114.25043210983833</v>
      </c>
      <c r="H32">
        <f t="shared" si="16"/>
        <v>116.5354407520351</v>
      </c>
      <c r="I32">
        <f t="shared" si="16"/>
        <v>118.86614956707581</v>
      </c>
      <c r="J32">
        <f t="shared" si="16"/>
        <v>121.24347255841732</v>
      </c>
      <c r="K32">
        <f t="shared" si="16"/>
        <v>123.66834200958567</v>
      </c>
      <c r="L32">
        <f t="shared" si="16"/>
        <v>126.14170884977739</v>
      </c>
      <c r="M32">
        <f t="shared" si="16"/>
        <v>128.66454302677295</v>
      </c>
      <c r="N32">
        <f t="shared" si="16"/>
        <v>131.2378338873084</v>
      </c>
      <c r="O32">
        <f t="shared" si="16"/>
        <v>133.86259056505457</v>
      </c>
      <c r="P32">
        <f t="shared" si="16"/>
        <v>136.53984237635567</v>
      </c>
      <c r="Q32">
        <f t="shared" si="16"/>
        <v>139.27063922388277</v>
      </c>
      <c r="R32">
        <f t="shared" si="16"/>
        <v>142.05605200836044</v>
      </c>
      <c r="S32">
        <f t="shared" si="16"/>
        <v>144.89717304852766</v>
      </c>
      <c r="T32">
        <f t="shared" si="16"/>
        <v>147.79511650949823</v>
      </c>
    </row>
    <row r="34" spans="1:15" x14ac:dyDescent="0.3">
      <c r="A34" t="s">
        <v>845</v>
      </c>
      <c r="F34">
        <v>51.16</v>
      </c>
      <c r="G34" t="s">
        <v>466</v>
      </c>
    </row>
    <row r="35" spans="1:15" x14ac:dyDescent="0.3">
      <c r="A35" t="s">
        <v>846</v>
      </c>
    </row>
    <row r="36" spans="1:15" x14ac:dyDescent="0.3">
      <c r="A36" t="s">
        <v>728</v>
      </c>
    </row>
    <row r="43" spans="1:15" x14ac:dyDescent="0.3">
      <c r="A43" t="s">
        <v>844</v>
      </c>
    </row>
    <row r="44" spans="1:15" x14ac:dyDescent="0.3">
      <c r="A44" t="s">
        <v>517</v>
      </c>
      <c r="L44" t="s">
        <v>784</v>
      </c>
      <c r="O44">
        <v>90.3</v>
      </c>
    </row>
    <row r="45" spans="1:15" x14ac:dyDescent="0.3">
      <c r="A45" t="s">
        <v>785</v>
      </c>
      <c r="F45">
        <v>36.229999999999997</v>
      </c>
      <c r="L45" t="s">
        <v>975</v>
      </c>
      <c r="O45">
        <v>55</v>
      </c>
    </row>
    <row r="46" spans="1:15" x14ac:dyDescent="0.3">
      <c r="A46" t="s">
        <v>786</v>
      </c>
      <c r="D46" t="s">
        <v>466</v>
      </c>
      <c r="F46">
        <v>1.57</v>
      </c>
      <c r="L46" t="s">
        <v>787</v>
      </c>
      <c r="N46" t="s">
        <v>466</v>
      </c>
      <c r="O46">
        <f>O45*O44/F67</f>
        <v>1.2462986198243413</v>
      </c>
    </row>
    <row r="47" spans="1:15" x14ac:dyDescent="0.3">
      <c r="A47" t="s">
        <v>788</v>
      </c>
      <c r="D47" t="s">
        <v>466</v>
      </c>
      <c r="F47">
        <v>2.52</v>
      </c>
    </row>
    <row r="48" spans="1:15" x14ac:dyDescent="0.3">
      <c r="A48" t="s">
        <v>789</v>
      </c>
      <c r="F48">
        <f>SUM(F45:F47)</f>
        <v>40.32</v>
      </c>
    </row>
    <row r="49" spans="1:21" x14ac:dyDescent="0.3">
      <c r="A49" t="s">
        <v>790</v>
      </c>
      <c r="E49" t="s">
        <v>466</v>
      </c>
      <c r="F49">
        <v>30.18</v>
      </c>
      <c r="L49" t="s">
        <v>791</v>
      </c>
      <c r="P49" t="s">
        <v>792</v>
      </c>
      <c r="S49">
        <v>293</v>
      </c>
      <c r="T49" t="s">
        <v>490</v>
      </c>
      <c r="U49" t="s">
        <v>793</v>
      </c>
    </row>
    <row r="50" spans="1:21" x14ac:dyDescent="0.3">
      <c r="D50" t="s">
        <v>794</v>
      </c>
      <c r="E50" t="s">
        <v>466</v>
      </c>
      <c r="F50">
        <v>38.86</v>
      </c>
      <c r="L50" t="s">
        <v>795</v>
      </c>
      <c r="M50" t="s">
        <v>796</v>
      </c>
      <c r="N50">
        <v>86.08</v>
      </c>
      <c r="P50">
        <v>0.45</v>
      </c>
      <c r="U50">
        <f>(F67+G57)/F55/S49*P50*N50/1000</f>
        <v>0.66143884614642989</v>
      </c>
    </row>
    <row r="51" spans="1:21" x14ac:dyDescent="0.3">
      <c r="A51" t="s">
        <v>797</v>
      </c>
      <c r="F51">
        <f>(F50-F49)/F49</f>
        <v>0.2876076872100729</v>
      </c>
      <c r="L51" t="s">
        <v>798</v>
      </c>
      <c r="N51">
        <v>6.35</v>
      </c>
      <c r="P51">
        <v>18</v>
      </c>
      <c r="U51">
        <f>(F67+G57)/F55/S49*P51*N51/1000</f>
        <v>1.9517363722257572</v>
      </c>
    </row>
    <row r="52" spans="1:21" x14ac:dyDescent="0.3">
      <c r="A52" t="s">
        <v>799</v>
      </c>
      <c r="F52">
        <f>F45+F45*F51</f>
        <v>46.650026507620936</v>
      </c>
      <c r="L52" t="s">
        <v>800</v>
      </c>
      <c r="N52">
        <v>2</v>
      </c>
      <c r="P52">
        <v>52650</v>
      </c>
      <c r="U52">
        <f>(F67+G57)/F55/S49*P52*N52/1000</f>
        <v>1798.0563429166427</v>
      </c>
    </row>
    <row r="53" spans="1:21" x14ac:dyDescent="0.3">
      <c r="A53" t="s">
        <v>801</v>
      </c>
      <c r="F53">
        <f>F52+F46+F47</f>
        <v>50.740026507620939</v>
      </c>
      <c r="H53" t="s">
        <v>802</v>
      </c>
      <c r="L53" t="s">
        <v>803</v>
      </c>
      <c r="N53">
        <v>86.47</v>
      </c>
      <c r="P53">
        <v>3.15</v>
      </c>
      <c r="U53">
        <f>(F67+G57)/F55/S49*P53*N53/1000</f>
        <v>4.6510492470257034</v>
      </c>
    </row>
    <row r="54" spans="1:21" x14ac:dyDescent="0.3">
      <c r="A54" t="s">
        <v>804</v>
      </c>
      <c r="F54">
        <v>1</v>
      </c>
      <c r="L54" t="s">
        <v>805</v>
      </c>
      <c r="N54">
        <v>101.1</v>
      </c>
      <c r="P54">
        <v>41.4</v>
      </c>
      <c r="U54">
        <f>(F67+G57)/F55/S49*P54*N54/1000</f>
        <v>71.470434430496894</v>
      </c>
    </row>
    <row r="55" spans="1:21" x14ac:dyDescent="0.3">
      <c r="A55" t="s">
        <v>468</v>
      </c>
      <c r="F55">
        <v>0.9</v>
      </c>
      <c r="L55" t="s">
        <v>806</v>
      </c>
      <c r="N55">
        <v>1252</v>
      </c>
      <c r="P55">
        <v>0</v>
      </c>
      <c r="U55">
        <v>0</v>
      </c>
    </row>
    <row r="56" spans="1:21" x14ac:dyDescent="0.3">
      <c r="A56" t="s">
        <v>807</v>
      </c>
      <c r="F56">
        <v>1</v>
      </c>
      <c r="T56" t="s">
        <v>808</v>
      </c>
      <c r="U56">
        <f>SUM(U50:U54)</f>
        <v>1876.7910018125374</v>
      </c>
    </row>
    <row r="57" spans="1:21" x14ac:dyDescent="0.3">
      <c r="A57" t="s">
        <v>809</v>
      </c>
      <c r="F57">
        <v>0.115</v>
      </c>
      <c r="G57" s="32">
        <f>F68*F57</f>
        <v>517.8248587570622</v>
      </c>
      <c r="H57" t="s">
        <v>490</v>
      </c>
      <c r="L57" t="s">
        <v>810</v>
      </c>
      <c r="Q57" t="s">
        <v>466</v>
      </c>
      <c r="R57">
        <f>U56/F67</f>
        <v>0.47096386494668441</v>
      </c>
    </row>
    <row r="58" spans="1:21" x14ac:dyDescent="0.3">
      <c r="A58" t="s">
        <v>446</v>
      </c>
      <c r="D58" t="s">
        <v>811</v>
      </c>
      <c r="F58">
        <v>250000</v>
      </c>
      <c r="H58" t="s">
        <v>812</v>
      </c>
    </row>
    <row r="59" spans="1:21" x14ac:dyDescent="0.3">
      <c r="D59" t="s">
        <v>813</v>
      </c>
      <c r="E59" t="s">
        <v>814</v>
      </c>
      <c r="F59">
        <v>300000</v>
      </c>
      <c r="L59" t="s">
        <v>822</v>
      </c>
      <c r="P59">
        <v>0.1</v>
      </c>
    </row>
    <row r="60" spans="1:21" x14ac:dyDescent="0.3">
      <c r="A60" t="s">
        <v>527</v>
      </c>
      <c r="F60">
        <f>(F58+F59)*0.7</f>
        <v>385000</v>
      </c>
      <c r="G60" t="s">
        <v>749</v>
      </c>
      <c r="H60">
        <f>F58+F59-F60</f>
        <v>165000</v>
      </c>
    </row>
    <row r="61" spans="1:21" x14ac:dyDescent="0.3">
      <c r="A61" t="s">
        <v>815</v>
      </c>
      <c r="F61">
        <v>0.05</v>
      </c>
      <c r="L61" t="s">
        <v>830</v>
      </c>
      <c r="N61">
        <v>2.5000000000000001E-2</v>
      </c>
    </row>
    <row r="62" spans="1:21" x14ac:dyDescent="0.3">
      <c r="A62" t="s">
        <v>816</v>
      </c>
      <c r="F62">
        <v>0.05</v>
      </c>
      <c r="L62" t="s">
        <v>828</v>
      </c>
      <c r="N62">
        <v>1.4999999999999999E-2</v>
      </c>
    </row>
    <row r="63" spans="1:21" x14ac:dyDescent="0.3">
      <c r="A63" t="s">
        <v>817</v>
      </c>
      <c r="F63">
        <v>2.5000000000000001E-2</v>
      </c>
      <c r="L63" t="s">
        <v>829</v>
      </c>
      <c r="N63">
        <v>1.4999999999999999E-2</v>
      </c>
    </row>
    <row r="64" spans="1:21" x14ac:dyDescent="0.3">
      <c r="A64" t="s">
        <v>530</v>
      </c>
      <c r="F64">
        <v>2</v>
      </c>
    </row>
    <row r="65" spans="1:6" x14ac:dyDescent="0.3">
      <c r="A65" t="s">
        <v>818</v>
      </c>
      <c r="E65" t="s">
        <v>460</v>
      </c>
      <c r="F65">
        <v>800</v>
      </c>
    </row>
    <row r="66" spans="1:6" x14ac:dyDescent="0.3">
      <c r="A66" t="s">
        <v>534</v>
      </c>
      <c r="F66">
        <v>0.05</v>
      </c>
    </row>
    <row r="67" spans="1:6" x14ac:dyDescent="0.3">
      <c r="A67" t="s">
        <v>819</v>
      </c>
      <c r="F67" s="1">
        <v>3985</v>
      </c>
    </row>
    <row r="68" spans="1:6" x14ac:dyDescent="0.3">
      <c r="A68" t="s">
        <v>972</v>
      </c>
      <c r="F68" s="13">
        <f>F67/(1-0.115)</f>
        <v>4502.8248587570624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topLeftCell="I25" workbookViewId="0">
      <selection activeCell="U44" sqref="U44"/>
    </sheetView>
  </sheetViews>
  <sheetFormatPr defaultRowHeight="14.4" x14ac:dyDescent="0.3"/>
  <cols>
    <col min="5" max="22" width="9.33203125" bestFit="1" customWidth="1"/>
  </cols>
  <sheetData>
    <row r="2" spans="1:17" x14ac:dyDescent="0.3">
      <c r="A2" t="s">
        <v>516</v>
      </c>
    </row>
    <row r="3" spans="1:17" x14ac:dyDescent="0.3">
      <c r="A3" s="43" t="s">
        <v>1006</v>
      </c>
      <c r="B3" s="43"/>
      <c r="C3" s="43"/>
      <c r="D3" s="28"/>
      <c r="Q3" t="s">
        <v>836</v>
      </c>
    </row>
    <row r="4" spans="1:17" x14ac:dyDescent="0.3">
      <c r="A4" t="s">
        <v>517</v>
      </c>
      <c r="P4" t="s">
        <v>831</v>
      </c>
    </row>
    <row r="5" spans="1:17" x14ac:dyDescent="0.3">
      <c r="A5" t="s">
        <v>518</v>
      </c>
      <c r="D5">
        <v>1</v>
      </c>
      <c r="G5" t="s">
        <v>539</v>
      </c>
      <c r="I5" t="s">
        <v>466</v>
      </c>
      <c r="J5" s="14">
        <f>N6*N5/D7</f>
        <v>2.3076666666666665</v>
      </c>
      <c r="L5" t="s">
        <v>782</v>
      </c>
      <c r="N5">
        <v>90.3</v>
      </c>
      <c r="P5" t="s">
        <v>832</v>
      </c>
    </row>
    <row r="6" spans="1:17" x14ac:dyDescent="0.3">
      <c r="A6" t="s">
        <v>519</v>
      </c>
      <c r="D6">
        <v>1</v>
      </c>
      <c r="G6" t="s">
        <v>540</v>
      </c>
      <c r="I6" t="s">
        <v>466</v>
      </c>
      <c r="J6">
        <v>3.8</v>
      </c>
      <c r="L6" t="s">
        <v>783</v>
      </c>
      <c r="N6">
        <v>69</v>
      </c>
      <c r="P6" t="s">
        <v>833</v>
      </c>
    </row>
    <row r="7" spans="1:17" x14ac:dyDescent="0.3">
      <c r="A7" t="s">
        <v>520</v>
      </c>
      <c r="D7" s="1">
        <v>2700</v>
      </c>
      <c r="G7" t="s">
        <v>538</v>
      </c>
      <c r="J7">
        <v>0.04</v>
      </c>
      <c r="P7" t="s">
        <v>834</v>
      </c>
    </row>
    <row r="8" spans="1:17" x14ac:dyDescent="0.3">
      <c r="A8" t="s">
        <v>521</v>
      </c>
      <c r="D8">
        <v>0.86</v>
      </c>
      <c r="G8" t="s">
        <v>541</v>
      </c>
      <c r="J8">
        <v>1.4999999999999999E-2</v>
      </c>
      <c r="P8" t="s">
        <v>835</v>
      </c>
    </row>
    <row r="9" spans="1:17" x14ac:dyDescent="0.3">
      <c r="A9" t="s">
        <v>522</v>
      </c>
      <c r="D9">
        <v>0.09</v>
      </c>
      <c r="E9" s="32">
        <f>J14*D9</f>
        <v>267.03296703296701</v>
      </c>
      <c r="G9" t="s">
        <v>542</v>
      </c>
      <c r="J9">
        <v>0.1</v>
      </c>
      <c r="L9" t="s">
        <v>543</v>
      </c>
    </row>
    <row r="10" spans="1:17" x14ac:dyDescent="0.3">
      <c r="A10" t="s">
        <v>957</v>
      </c>
      <c r="D10">
        <v>12.5</v>
      </c>
      <c r="G10" t="s">
        <v>545</v>
      </c>
      <c r="J10">
        <v>55</v>
      </c>
    </row>
    <row r="11" spans="1:17" x14ac:dyDescent="0.3">
      <c r="A11" t="s">
        <v>524</v>
      </c>
      <c r="D11">
        <f>D12+D13</f>
        <v>650000</v>
      </c>
      <c r="G11" t="s">
        <v>687</v>
      </c>
      <c r="J11">
        <v>4000</v>
      </c>
    </row>
    <row r="12" spans="1:17" x14ac:dyDescent="0.3">
      <c r="A12" t="s">
        <v>525</v>
      </c>
      <c r="D12">
        <v>350000</v>
      </c>
      <c r="G12" t="s">
        <v>958</v>
      </c>
      <c r="J12">
        <v>0.38100000000000001</v>
      </c>
    </row>
    <row r="13" spans="1:17" x14ac:dyDescent="0.3">
      <c r="A13" t="s">
        <v>526</v>
      </c>
      <c r="D13">
        <v>300000</v>
      </c>
      <c r="G13" t="s">
        <v>960</v>
      </c>
      <c r="J13" s="1">
        <v>10</v>
      </c>
      <c r="O13" s="27"/>
    </row>
    <row r="14" spans="1:17" x14ac:dyDescent="0.3">
      <c r="A14" t="s">
        <v>527</v>
      </c>
      <c r="D14">
        <f>(D12+D13)*0.7</f>
        <v>455000</v>
      </c>
      <c r="E14" t="s">
        <v>747</v>
      </c>
      <c r="F14">
        <f>D11-D14</f>
        <v>195000</v>
      </c>
      <c r="G14" t="s">
        <v>972</v>
      </c>
      <c r="J14" s="13">
        <f>D7/(1-0.09)</f>
        <v>2967.032967032967</v>
      </c>
    </row>
    <row r="15" spans="1:17" x14ac:dyDescent="0.3">
      <c r="A15" t="s">
        <v>528</v>
      </c>
      <c r="D15">
        <v>0.05</v>
      </c>
    </row>
    <row r="16" spans="1:17" x14ac:dyDescent="0.3">
      <c r="A16" t="s">
        <v>529</v>
      </c>
      <c r="D16">
        <v>20</v>
      </c>
      <c r="G16" t="s">
        <v>726</v>
      </c>
      <c r="J16">
        <v>0.05</v>
      </c>
      <c r="L16" t="s">
        <v>728</v>
      </c>
    </row>
    <row r="17" spans="1:24" x14ac:dyDescent="0.3">
      <c r="A17" t="s">
        <v>530</v>
      </c>
      <c r="D17">
        <v>2</v>
      </c>
      <c r="G17" t="s">
        <v>727</v>
      </c>
      <c r="J17">
        <f>1/40</f>
        <v>2.5000000000000001E-2</v>
      </c>
    </row>
    <row r="18" spans="1:24" x14ac:dyDescent="0.3">
      <c r="A18" t="s">
        <v>1004</v>
      </c>
      <c r="D18">
        <v>1.4999999999999999E-2</v>
      </c>
      <c r="J18">
        <f>J16*D12+J17*D13</f>
        <v>25000</v>
      </c>
    </row>
    <row r="19" spans="1:24" x14ac:dyDescent="0.3">
      <c r="A19" t="s">
        <v>532</v>
      </c>
      <c r="D19">
        <v>800</v>
      </c>
      <c r="V19" t="s">
        <v>708</v>
      </c>
    </row>
    <row r="20" spans="1:24" x14ac:dyDescent="0.3">
      <c r="A20" t="s">
        <v>533</v>
      </c>
      <c r="D20">
        <v>1.4999999999999999E-2</v>
      </c>
      <c r="V20" t="s">
        <v>709</v>
      </c>
    </row>
    <row r="21" spans="1:24" x14ac:dyDescent="0.3">
      <c r="A21" t="s">
        <v>534</v>
      </c>
      <c r="D21">
        <v>0.05</v>
      </c>
    </row>
    <row r="22" spans="1:24" x14ac:dyDescent="0.3">
      <c r="E22">
        <v>2014</v>
      </c>
      <c r="F22">
        <v>2015</v>
      </c>
      <c r="G22">
        <v>2016</v>
      </c>
      <c r="H22">
        <v>2017</v>
      </c>
      <c r="I22">
        <v>2018</v>
      </c>
      <c r="J22">
        <v>2019</v>
      </c>
      <c r="K22">
        <v>2020</v>
      </c>
      <c r="L22">
        <v>2021</v>
      </c>
      <c r="M22">
        <v>2022</v>
      </c>
      <c r="N22">
        <v>2023</v>
      </c>
      <c r="O22">
        <v>2024</v>
      </c>
      <c r="P22">
        <v>2025</v>
      </c>
      <c r="Q22">
        <v>2026</v>
      </c>
      <c r="R22">
        <v>2027</v>
      </c>
      <c r="S22">
        <v>2028</v>
      </c>
      <c r="T22">
        <v>2029</v>
      </c>
      <c r="U22">
        <v>2030</v>
      </c>
    </row>
    <row r="23" spans="1:24" x14ac:dyDescent="0.3">
      <c r="A23" t="s">
        <v>1000</v>
      </c>
      <c r="E23" s="13">
        <f>(D7+E9)/D8*D10</f>
        <v>43125.479171990795</v>
      </c>
      <c r="F23" s="13">
        <f t="shared" ref="F23:U25" si="0">E23*1.015</f>
        <v>43772.361359570656</v>
      </c>
      <c r="G23" s="13">
        <f t="shared" si="0"/>
        <v>44428.946779964208</v>
      </c>
      <c r="H23" s="13">
        <f t="shared" si="0"/>
        <v>45095.380981663664</v>
      </c>
      <c r="I23" s="13">
        <f t="shared" si="0"/>
        <v>45771.811696388613</v>
      </c>
      <c r="J23" s="13">
        <f t="shared" si="0"/>
        <v>46458.388871834439</v>
      </c>
      <c r="K23" s="13">
        <f t="shared" si="0"/>
        <v>47155.264704911948</v>
      </c>
      <c r="L23" s="13">
        <f t="shared" si="0"/>
        <v>47862.593675485623</v>
      </c>
      <c r="M23" s="13">
        <f t="shared" si="0"/>
        <v>48580.532580617903</v>
      </c>
      <c r="N23" s="13">
        <f t="shared" si="0"/>
        <v>49309.240569327165</v>
      </c>
      <c r="O23" s="13">
        <f t="shared" si="0"/>
        <v>50048.879177867071</v>
      </c>
      <c r="P23" s="13">
        <f t="shared" si="0"/>
        <v>50799.612365535075</v>
      </c>
      <c r="Q23" s="13">
        <f t="shared" si="0"/>
        <v>51561.606551018092</v>
      </c>
      <c r="R23" s="13">
        <f t="shared" si="0"/>
        <v>52335.030649283355</v>
      </c>
      <c r="S23" s="13">
        <f t="shared" si="0"/>
        <v>53120.056109022604</v>
      </c>
      <c r="T23" s="13">
        <f t="shared" si="0"/>
        <v>53916.856950657937</v>
      </c>
      <c r="U23" s="13">
        <f t="shared" si="0"/>
        <v>54725.609804917804</v>
      </c>
      <c r="V23" s="13"/>
      <c r="W23">
        <f>(D7+E9)/D8*21.6/D7</f>
        <v>27.600306670074115</v>
      </c>
      <c r="X23" t="s">
        <v>710</v>
      </c>
    </row>
    <row r="24" spans="1:24" x14ac:dyDescent="0.3">
      <c r="A24" t="s">
        <v>544</v>
      </c>
      <c r="E24" s="13">
        <f>D19*1.34*12*D17</f>
        <v>25728</v>
      </c>
      <c r="F24" s="13">
        <f>E24*1.05</f>
        <v>27014.400000000001</v>
      </c>
      <c r="G24" s="13">
        <f t="shared" si="0"/>
        <v>27419.615999999998</v>
      </c>
      <c r="H24" s="13">
        <f t="shared" si="0"/>
        <v>27830.910239999994</v>
      </c>
      <c r="I24" s="13">
        <f t="shared" si="0"/>
        <v>28248.37389359999</v>
      </c>
      <c r="J24" s="13">
        <f t="shared" si="0"/>
        <v>28672.099502003988</v>
      </c>
      <c r="K24" s="13">
        <f t="shared" si="0"/>
        <v>29102.180994534046</v>
      </c>
      <c r="L24" s="13">
        <f t="shared" si="0"/>
        <v>29538.713709452055</v>
      </c>
      <c r="M24" s="13">
        <f t="shared" si="0"/>
        <v>29981.794415093831</v>
      </c>
      <c r="N24" s="13">
        <f t="shared" si="0"/>
        <v>30431.521331320237</v>
      </c>
      <c r="O24" s="13">
        <f t="shared" si="0"/>
        <v>30887.994151290037</v>
      </c>
      <c r="P24" s="13">
        <f t="shared" si="0"/>
        <v>31351.314063559385</v>
      </c>
      <c r="Q24" s="13">
        <f t="shared" si="0"/>
        <v>31821.583774512772</v>
      </c>
      <c r="R24" s="13">
        <f t="shared" si="0"/>
        <v>32298.907531130459</v>
      </c>
      <c r="S24" s="13">
        <f t="shared" si="0"/>
        <v>32783.391144097412</v>
      </c>
      <c r="T24" s="13">
        <f t="shared" si="0"/>
        <v>33275.142011258868</v>
      </c>
      <c r="U24" s="13">
        <f t="shared" si="0"/>
        <v>33774.269141427751</v>
      </c>
      <c r="V24" s="13"/>
    </row>
    <row r="25" spans="1:24" x14ac:dyDescent="0.3">
      <c r="A25" t="s">
        <v>536</v>
      </c>
      <c r="E25" s="13">
        <f>2.7*(D7+E9)</f>
        <v>8010.9890109890111</v>
      </c>
      <c r="F25" s="13">
        <f>E25*1.015</f>
        <v>8131.1538461538457</v>
      </c>
      <c r="G25" s="13">
        <f t="shared" si="0"/>
        <v>8253.1211538461521</v>
      </c>
      <c r="H25" s="13">
        <f t="shared" si="0"/>
        <v>8376.9179711538436</v>
      </c>
      <c r="I25" s="13">
        <f t="shared" si="0"/>
        <v>8502.5717407211505</v>
      </c>
      <c r="J25" s="13">
        <f t="shared" si="0"/>
        <v>8630.1103168319678</v>
      </c>
      <c r="K25" s="13">
        <f t="shared" si="0"/>
        <v>8759.5619715844459</v>
      </c>
      <c r="L25" s="13">
        <f t="shared" si="0"/>
        <v>8890.9554011582113</v>
      </c>
      <c r="M25" s="13">
        <f t="shared" si="0"/>
        <v>9024.3197321755833</v>
      </c>
      <c r="N25" s="13">
        <f t="shared" si="0"/>
        <v>9159.6845281582155</v>
      </c>
      <c r="O25" s="13">
        <f t="shared" si="0"/>
        <v>9297.0797960805885</v>
      </c>
      <c r="P25" s="13">
        <f t="shared" si="0"/>
        <v>9436.5359930217965</v>
      </c>
      <c r="Q25" s="13">
        <f t="shared" si="0"/>
        <v>9578.0840329171224</v>
      </c>
      <c r="R25" s="13">
        <f t="shared" si="0"/>
        <v>9721.7552934108789</v>
      </c>
      <c r="S25" s="13">
        <f t="shared" si="0"/>
        <v>9867.581622812042</v>
      </c>
      <c r="T25" s="13">
        <f t="shared" si="0"/>
        <v>10015.595347154222</v>
      </c>
      <c r="U25" s="13">
        <f t="shared" si="0"/>
        <v>10165.829277361534</v>
      </c>
      <c r="V25" s="13"/>
    </row>
    <row r="26" spans="1:24" x14ac:dyDescent="0.3">
      <c r="A26" t="s">
        <v>537</v>
      </c>
      <c r="E26" s="13">
        <f>3.8*(D7+E9)</f>
        <v>11274.725274725273</v>
      </c>
      <c r="F26" s="13">
        <f t="shared" ref="F26:U26" si="1">E26*1.1</f>
        <v>12402.197802197801</v>
      </c>
      <c r="G26" s="13">
        <f t="shared" si="1"/>
        <v>13642.417582417582</v>
      </c>
      <c r="H26" s="13">
        <f t="shared" si="1"/>
        <v>15006.659340659342</v>
      </c>
      <c r="I26" s="13">
        <f t="shared" si="1"/>
        <v>16507.325274725277</v>
      </c>
      <c r="J26" s="13">
        <f t="shared" si="1"/>
        <v>18158.057802197807</v>
      </c>
      <c r="K26" s="13">
        <f t="shared" si="1"/>
        <v>19973.863582417591</v>
      </c>
      <c r="L26" s="13">
        <f t="shared" si="1"/>
        <v>21971.249940659352</v>
      </c>
      <c r="M26" s="13">
        <f t="shared" si="1"/>
        <v>24168.374934725289</v>
      </c>
      <c r="N26" s="13">
        <f t="shared" si="1"/>
        <v>26585.212428197821</v>
      </c>
      <c r="O26" s="13">
        <f t="shared" si="1"/>
        <v>29243.733671017606</v>
      </c>
      <c r="P26" s="13">
        <f t="shared" si="1"/>
        <v>32168.107038119368</v>
      </c>
      <c r="Q26" s="13">
        <f t="shared" si="1"/>
        <v>35384.917741931305</v>
      </c>
      <c r="R26" s="13">
        <f t="shared" si="1"/>
        <v>38923.40951612444</v>
      </c>
      <c r="S26" s="13">
        <f t="shared" si="1"/>
        <v>42815.750467736885</v>
      </c>
      <c r="T26" s="13">
        <f t="shared" si="1"/>
        <v>47097.32551451058</v>
      </c>
      <c r="U26" s="13">
        <f t="shared" si="1"/>
        <v>51807.058065961639</v>
      </c>
      <c r="V26" s="13"/>
    </row>
    <row r="27" spans="1:24" x14ac:dyDescent="0.3">
      <c r="A27" t="s">
        <v>546</v>
      </c>
      <c r="E27" s="13">
        <f>SUM(E23:E26)*J7</f>
        <v>3525.5677383082034</v>
      </c>
      <c r="F27" s="13">
        <f>SUM(F23:F26)*J7</f>
        <v>3652.8045203168922</v>
      </c>
      <c r="G27" s="13">
        <f>SUM(G23:G26)*J7</f>
        <v>3749.7640606491177</v>
      </c>
      <c r="H27" s="13">
        <f>SUM(H23:H26)*J7</f>
        <v>3852.3947413390742</v>
      </c>
      <c r="I27" s="13">
        <f>SUM(I23:I26)*J7</f>
        <v>3961.2033042174007</v>
      </c>
      <c r="J27" s="13">
        <f>SUM(J23:J26)*J7</f>
        <v>4076.7462597147282</v>
      </c>
      <c r="K27" s="13">
        <f>SUM(K23:K26)*J7</f>
        <v>4199.6348501379216</v>
      </c>
      <c r="L27" s="13">
        <f>SUM(L23:L26)*J7</f>
        <v>4330.5405090702097</v>
      </c>
      <c r="M27" s="13">
        <f>SUM(M23:M26)*J7</f>
        <v>4470.2008665045041</v>
      </c>
      <c r="N27" s="13">
        <f>SUM(N23:N26)*J7</f>
        <v>4619.4263542801373</v>
      </c>
      <c r="O27" s="13">
        <f>SUM(O23:O26)*J7</f>
        <v>4779.1074718502123</v>
      </c>
      <c r="P27" s="13">
        <f>SUM(P23:P26)*J7</f>
        <v>4950.2227784094248</v>
      </c>
      <c r="Q27" s="13">
        <f>SUM(Q23:Q26)*J7</f>
        <v>5133.8476840151716</v>
      </c>
      <c r="R27" s="13">
        <f>SUM(R23:R26)*J7</f>
        <v>5331.1641195979655</v>
      </c>
      <c r="S27" s="13">
        <f>SUM(S23:S26)*J7</f>
        <v>5543.4711737467578</v>
      </c>
      <c r="T27" s="13">
        <f>SUM(T23:T26)*0.04</f>
        <v>5772.196792943264</v>
      </c>
      <c r="U27" s="13">
        <f>SUM(U23:U26)*0.04</f>
        <v>6018.9106515867497</v>
      </c>
      <c r="V27" s="13"/>
    </row>
    <row r="28" spans="1:24" x14ac:dyDescent="0.3">
      <c r="A28" t="s">
        <v>731</v>
      </c>
      <c r="E28" s="13">
        <f t="shared" ref="E28:U28" si="2">SUM(E23:E27)+E53</f>
        <v>104809.40724763609</v>
      </c>
      <c r="F28" s="13">
        <f t="shared" si="2"/>
        <v>108117.56357986199</v>
      </c>
      <c r="G28" s="13">
        <f t="shared" si="2"/>
        <v>110638.51162849985</v>
      </c>
      <c r="H28" s="13">
        <f t="shared" si="2"/>
        <v>113306.90932643872</v>
      </c>
      <c r="I28" s="13">
        <f t="shared" si="2"/>
        <v>116135.93196127522</v>
      </c>
      <c r="J28" s="13">
        <f t="shared" si="2"/>
        <v>119140.04880420573</v>
      </c>
      <c r="K28" s="13">
        <f t="shared" si="2"/>
        <v>122335.15215520875</v>
      </c>
      <c r="L28" s="13">
        <f t="shared" si="2"/>
        <v>125738.69928744825</v>
      </c>
      <c r="M28" s="13">
        <f t="shared" si="2"/>
        <v>129369.8685807399</v>
      </c>
      <c r="N28" s="13">
        <f t="shared" si="2"/>
        <v>133249.73126290637</v>
      </c>
      <c r="O28" s="13">
        <f t="shared" si="2"/>
        <v>137401.44031972831</v>
      </c>
      <c r="P28" s="13">
        <f t="shared" si="2"/>
        <v>141850.43829026783</v>
      </c>
      <c r="Q28" s="13">
        <f t="shared" si="2"/>
        <v>146624.68583601725</v>
      </c>
      <c r="R28" s="13">
        <f t="shared" si="2"/>
        <v>151754.91316116991</v>
      </c>
      <c r="S28" s="13">
        <f t="shared" si="2"/>
        <v>157274.89656903851</v>
      </c>
      <c r="T28" s="13">
        <f t="shared" si="2"/>
        <v>163221.76266814762</v>
      </c>
      <c r="U28" s="13">
        <f t="shared" si="2"/>
        <v>169636.32299287827</v>
      </c>
      <c r="V28" s="13"/>
    </row>
    <row r="29" spans="1:24" x14ac:dyDescent="0.3">
      <c r="A29" t="s">
        <v>547</v>
      </c>
      <c r="E29" s="13">
        <f>(J16*D12+D13*J17)</f>
        <v>25000</v>
      </c>
      <c r="F29" s="13">
        <f>$J$16*$D$12+$J$17*$D$13</f>
        <v>25000</v>
      </c>
      <c r="G29" s="13">
        <f t="shared" ref="G29:U29" si="3">$J$16*$D$12+$J$17*$D$13</f>
        <v>25000</v>
      </c>
      <c r="H29" s="13">
        <f t="shared" si="3"/>
        <v>25000</v>
      </c>
      <c r="I29" s="13">
        <f t="shared" si="3"/>
        <v>25000</v>
      </c>
      <c r="J29" s="13">
        <f t="shared" si="3"/>
        <v>25000</v>
      </c>
      <c r="K29" s="13">
        <f t="shared" si="3"/>
        <v>25000</v>
      </c>
      <c r="L29" s="13">
        <f t="shared" si="3"/>
        <v>25000</v>
      </c>
      <c r="M29" s="13">
        <f t="shared" si="3"/>
        <v>25000</v>
      </c>
      <c r="N29" s="13">
        <f t="shared" si="3"/>
        <v>25000</v>
      </c>
      <c r="O29" s="13">
        <f t="shared" si="3"/>
        <v>25000</v>
      </c>
      <c r="P29" s="13">
        <f t="shared" si="3"/>
        <v>25000</v>
      </c>
      <c r="Q29" s="13">
        <f t="shared" si="3"/>
        <v>25000</v>
      </c>
      <c r="R29" s="13">
        <f t="shared" si="3"/>
        <v>25000</v>
      </c>
      <c r="S29" s="13">
        <f t="shared" si="3"/>
        <v>25000</v>
      </c>
      <c r="T29" s="13">
        <f t="shared" si="3"/>
        <v>25000</v>
      </c>
      <c r="U29" s="13">
        <f t="shared" si="3"/>
        <v>25000</v>
      </c>
      <c r="V29" s="13"/>
    </row>
    <row r="30" spans="1:24" x14ac:dyDescent="0.3">
      <c r="A30" t="s">
        <v>730</v>
      </c>
      <c r="E30" s="13">
        <f>$D$14/10</f>
        <v>45500</v>
      </c>
      <c r="F30" s="13">
        <f>$D$14/10</f>
        <v>45500</v>
      </c>
      <c r="G30" s="13">
        <f t="shared" ref="G30:N30" si="4">$D$14/10</f>
        <v>45500</v>
      </c>
      <c r="H30" s="13">
        <f t="shared" si="4"/>
        <v>45500</v>
      </c>
      <c r="I30" s="13">
        <f t="shared" si="4"/>
        <v>45500</v>
      </c>
      <c r="J30" s="13">
        <f t="shared" si="4"/>
        <v>45500</v>
      </c>
      <c r="K30" s="13">
        <f t="shared" si="4"/>
        <v>45500</v>
      </c>
      <c r="L30" s="13">
        <f t="shared" si="4"/>
        <v>45500</v>
      </c>
      <c r="M30" s="13">
        <f t="shared" si="4"/>
        <v>45500</v>
      </c>
      <c r="N30" s="13">
        <f t="shared" si="4"/>
        <v>45500</v>
      </c>
      <c r="O30" s="13">
        <f>D14-SUM(E30:N30)</f>
        <v>0</v>
      </c>
      <c r="P30" s="13"/>
      <c r="Q30" s="13"/>
      <c r="R30" s="13"/>
      <c r="S30" s="13"/>
      <c r="T30" s="13"/>
      <c r="U30" s="13"/>
      <c r="V30" s="13"/>
    </row>
    <row r="31" spans="1:24" x14ac:dyDescent="0.3">
      <c r="A31" t="s">
        <v>732</v>
      </c>
      <c r="E31" s="13">
        <f>$D$14-E30</f>
        <v>409500</v>
      </c>
      <c r="F31" s="13">
        <f>E31-F30</f>
        <v>364000</v>
      </c>
      <c r="G31" s="13">
        <f t="shared" ref="G31:O31" si="5">F31-G30</f>
        <v>318500</v>
      </c>
      <c r="H31" s="13">
        <f t="shared" si="5"/>
        <v>273000</v>
      </c>
      <c r="I31" s="13">
        <f t="shared" si="5"/>
        <v>227500</v>
      </c>
      <c r="J31" s="13">
        <f t="shared" si="5"/>
        <v>182000</v>
      </c>
      <c r="K31" s="13">
        <f t="shared" si="5"/>
        <v>136500</v>
      </c>
      <c r="L31" s="13">
        <f t="shared" si="5"/>
        <v>91000</v>
      </c>
      <c r="M31" s="13">
        <f t="shared" si="5"/>
        <v>45500</v>
      </c>
      <c r="N31" s="13">
        <f t="shared" si="5"/>
        <v>0</v>
      </c>
      <c r="O31" s="13">
        <f t="shared" si="5"/>
        <v>0</v>
      </c>
      <c r="P31" s="13"/>
      <c r="Q31" s="13"/>
      <c r="R31" s="13"/>
      <c r="S31" s="13"/>
      <c r="T31" s="13"/>
      <c r="U31" s="13"/>
      <c r="V31" s="13"/>
    </row>
    <row r="32" spans="1:24" x14ac:dyDescent="0.3">
      <c r="A32" t="s">
        <v>733</v>
      </c>
      <c r="E32" s="13">
        <f>E31*$D$15</f>
        <v>20475</v>
      </c>
      <c r="F32" s="13">
        <f t="shared" ref="F32:O32" si="6">F31*$D$15</f>
        <v>18200</v>
      </c>
      <c r="G32" s="13">
        <f t="shared" si="6"/>
        <v>15925</v>
      </c>
      <c r="H32" s="13">
        <f t="shared" si="6"/>
        <v>13650</v>
      </c>
      <c r="I32" s="13">
        <f t="shared" si="6"/>
        <v>11375</v>
      </c>
      <c r="J32" s="13">
        <f t="shared" si="6"/>
        <v>9100</v>
      </c>
      <c r="K32" s="13">
        <f t="shared" si="6"/>
        <v>6825</v>
      </c>
      <c r="L32" s="13">
        <f t="shared" si="6"/>
        <v>4550</v>
      </c>
      <c r="M32" s="13">
        <f t="shared" si="6"/>
        <v>2275</v>
      </c>
      <c r="N32" s="13">
        <f t="shared" si="6"/>
        <v>0</v>
      </c>
      <c r="O32" s="13">
        <f t="shared" si="6"/>
        <v>0</v>
      </c>
      <c r="P32" s="13"/>
      <c r="Q32" s="13"/>
      <c r="R32" s="13"/>
      <c r="S32" s="13"/>
      <c r="T32" s="13"/>
      <c r="U32" s="13"/>
      <c r="V32" s="13"/>
    </row>
    <row r="33" spans="1:23" x14ac:dyDescent="0.3">
      <c r="A33" t="s">
        <v>734</v>
      </c>
      <c r="E33" s="13">
        <f>E28+E29+E32</f>
        <v>150284.40724763609</v>
      </c>
      <c r="F33" s="13">
        <f t="shared" ref="F33:U33" si="7">F28+F29+F32</f>
        <v>151317.56357986201</v>
      </c>
      <c r="G33" s="13">
        <f t="shared" si="7"/>
        <v>151563.51162849984</v>
      </c>
      <c r="H33" s="13">
        <f t="shared" si="7"/>
        <v>151956.90932643873</v>
      </c>
      <c r="I33" s="13">
        <f t="shared" si="7"/>
        <v>152510.93196127523</v>
      </c>
      <c r="J33" s="13">
        <f t="shared" si="7"/>
        <v>153240.04880420573</v>
      </c>
      <c r="K33" s="13">
        <f t="shared" si="7"/>
        <v>154160.15215520875</v>
      </c>
      <c r="L33" s="13">
        <f t="shared" si="7"/>
        <v>155288.69928744825</v>
      </c>
      <c r="M33" s="13">
        <f t="shared" si="7"/>
        <v>156644.86858073989</v>
      </c>
      <c r="N33" s="13">
        <f t="shared" si="7"/>
        <v>158249.73126290637</v>
      </c>
      <c r="O33" s="13">
        <f t="shared" si="7"/>
        <v>162401.44031972831</v>
      </c>
      <c r="P33" s="13">
        <f>P28+P29+P32</f>
        <v>166850.43829026783</v>
      </c>
      <c r="Q33" s="13">
        <f t="shared" si="7"/>
        <v>171624.68583601725</v>
      </c>
      <c r="R33" s="13">
        <f t="shared" si="7"/>
        <v>176754.91316116991</v>
      </c>
      <c r="S33" s="13">
        <f t="shared" si="7"/>
        <v>182274.89656903851</v>
      </c>
      <c r="T33" s="13">
        <f t="shared" si="7"/>
        <v>188221.76266814762</v>
      </c>
      <c r="U33" s="13">
        <f t="shared" si="7"/>
        <v>194636.32299287827</v>
      </c>
      <c r="V33" s="13"/>
    </row>
    <row r="34" spans="1:23" x14ac:dyDescent="0.3">
      <c r="A34" t="s">
        <v>736</v>
      </c>
      <c r="E34" s="13">
        <f>E33/$D$7</f>
        <v>55.660891573198555</v>
      </c>
      <c r="F34" s="13">
        <f t="shared" ref="F34:U34" si="8">F33/$D$7</f>
        <v>56.043542066615558</v>
      </c>
      <c r="G34" s="13">
        <f t="shared" si="8"/>
        <v>56.134633936481421</v>
      </c>
      <c r="H34" s="13">
        <f t="shared" si="8"/>
        <v>56.280336787569901</v>
      </c>
      <c r="I34" s="13">
        <f t="shared" si="8"/>
        <v>56.485530356027866</v>
      </c>
      <c r="J34" s="13">
        <f t="shared" si="8"/>
        <v>56.755573631187303</v>
      </c>
      <c r="K34" s="13">
        <f t="shared" si="8"/>
        <v>57.096352650077314</v>
      </c>
      <c r="L34" s="13">
        <f t="shared" si="8"/>
        <v>57.514333069425277</v>
      </c>
      <c r="M34" s="13">
        <f t="shared" si="8"/>
        <v>58.016617992866628</v>
      </c>
      <c r="N34" s="13">
        <f t="shared" si="8"/>
        <v>58.61101157885421</v>
      </c>
      <c r="O34" s="13">
        <f t="shared" si="8"/>
        <v>60.148681599899376</v>
      </c>
      <c r="P34" s="13">
        <f t="shared" si="8"/>
        <v>61.796458626025121</v>
      </c>
      <c r="Q34" s="13">
        <f t="shared" si="8"/>
        <v>63.564698457784168</v>
      </c>
      <c r="R34" s="13">
        <f t="shared" si="8"/>
        <v>65.464782652285152</v>
      </c>
      <c r="S34" s="13">
        <f t="shared" si="8"/>
        <v>67.509220951495749</v>
      </c>
      <c r="T34" s="13">
        <f t="shared" si="8"/>
        <v>69.711763951165793</v>
      </c>
      <c r="U34" s="13">
        <f t="shared" si="8"/>
        <v>72.087527034399358</v>
      </c>
      <c r="V34" s="13"/>
    </row>
    <row r="35" spans="1:23" x14ac:dyDescent="0.3">
      <c r="A35" t="s">
        <v>740</v>
      </c>
      <c r="E35" s="13">
        <f>E41-E28-E32</f>
        <v>21150.711018119095</v>
      </c>
      <c r="F35" s="13">
        <f t="shared" ref="F35:U35" si="9">F41-F28-F32</f>
        <v>39053.293908949665</v>
      </c>
      <c r="G35" s="13">
        <f t="shared" si="9"/>
        <v>40078.908779071222</v>
      </c>
      <c r="H35" s="13">
        <f t="shared" si="9"/>
        <v>41104.892273316116</v>
      </c>
      <c r="I35" s="13">
        <f t="shared" si="9"/>
        <v>42131.277329903198</v>
      </c>
      <c r="J35" s="13">
        <f t="shared" si="9"/>
        <v>43158.10012201051</v>
      </c>
      <c r="K35" s="13">
        <f t="shared" si="9"/>
        <v>44185.400380388019</v>
      </c>
      <c r="L35" s="13">
        <f t="shared" si="9"/>
        <v>45213.221748218639</v>
      </c>
      <c r="M35" s="13">
        <f t="shared" si="9"/>
        <v>46241.612171451867</v>
      </c>
      <c r="N35" s="13">
        <f t="shared" si="9"/>
        <v>47270.624328157253</v>
      </c>
      <c r="O35" s="13">
        <f t="shared" si="9"/>
        <v>46031.003600799333</v>
      </c>
      <c r="P35" s="13">
        <f t="shared" si="9"/>
        <v>44792.126095725631</v>
      </c>
      <c r="Q35" s="13">
        <f t="shared" si="9"/>
        <v>43554.061714590061</v>
      </c>
      <c r="R35" s="13">
        <f t="shared" si="9"/>
        <v>42316.887282902928</v>
      </c>
      <c r="S35" s="13">
        <f t="shared" si="9"/>
        <v>41080.687241422624</v>
      </c>
      <c r="T35" s="13">
        <f t="shared" si="9"/>
        <v>39845.55440667033</v>
      </c>
      <c r="U35" s="13">
        <f t="shared" si="9"/>
        <v>38611.590807482193</v>
      </c>
      <c r="V35" s="13"/>
    </row>
    <row r="36" spans="1:23" x14ac:dyDescent="0.3">
      <c r="A36" t="s">
        <v>741</v>
      </c>
      <c r="E36" s="13">
        <f>E41-E33</f>
        <v>-3849.2889818809053</v>
      </c>
      <c r="F36" s="13">
        <f t="shared" ref="F36:U36" si="10">F41-F33</f>
        <v>14053.29390894965</v>
      </c>
      <c r="G36" s="13">
        <f t="shared" si="10"/>
        <v>15078.908779071236</v>
      </c>
      <c r="H36" s="13">
        <f t="shared" si="10"/>
        <v>16104.892273316102</v>
      </c>
      <c r="I36" s="13">
        <f t="shared" si="10"/>
        <v>17131.277329903183</v>
      </c>
      <c r="J36" s="13">
        <f t="shared" si="10"/>
        <v>18158.10012201051</v>
      </c>
      <c r="K36" s="13">
        <f t="shared" si="10"/>
        <v>19185.400380388019</v>
      </c>
      <c r="L36" s="13">
        <f t="shared" si="10"/>
        <v>20213.221748218639</v>
      </c>
      <c r="M36" s="13">
        <f t="shared" si="10"/>
        <v>21241.612171451881</v>
      </c>
      <c r="N36" s="13">
        <f t="shared" si="10"/>
        <v>22270.624328157253</v>
      </c>
      <c r="O36" s="13">
        <f t="shared" si="10"/>
        <v>21031.003600799333</v>
      </c>
      <c r="P36" s="13">
        <f t="shared" si="10"/>
        <v>19792.126095725631</v>
      </c>
      <c r="Q36" s="13">
        <f t="shared" si="10"/>
        <v>18554.061714590061</v>
      </c>
      <c r="R36" s="13">
        <f t="shared" si="10"/>
        <v>17316.887282902928</v>
      </c>
      <c r="S36" s="13">
        <f t="shared" si="10"/>
        <v>16080.687241422624</v>
      </c>
      <c r="T36" s="13">
        <f t="shared" si="10"/>
        <v>14845.55440667033</v>
      </c>
      <c r="U36" s="13">
        <f t="shared" si="10"/>
        <v>13611.590807482193</v>
      </c>
      <c r="V36" s="13"/>
    </row>
    <row r="37" spans="1:23" x14ac:dyDescent="0.3">
      <c r="A37" t="s">
        <v>739</v>
      </c>
      <c r="E37" s="13">
        <f>D14-D11+E35+E29-E30</f>
        <v>-194349.28898188091</v>
      </c>
      <c r="F37" s="13">
        <f>F35+F29-F30</f>
        <v>18553.293908949665</v>
      </c>
      <c r="G37" s="13">
        <f t="shared" ref="G37:U37" si="11">G35+G29-G30</f>
        <v>19578.908779071222</v>
      </c>
      <c r="H37" s="13">
        <f t="shared" si="11"/>
        <v>20604.892273316116</v>
      </c>
      <c r="I37" s="13">
        <f t="shared" si="11"/>
        <v>21631.277329903198</v>
      </c>
      <c r="J37" s="13">
        <f t="shared" si="11"/>
        <v>22658.10012201051</v>
      </c>
      <c r="K37" s="13">
        <f t="shared" si="11"/>
        <v>23685.400380388019</v>
      </c>
      <c r="L37" s="13">
        <f t="shared" si="11"/>
        <v>24713.221748218639</v>
      </c>
      <c r="M37" s="13">
        <f t="shared" si="11"/>
        <v>25741.612171451867</v>
      </c>
      <c r="N37" s="13">
        <f t="shared" si="11"/>
        <v>26770.624328157253</v>
      </c>
      <c r="O37" s="13">
        <f t="shared" si="11"/>
        <v>71031.003600799333</v>
      </c>
      <c r="P37" s="13">
        <f t="shared" si="11"/>
        <v>69792.126095725631</v>
      </c>
      <c r="Q37" s="13">
        <f t="shared" si="11"/>
        <v>68554.061714590061</v>
      </c>
      <c r="R37" s="13">
        <f t="shared" si="11"/>
        <v>67316.887282902928</v>
      </c>
      <c r="S37" s="13">
        <f t="shared" si="11"/>
        <v>66080.687241422624</v>
      </c>
      <c r="T37" s="13">
        <f t="shared" si="11"/>
        <v>64845.55440667033</v>
      </c>
      <c r="U37" s="13">
        <f t="shared" si="11"/>
        <v>63611.590807482193</v>
      </c>
      <c r="V37" s="13"/>
    </row>
    <row r="38" spans="1:23" ht="15" thickBot="1" x14ac:dyDescent="0.35">
      <c r="A38" t="s">
        <v>742</v>
      </c>
      <c r="E38" s="13">
        <f>D38+E37</f>
        <v>-194349.28898188091</v>
      </c>
      <c r="F38" s="13">
        <f t="shared" ref="F38:U38" si="12">E38+F37</f>
        <v>-175795.99507293123</v>
      </c>
      <c r="G38" s="13">
        <f t="shared" si="12"/>
        <v>-156217.08629385999</v>
      </c>
      <c r="H38" s="13">
        <f t="shared" si="12"/>
        <v>-135612.19402054389</v>
      </c>
      <c r="I38" s="13">
        <f t="shared" si="12"/>
        <v>-113980.91669064069</v>
      </c>
      <c r="J38" s="13">
        <f t="shared" si="12"/>
        <v>-91322.81656863018</v>
      </c>
      <c r="K38" s="13">
        <f t="shared" si="12"/>
        <v>-67637.416188242161</v>
      </c>
      <c r="L38" s="13">
        <f t="shared" si="12"/>
        <v>-42924.194440023522</v>
      </c>
      <c r="M38" s="13">
        <f t="shared" si="12"/>
        <v>-17182.582268571656</v>
      </c>
      <c r="N38" s="13">
        <f t="shared" si="12"/>
        <v>9588.0420595855976</v>
      </c>
      <c r="O38" s="13">
        <f t="shared" si="12"/>
        <v>80619.045660384931</v>
      </c>
      <c r="P38" s="13">
        <f t="shared" si="12"/>
        <v>150411.17175611056</v>
      </c>
      <c r="Q38" s="13">
        <f t="shared" si="12"/>
        <v>218965.23347070062</v>
      </c>
      <c r="R38" s="13">
        <f t="shared" si="12"/>
        <v>286282.12075360352</v>
      </c>
      <c r="S38" s="13">
        <f t="shared" si="12"/>
        <v>352362.80799502612</v>
      </c>
      <c r="T38" s="13">
        <f t="shared" si="12"/>
        <v>417208.36240169645</v>
      </c>
      <c r="U38" s="13">
        <f t="shared" si="12"/>
        <v>480819.95320917864</v>
      </c>
      <c r="V38" s="13"/>
    </row>
    <row r="39" spans="1:23" ht="15" thickBot="1" x14ac:dyDescent="0.35">
      <c r="A39" t="s">
        <v>748</v>
      </c>
      <c r="B39" s="69">
        <f>NPV(E39,E37:V37)-F14</f>
        <v>-56120.3616459771</v>
      </c>
      <c r="E39" s="97">
        <v>7.0000000000000007E-2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3" x14ac:dyDescent="0.3">
      <c r="A40" t="s">
        <v>735</v>
      </c>
      <c r="D40">
        <v>0</v>
      </c>
      <c r="E40" s="13">
        <f>D12+D13</f>
        <v>650000</v>
      </c>
      <c r="F40" s="13">
        <f>E40-$D$12*$J$16-$J$17*$D$13</f>
        <v>625000</v>
      </c>
      <c r="G40" s="13">
        <f t="shared" ref="G40:U40" si="13">F40-$D$12*$J$16-$J$17*$D$13</f>
        <v>600000</v>
      </c>
      <c r="H40" s="13">
        <f t="shared" si="13"/>
        <v>575000</v>
      </c>
      <c r="I40" s="13">
        <f t="shared" si="13"/>
        <v>550000</v>
      </c>
      <c r="J40" s="13">
        <f t="shared" si="13"/>
        <v>525000</v>
      </c>
      <c r="K40" s="13">
        <f t="shared" si="13"/>
        <v>500000</v>
      </c>
      <c r="L40" s="13">
        <f t="shared" si="13"/>
        <v>475000</v>
      </c>
      <c r="M40" s="13">
        <f t="shared" si="13"/>
        <v>450000</v>
      </c>
      <c r="N40" s="13">
        <f t="shared" si="13"/>
        <v>425000</v>
      </c>
      <c r="O40" s="13">
        <f t="shared" si="13"/>
        <v>400000</v>
      </c>
      <c r="P40" s="13">
        <f t="shared" si="13"/>
        <v>375000</v>
      </c>
      <c r="Q40" s="13">
        <f t="shared" si="13"/>
        <v>350000</v>
      </c>
      <c r="R40" s="13">
        <f t="shared" si="13"/>
        <v>325000</v>
      </c>
      <c r="S40" s="13">
        <f t="shared" si="13"/>
        <v>300000</v>
      </c>
      <c r="T40" s="13">
        <f t="shared" si="13"/>
        <v>275000</v>
      </c>
      <c r="U40" s="13">
        <f t="shared" si="13"/>
        <v>250000</v>
      </c>
      <c r="V40" s="13"/>
    </row>
    <row r="41" spans="1:23" x14ac:dyDescent="0.3">
      <c r="A41" t="s">
        <v>549</v>
      </c>
      <c r="E41" s="13">
        <f>E44</f>
        <v>146435.11826575518</v>
      </c>
      <c r="F41" s="13">
        <f>F45*D7</f>
        <v>165370.85748881166</v>
      </c>
      <c r="G41" s="13">
        <f>G45*D7</f>
        <v>166642.42040757107</v>
      </c>
      <c r="H41" s="13">
        <f>H45*D7</f>
        <v>168061.80159975484</v>
      </c>
      <c r="I41" s="13">
        <f>I45*D7</f>
        <v>169642.20929117841</v>
      </c>
      <c r="J41" s="13">
        <f>J45*D7</f>
        <v>171398.14892621624</v>
      </c>
      <c r="K41" s="13">
        <f>K45*D7</f>
        <v>173345.55253559677</v>
      </c>
      <c r="L41" s="13">
        <f>L45*D7</f>
        <v>175501.92103566689</v>
      </c>
      <c r="M41" s="13">
        <f>M45*D7</f>
        <v>177886.48075219177</v>
      </c>
      <c r="N41" s="13">
        <f>N45*D7</f>
        <v>180520.35559106362</v>
      </c>
      <c r="O41" s="13">
        <f>O45*D7</f>
        <v>183432.44392052764</v>
      </c>
      <c r="P41" s="13">
        <f>P45*D7</f>
        <v>186642.56438599346</v>
      </c>
      <c r="Q41" s="13">
        <f>Q45*D7</f>
        <v>190178.74755060731</v>
      </c>
      <c r="R41" s="13">
        <f>R45*D7</f>
        <v>194071.80044407284</v>
      </c>
      <c r="S41" s="13">
        <f>S45*D7</f>
        <v>198355.58381046113</v>
      </c>
      <c r="T41" s="13">
        <f>T45*D7</f>
        <v>203067.31707481795</v>
      </c>
      <c r="U41" s="13">
        <f>U45*D7</f>
        <v>208247.91380036046</v>
      </c>
      <c r="V41" s="13"/>
    </row>
    <row r="42" spans="1:23" x14ac:dyDescent="0.3">
      <c r="A42" t="s">
        <v>729</v>
      </c>
      <c r="E42" s="13">
        <f>(E40+D40)/2+E33*0.05</f>
        <v>332514.22036238178</v>
      </c>
      <c r="F42" s="13">
        <f t="shared" ref="F42:U42" si="14">(F40+E40)/2+F33*0.05</f>
        <v>645065.87817899312</v>
      </c>
      <c r="G42" s="13">
        <f t="shared" si="14"/>
        <v>620078.17558142496</v>
      </c>
      <c r="H42" s="13">
        <f t="shared" si="14"/>
        <v>595097.84546632192</v>
      </c>
      <c r="I42" s="13">
        <f t="shared" si="14"/>
        <v>570125.54659806378</v>
      </c>
      <c r="J42" s="13">
        <f t="shared" si="14"/>
        <v>545162.00244021032</v>
      </c>
      <c r="K42" s="13">
        <f t="shared" si="14"/>
        <v>520208.00760776043</v>
      </c>
      <c r="L42" s="13">
        <f t="shared" si="14"/>
        <v>495264.43496437243</v>
      </c>
      <c r="M42" s="13">
        <f t="shared" si="14"/>
        <v>470332.24342903699</v>
      </c>
      <c r="N42" s="13">
        <f t="shared" si="14"/>
        <v>445412.4865631453</v>
      </c>
      <c r="O42" s="13">
        <f t="shared" si="14"/>
        <v>420620.07201598643</v>
      </c>
      <c r="P42" s="13">
        <f t="shared" si="14"/>
        <v>395842.52191451337</v>
      </c>
      <c r="Q42" s="13">
        <f t="shared" si="14"/>
        <v>371081.23429180088</v>
      </c>
      <c r="R42" s="13">
        <f t="shared" si="14"/>
        <v>346337.7456580585</v>
      </c>
      <c r="S42" s="13">
        <f t="shared" si="14"/>
        <v>321613.74482845195</v>
      </c>
      <c r="T42" s="13">
        <f t="shared" si="14"/>
        <v>296911.08813340741</v>
      </c>
      <c r="U42" s="13">
        <f t="shared" si="14"/>
        <v>272231.81614964391</v>
      </c>
      <c r="V42" s="13"/>
    </row>
    <row r="43" spans="1:23" x14ac:dyDescent="0.3">
      <c r="A43" t="s">
        <v>550</v>
      </c>
      <c r="E43" s="13">
        <f>E42*$D$21</f>
        <v>16625.711018119091</v>
      </c>
      <c r="F43" s="13">
        <f t="shared" ref="F43:U43" si="15">F42*$D$21</f>
        <v>32253.293908949658</v>
      </c>
      <c r="G43" s="13">
        <f t="shared" si="15"/>
        <v>31003.908779071251</v>
      </c>
      <c r="H43" s="13">
        <f t="shared" si="15"/>
        <v>29754.892273316098</v>
      </c>
      <c r="I43" s="13">
        <f t="shared" si="15"/>
        <v>28506.277329903191</v>
      </c>
      <c r="J43" s="13">
        <f t="shared" si="15"/>
        <v>27258.100122010517</v>
      </c>
      <c r="K43" s="13">
        <f t="shared" si="15"/>
        <v>26010.400380388022</v>
      </c>
      <c r="L43" s="13">
        <f t="shared" si="15"/>
        <v>24763.221748218624</v>
      </c>
      <c r="M43" s="13">
        <f t="shared" si="15"/>
        <v>23516.612171451852</v>
      </c>
      <c r="N43" s="13">
        <f t="shared" si="15"/>
        <v>22270.624328157268</v>
      </c>
      <c r="O43" s="13">
        <f t="shared" si="15"/>
        <v>21031.003600799322</v>
      </c>
      <c r="P43" s="13">
        <f t="shared" si="15"/>
        <v>19792.126095725671</v>
      </c>
      <c r="Q43" s="13">
        <f t="shared" si="15"/>
        <v>18554.061714590043</v>
      </c>
      <c r="R43" s="13">
        <f t="shared" si="15"/>
        <v>17316.887282902924</v>
      </c>
      <c r="S43" s="13">
        <f t="shared" si="15"/>
        <v>16080.687241422598</v>
      </c>
      <c r="T43" s="13">
        <f t="shared" si="15"/>
        <v>14845.554406670371</v>
      </c>
      <c r="U43" s="13">
        <f t="shared" si="15"/>
        <v>13611.590807482196</v>
      </c>
      <c r="V43" s="13"/>
    </row>
    <row r="44" spans="1:23" x14ac:dyDescent="0.3">
      <c r="A44" t="s">
        <v>737</v>
      </c>
      <c r="E44" s="13">
        <f t="shared" ref="E44:U44" si="16">E43+E33-E32</f>
        <v>146435.11826575518</v>
      </c>
      <c r="F44" s="13">
        <f t="shared" si="16"/>
        <v>165370.85748881166</v>
      </c>
      <c r="G44" s="13">
        <f t="shared" si="16"/>
        <v>166642.42040757107</v>
      </c>
      <c r="H44" s="13">
        <f t="shared" si="16"/>
        <v>168061.80159975484</v>
      </c>
      <c r="I44" s="13">
        <f t="shared" si="16"/>
        <v>169642.20929117841</v>
      </c>
      <c r="J44" s="13">
        <f t="shared" si="16"/>
        <v>171398.14892621624</v>
      </c>
      <c r="K44" s="13">
        <f t="shared" si="16"/>
        <v>173345.55253559677</v>
      </c>
      <c r="L44" s="13">
        <f t="shared" si="16"/>
        <v>175501.92103566689</v>
      </c>
      <c r="M44" s="13">
        <f t="shared" si="16"/>
        <v>177886.48075219174</v>
      </c>
      <c r="N44" s="13">
        <f t="shared" si="16"/>
        <v>180520.35559106362</v>
      </c>
      <c r="O44" s="13">
        <f t="shared" si="16"/>
        <v>183432.44392052764</v>
      </c>
      <c r="P44" s="13">
        <f t="shared" si="16"/>
        <v>186642.56438599349</v>
      </c>
      <c r="Q44" s="13">
        <f t="shared" si="16"/>
        <v>190178.74755060728</v>
      </c>
      <c r="R44" s="13">
        <f t="shared" si="16"/>
        <v>194071.80044407284</v>
      </c>
      <c r="S44" s="13">
        <f t="shared" si="16"/>
        <v>198355.5838104611</v>
      </c>
      <c r="T44" s="13">
        <f t="shared" si="16"/>
        <v>203067.31707481798</v>
      </c>
      <c r="U44" s="13">
        <f t="shared" si="16"/>
        <v>208247.91380036046</v>
      </c>
      <c r="V44" s="13"/>
    </row>
    <row r="45" spans="1:23" ht="15" thickBot="1" x14ac:dyDescent="0.35">
      <c r="A45" t="s">
        <v>738</v>
      </c>
      <c r="E45" s="13">
        <f>E44/D7</f>
        <v>54.235228987316738</v>
      </c>
      <c r="F45" s="13">
        <f>F44/$D$7</f>
        <v>61.248465736596913</v>
      </c>
      <c r="G45" s="13">
        <f t="shared" ref="G45:U45" si="17">G44/$D$7</f>
        <v>61.719414965767065</v>
      </c>
      <c r="H45" s="13">
        <f t="shared" si="17"/>
        <v>62.245111703612899</v>
      </c>
      <c r="I45" s="13">
        <f t="shared" si="17"/>
        <v>62.830447885621638</v>
      </c>
      <c r="J45" s="13">
        <f t="shared" si="17"/>
        <v>63.480795898598608</v>
      </c>
      <c r="K45" s="13">
        <f t="shared" si="17"/>
        <v>64.20205649466547</v>
      </c>
      <c r="L45" s="13">
        <f t="shared" si="17"/>
        <v>65.000711494691444</v>
      </c>
      <c r="M45" s="13">
        <f t="shared" si="17"/>
        <v>65.88388176007102</v>
      </c>
      <c r="N45" s="13">
        <f t="shared" si="17"/>
        <v>66.859390959653197</v>
      </c>
      <c r="O45" s="13">
        <f t="shared" si="17"/>
        <v>67.937942192788014</v>
      </c>
      <c r="P45" s="13">
        <f t="shared" si="17"/>
        <v>69.126875698516102</v>
      </c>
      <c r="Q45" s="13">
        <f t="shared" si="17"/>
        <v>70.436573166891591</v>
      </c>
      <c r="R45" s="13">
        <f t="shared" si="17"/>
        <v>71.878444608915871</v>
      </c>
      <c r="S45" s="13">
        <f t="shared" si="17"/>
        <v>73.465031040911526</v>
      </c>
      <c r="T45" s="13">
        <f t="shared" si="17"/>
        <v>75.210117435117766</v>
      </c>
      <c r="U45" s="13">
        <f t="shared" si="17"/>
        <v>77.128856963096467</v>
      </c>
      <c r="V45" s="13"/>
      <c r="W45">
        <f>W23+V24+V25+V26+V27+V29+V32+V43</f>
        <v>27.600306670074115</v>
      </c>
    </row>
    <row r="46" spans="1:23" ht="15" thickBot="1" x14ac:dyDescent="0.35">
      <c r="A46" t="s">
        <v>961</v>
      </c>
      <c r="E46" s="13"/>
      <c r="F46" s="13"/>
      <c r="G46" s="13"/>
      <c r="H46" s="13"/>
      <c r="I46" s="30">
        <f>U45</f>
        <v>77.128856963096467</v>
      </c>
      <c r="J46" s="13" t="s">
        <v>466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3" x14ac:dyDescent="0.3">
      <c r="A47">
        <v>60</v>
      </c>
      <c r="B47" t="s">
        <v>779</v>
      </c>
      <c r="C47">
        <v>100</v>
      </c>
      <c r="D47" t="s">
        <v>780</v>
      </c>
      <c r="E47" s="13">
        <f>E45*$C$47*$A$47/1000</f>
        <v>325.41137392390044</v>
      </c>
      <c r="F47" s="13">
        <f t="shared" ref="F47:O47" si="18">F45*$C$47*$A$47/1000</f>
        <v>367.4907944195815</v>
      </c>
      <c r="G47" s="13">
        <f t="shared" si="18"/>
        <v>370.31648979460238</v>
      </c>
      <c r="H47" s="13">
        <f t="shared" si="18"/>
        <v>373.47067022167738</v>
      </c>
      <c r="I47" s="13">
        <f t="shared" si="18"/>
        <v>376.9826873137298</v>
      </c>
      <c r="J47" s="13">
        <f t="shared" si="18"/>
        <v>380.88477539159163</v>
      </c>
      <c r="K47" s="13">
        <f t="shared" si="18"/>
        <v>385.21233896799282</v>
      </c>
      <c r="L47" s="13">
        <f t="shared" si="18"/>
        <v>390.00426896814861</v>
      </c>
      <c r="M47" s="13">
        <f t="shared" si="18"/>
        <v>395.30329056042609</v>
      </c>
      <c r="N47" s="13">
        <f t="shared" si="18"/>
        <v>401.15634575791921</v>
      </c>
      <c r="O47" s="13">
        <f t="shared" si="18"/>
        <v>407.62765315672806</v>
      </c>
      <c r="P47" s="13"/>
      <c r="Q47" s="13"/>
      <c r="R47" s="13"/>
      <c r="S47" s="13"/>
      <c r="T47" s="13"/>
      <c r="U47" s="13"/>
      <c r="V47" s="13"/>
    </row>
    <row r="48" spans="1:23" x14ac:dyDescent="0.3">
      <c r="A48" t="s">
        <v>551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>SUM(E47:O47)</f>
        <v>4173.8606884762976</v>
      </c>
      <c r="P48" s="13"/>
      <c r="Q48" s="13"/>
      <c r="R48" s="13"/>
      <c r="S48" s="13"/>
      <c r="T48" s="13"/>
      <c r="U48" s="13"/>
      <c r="V48" s="13"/>
    </row>
    <row r="50" spans="1:24" x14ac:dyDescent="0.3">
      <c r="E50">
        <v>2031</v>
      </c>
      <c r="F50">
        <v>2032</v>
      </c>
      <c r="G50">
        <v>2033</v>
      </c>
      <c r="H50">
        <v>2034</v>
      </c>
      <c r="I50">
        <v>2035</v>
      </c>
      <c r="J50">
        <v>2036</v>
      </c>
      <c r="K50">
        <v>2037</v>
      </c>
      <c r="L50">
        <v>2038</v>
      </c>
      <c r="M50">
        <v>2039</v>
      </c>
      <c r="N50">
        <v>2040</v>
      </c>
      <c r="O50">
        <v>2041</v>
      </c>
      <c r="P50">
        <v>2042</v>
      </c>
      <c r="Q50">
        <v>2043</v>
      </c>
      <c r="R50">
        <v>2044</v>
      </c>
      <c r="S50">
        <v>2045</v>
      </c>
      <c r="T50">
        <v>2046</v>
      </c>
      <c r="U50">
        <v>2047</v>
      </c>
      <c r="W50">
        <v>2049</v>
      </c>
      <c r="X50">
        <v>2050</v>
      </c>
    </row>
    <row r="51" spans="1:24" x14ac:dyDescent="0.3">
      <c r="E51" s="14">
        <f>I46*1.02</f>
        <v>78.671434102358404</v>
      </c>
      <c r="F51" s="14">
        <f t="shared" ref="F51:X51" si="19">E51*1.02</f>
        <v>80.244862784405569</v>
      </c>
      <c r="G51" s="14">
        <f t="shared" si="19"/>
        <v>81.849760040093685</v>
      </c>
      <c r="H51" s="14">
        <f t="shared" si="19"/>
        <v>83.486755240895562</v>
      </c>
      <c r="I51" s="14">
        <f t="shared" si="19"/>
        <v>85.156490345713479</v>
      </c>
      <c r="J51" s="14">
        <f t="shared" si="19"/>
        <v>86.859620152627755</v>
      </c>
      <c r="K51" s="14">
        <f t="shared" si="19"/>
        <v>88.596812555680316</v>
      </c>
      <c r="L51" s="14">
        <f t="shared" si="19"/>
        <v>90.368748806793917</v>
      </c>
      <c r="M51" s="14">
        <f t="shared" si="19"/>
        <v>92.176123782929793</v>
      </c>
      <c r="N51" s="14">
        <f t="shared" si="19"/>
        <v>94.019646258588395</v>
      </c>
      <c r="O51" s="14">
        <f t="shared" si="19"/>
        <v>95.900039183760171</v>
      </c>
      <c r="P51" s="14">
        <f t="shared" si="19"/>
        <v>97.818039967435382</v>
      </c>
      <c r="Q51" s="14">
        <f t="shared" si="19"/>
        <v>99.774400766784098</v>
      </c>
      <c r="R51" s="14">
        <f t="shared" si="19"/>
        <v>101.76988878211978</v>
      </c>
      <c r="S51" s="14">
        <f t="shared" si="19"/>
        <v>103.80528655776217</v>
      </c>
      <c r="T51" s="14">
        <f t="shared" si="19"/>
        <v>105.88139228891743</v>
      </c>
      <c r="U51" s="14">
        <f t="shared" si="19"/>
        <v>107.99902013469577</v>
      </c>
      <c r="V51" s="14"/>
      <c r="W51" s="14">
        <f t="shared" si="19"/>
        <v>0</v>
      </c>
      <c r="X51" s="14">
        <f t="shared" si="19"/>
        <v>0</v>
      </c>
    </row>
    <row r="53" spans="1:24" x14ac:dyDescent="0.3">
      <c r="A53" t="s">
        <v>959</v>
      </c>
      <c r="E53" s="13">
        <f>(D7+E9)/D8*J12*J13</f>
        <v>13144.646051622796</v>
      </c>
      <c r="F53" s="13">
        <f>E53</f>
        <v>13144.646051622796</v>
      </c>
      <c r="G53" s="13">
        <f>E53</f>
        <v>13144.646051622796</v>
      </c>
      <c r="H53" s="13">
        <f>E53</f>
        <v>13144.646051622796</v>
      </c>
      <c r="I53" s="13">
        <f>E53</f>
        <v>13144.646051622796</v>
      </c>
      <c r="J53" s="13">
        <f>E53</f>
        <v>13144.646051622796</v>
      </c>
      <c r="K53" s="13">
        <f>E53</f>
        <v>13144.646051622796</v>
      </c>
      <c r="L53" s="13">
        <f>E53</f>
        <v>13144.646051622796</v>
      </c>
      <c r="M53" s="13">
        <f>E53</f>
        <v>13144.646051622796</v>
      </c>
      <c r="N53" s="13">
        <f>E53</f>
        <v>13144.646051622796</v>
      </c>
      <c r="O53" s="13">
        <f>E53</f>
        <v>13144.646051622796</v>
      </c>
      <c r="P53" s="13">
        <f>E53</f>
        <v>13144.646051622796</v>
      </c>
      <c r="Q53" s="13">
        <f>E53</f>
        <v>13144.646051622796</v>
      </c>
      <c r="R53" s="13">
        <f>E53</f>
        <v>13144.646051622796</v>
      </c>
      <c r="S53" s="13">
        <f>E53</f>
        <v>13144.646051622796</v>
      </c>
      <c r="T53" s="13">
        <f>E53</f>
        <v>13144.646051622796</v>
      </c>
      <c r="U53" s="13">
        <f>E53</f>
        <v>13144.646051622796</v>
      </c>
      <c r="V53" s="13"/>
    </row>
    <row r="56" spans="1:24" x14ac:dyDescent="0.3">
      <c r="B56" t="s">
        <v>993</v>
      </c>
      <c r="E56" t="s">
        <v>960</v>
      </c>
      <c r="F56" t="s">
        <v>994</v>
      </c>
      <c r="G56" t="s">
        <v>995</v>
      </c>
    </row>
    <row r="57" spans="1:24" x14ac:dyDescent="0.3">
      <c r="E57">
        <v>5</v>
      </c>
      <c r="F57">
        <v>59</v>
      </c>
      <c r="G57">
        <v>65</v>
      </c>
    </row>
    <row r="58" spans="1:24" x14ac:dyDescent="0.3">
      <c r="E58">
        <v>10</v>
      </c>
      <c r="F58">
        <v>62</v>
      </c>
      <c r="G58">
        <v>68</v>
      </c>
    </row>
    <row r="59" spans="1:24" x14ac:dyDescent="0.3">
      <c r="E59">
        <v>15</v>
      </c>
      <c r="F59">
        <v>64</v>
      </c>
      <c r="G59">
        <v>70</v>
      </c>
    </row>
    <row r="60" spans="1:24" x14ac:dyDescent="0.3">
      <c r="E60">
        <v>20</v>
      </c>
      <c r="F60">
        <v>67</v>
      </c>
      <c r="G60">
        <v>73</v>
      </c>
    </row>
    <row r="61" spans="1:24" x14ac:dyDescent="0.3">
      <c r="E61">
        <v>25</v>
      </c>
      <c r="F61">
        <v>69</v>
      </c>
      <c r="G61">
        <v>75</v>
      </c>
    </row>
    <row r="62" spans="1:24" x14ac:dyDescent="0.3">
      <c r="E62">
        <v>30</v>
      </c>
      <c r="F62">
        <v>72</v>
      </c>
      <c r="G62">
        <v>78</v>
      </c>
    </row>
    <row r="63" spans="1:24" x14ac:dyDescent="0.3">
      <c r="E63">
        <v>35</v>
      </c>
      <c r="F63">
        <v>74</v>
      </c>
      <c r="G63">
        <v>80</v>
      </c>
    </row>
    <row r="64" spans="1:24" x14ac:dyDescent="0.3">
      <c r="E64">
        <v>40</v>
      </c>
      <c r="F64">
        <v>76</v>
      </c>
      <c r="G64">
        <v>83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opLeftCell="A26" workbookViewId="0">
      <selection activeCell="D42" sqref="D42"/>
    </sheetView>
  </sheetViews>
  <sheetFormatPr defaultRowHeight="14.4" x14ac:dyDescent="0.3"/>
  <cols>
    <col min="2" max="2" width="11.5546875" customWidth="1"/>
  </cols>
  <sheetData>
    <row r="1" spans="1:23" ht="15" thickBot="1" x14ac:dyDescent="0.35"/>
    <row r="2" spans="1:23" ht="15" thickBot="1" x14ac:dyDescent="0.35">
      <c r="A2" s="29" t="s">
        <v>516</v>
      </c>
      <c r="B2" s="22"/>
      <c r="C2" s="22"/>
      <c r="D2" s="12"/>
    </row>
    <row r="3" spans="1:23" x14ac:dyDescent="0.3">
      <c r="A3" s="1" t="s">
        <v>552</v>
      </c>
      <c r="B3" s="1"/>
      <c r="C3" s="1"/>
      <c r="D3" s="1"/>
      <c r="Q3" t="s">
        <v>836</v>
      </c>
    </row>
    <row r="4" spans="1:23" x14ac:dyDescent="0.3">
      <c r="A4" t="s">
        <v>517</v>
      </c>
      <c r="P4" s="62" t="s">
        <v>831</v>
      </c>
      <c r="Q4" s="2"/>
      <c r="R4" s="2"/>
      <c r="S4" s="2"/>
      <c r="T4" s="2"/>
      <c r="U4" s="2"/>
      <c r="V4" s="2"/>
      <c r="W4" s="2"/>
    </row>
    <row r="5" spans="1:23" x14ac:dyDescent="0.3">
      <c r="A5" t="s">
        <v>518</v>
      </c>
      <c r="D5">
        <v>1</v>
      </c>
      <c r="G5" t="s">
        <v>539</v>
      </c>
      <c r="I5" t="s">
        <v>466</v>
      </c>
      <c r="J5" s="14">
        <v>2.2999999999999998</v>
      </c>
      <c r="P5" s="62" t="s">
        <v>832</v>
      </c>
      <c r="Q5" s="2"/>
      <c r="R5" s="2"/>
      <c r="S5" s="2"/>
      <c r="T5" s="2"/>
      <c r="U5" s="2"/>
      <c r="V5" s="2"/>
      <c r="W5" s="2"/>
    </row>
    <row r="6" spans="1:23" x14ac:dyDescent="0.3">
      <c r="A6" t="s">
        <v>519</v>
      </c>
      <c r="D6">
        <v>1</v>
      </c>
      <c r="G6" t="s">
        <v>540</v>
      </c>
      <c r="I6" t="s">
        <v>466</v>
      </c>
      <c r="J6">
        <v>3.8</v>
      </c>
      <c r="L6" t="s">
        <v>1008</v>
      </c>
      <c r="P6" s="62" t="s">
        <v>833</v>
      </c>
      <c r="Q6" s="2"/>
      <c r="R6" s="2"/>
      <c r="S6" s="2"/>
      <c r="T6" s="2"/>
      <c r="U6" s="2"/>
      <c r="V6" s="2"/>
      <c r="W6" s="2"/>
    </row>
    <row r="7" spans="1:23" ht="21" x14ac:dyDescent="0.4">
      <c r="A7" t="s">
        <v>520</v>
      </c>
      <c r="D7" s="47">
        <v>3985</v>
      </c>
      <c r="G7" t="s">
        <v>538</v>
      </c>
      <c r="J7" s="27">
        <v>0.04</v>
      </c>
      <c r="P7" s="62" t="s">
        <v>834</v>
      </c>
      <c r="Q7" s="2"/>
      <c r="R7" s="2"/>
      <c r="S7" s="2"/>
      <c r="T7" s="2"/>
      <c r="U7" s="2"/>
      <c r="V7" s="2"/>
      <c r="W7" s="2"/>
    </row>
    <row r="8" spans="1:23" x14ac:dyDescent="0.3">
      <c r="A8" t="s">
        <v>521</v>
      </c>
      <c r="D8">
        <v>0.86</v>
      </c>
      <c r="G8" t="s">
        <v>541</v>
      </c>
      <c r="J8" s="27">
        <v>1.4999999999999999E-2</v>
      </c>
      <c r="P8" s="63" t="s">
        <v>835</v>
      </c>
    </row>
    <row r="9" spans="1:23" x14ac:dyDescent="0.3">
      <c r="A9" t="s">
        <v>522</v>
      </c>
      <c r="D9" s="26">
        <v>0.115</v>
      </c>
      <c r="E9" s="89">
        <f>J12*D9</f>
        <v>517.8248587570622</v>
      </c>
      <c r="G9" t="s">
        <v>542</v>
      </c>
      <c r="J9" s="8">
        <v>0.1</v>
      </c>
      <c r="L9" t="s">
        <v>543</v>
      </c>
    </row>
    <row r="10" spans="1:23" x14ac:dyDescent="0.3">
      <c r="A10" t="s">
        <v>523</v>
      </c>
      <c r="D10">
        <v>18</v>
      </c>
      <c r="G10" t="s">
        <v>545</v>
      </c>
      <c r="J10">
        <v>55</v>
      </c>
      <c r="L10" t="s">
        <v>556</v>
      </c>
    </row>
    <row r="11" spans="1:23" x14ac:dyDescent="0.3">
      <c r="A11" t="s">
        <v>524</v>
      </c>
      <c r="D11" s="10">
        <f>D12+D13</f>
        <v>650000</v>
      </c>
      <c r="G11" t="s">
        <v>687</v>
      </c>
      <c r="J11">
        <v>8500</v>
      </c>
    </row>
    <row r="12" spans="1:23" x14ac:dyDescent="0.3">
      <c r="A12" t="s">
        <v>525</v>
      </c>
      <c r="D12" s="10">
        <v>350000</v>
      </c>
      <c r="G12" t="s">
        <v>972</v>
      </c>
      <c r="J12" s="13">
        <f>D7/(1-0.115)</f>
        <v>4502.8248587570624</v>
      </c>
    </row>
    <row r="13" spans="1:23" x14ac:dyDescent="0.3">
      <c r="A13" t="s">
        <v>526</v>
      </c>
      <c r="D13" s="10">
        <v>300000</v>
      </c>
    </row>
    <row r="14" spans="1:23" x14ac:dyDescent="0.3">
      <c r="A14" t="s">
        <v>527</v>
      </c>
      <c r="D14" s="10">
        <f>(D12+D13)*0.7</f>
        <v>455000</v>
      </c>
      <c r="E14" t="s">
        <v>747</v>
      </c>
      <c r="F14" s="10">
        <f>D11-D14</f>
        <v>195000</v>
      </c>
    </row>
    <row r="15" spans="1:23" x14ac:dyDescent="0.3">
      <c r="A15" t="s">
        <v>528</v>
      </c>
      <c r="D15" s="8">
        <v>0.05</v>
      </c>
    </row>
    <row r="16" spans="1:23" x14ac:dyDescent="0.3">
      <c r="A16" t="s">
        <v>529</v>
      </c>
      <c r="D16" s="10">
        <v>20</v>
      </c>
      <c r="G16" t="s">
        <v>726</v>
      </c>
      <c r="J16" s="8">
        <v>0.05</v>
      </c>
      <c r="L16" s="41" t="s">
        <v>728</v>
      </c>
    </row>
    <row r="17" spans="1:24" x14ac:dyDescent="0.3">
      <c r="A17" t="s">
        <v>530</v>
      </c>
      <c r="D17" s="10">
        <v>2</v>
      </c>
      <c r="G17" t="s">
        <v>727</v>
      </c>
      <c r="J17" s="26">
        <f>1/40</f>
        <v>2.5000000000000001E-2</v>
      </c>
    </row>
    <row r="18" spans="1:24" x14ac:dyDescent="0.3">
      <c r="A18" t="s">
        <v>531</v>
      </c>
      <c r="D18" s="27">
        <v>1.4999999999999999E-2</v>
      </c>
      <c r="J18">
        <f>J16*D12+J17*D13</f>
        <v>25000</v>
      </c>
    </row>
    <row r="19" spans="1:24" x14ac:dyDescent="0.3">
      <c r="A19" t="s">
        <v>532</v>
      </c>
      <c r="D19" s="10">
        <v>800</v>
      </c>
      <c r="V19" t="s">
        <v>708</v>
      </c>
    </row>
    <row r="20" spans="1:24" x14ac:dyDescent="0.3">
      <c r="A20" t="s">
        <v>533</v>
      </c>
      <c r="D20" s="27">
        <v>1.4999999999999999E-2</v>
      </c>
      <c r="V20" t="s">
        <v>709</v>
      </c>
    </row>
    <row r="21" spans="1:24" x14ac:dyDescent="0.3">
      <c r="A21" t="s">
        <v>534</v>
      </c>
      <c r="D21" s="8">
        <v>0.05</v>
      </c>
    </row>
    <row r="22" spans="1:24" ht="15" thickBot="1" x14ac:dyDescent="0.35">
      <c r="E22" s="31">
        <v>2014</v>
      </c>
      <c r="F22" s="31">
        <v>2015</v>
      </c>
      <c r="G22" s="31">
        <v>2016</v>
      </c>
      <c r="H22" s="31">
        <v>2017</v>
      </c>
      <c r="I22" s="31">
        <v>2018</v>
      </c>
      <c r="J22" s="31">
        <v>2019</v>
      </c>
      <c r="K22" s="31">
        <v>2020</v>
      </c>
      <c r="L22" s="31">
        <v>2021</v>
      </c>
      <c r="M22" s="31">
        <v>2022</v>
      </c>
      <c r="N22" s="31">
        <v>2023</v>
      </c>
      <c r="O22" s="31">
        <v>2024</v>
      </c>
      <c r="P22" s="31">
        <v>2025</v>
      </c>
      <c r="Q22" s="31">
        <v>2026</v>
      </c>
      <c r="R22" s="31">
        <v>2027</v>
      </c>
      <c r="S22" s="31">
        <v>2028</v>
      </c>
      <c r="T22" s="31">
        <v>2029</v>
      </c>
      <c r="U22" s="31">
        <v>2030</v>
      </c>
      <c r="V22" s="31"/>
    </row>
    <row r="23" spans="1:24" x14ac:dyDescent="0.3">
      <c r="A23" t="s">
        <v>535</v>
      </c>
      <c r="E23" s="13">
        <f>(D7+E9)/D8*D10</f>
        <v>94245.171462357117</v>
      </c>
      <c r="F23" s="13">
        <f t="shared" ref="F23:U25" si="0">E23*1.015</f>
        <v>95658.849034292463</v>
      </c>
      <c r="G23" s="13">
        <f t="shared" si="0"/>
        <v>97093.731769806836</v>
      </c>
      <c r="H23" s="13">
        <f t="shared" si="0"/>
        <v>98550.137746353925</v>
      </c>
      <c r="I23" s="13">
        <f t="shared" si="0"/>
        <v>100028.38981254923</v>
      </c>
      <c r="J23" s="13">
        <f t="shared" si="0"/>
        <v>101528.81565973746</v>
      </c>
      <c r="K23" s="13">
        <f t="shared" si="0"/>
        <v>103051.74789463352</v>
      </c>
      <c r="L23" s="13">
        <f t="shared" si="0"/>
        <v>104597.524113053</v>
      </c>
      <c r="M23" s="13">
        <f t="shared" si="0"/>
        <v>106166.48697474878</v>
      </c>
      <c r="N23" s="13">
        <f t="shared" si="0"/>
        <v>107758.98427937001</v>
      </c>
      <c r="O23" s="13">
        <f t="shared" si="0"/>
        <v>109375.36904356055</v>
      </c>
      <c r="P23" s="13">
        <f t="shared" si="0"/>
        <v>111015.99957921395</v>
      </c>
      <c r="Q23" s="13">
        <f t="shared" si="0"/>
        <v>112681.23957290215</v>
      </c>
      <c r="R23" s="13">
        <f t="shared" si="0"/>
        <v>114371.45816649568</v>
      </c>
      <c r="S23" s="13">
        <f t="shared" si="0"/>
        <v>116087.03003899311</v>
      </c>
      <c r="T23" s="13">
        <f t="shared" si="0"/>
        <v>117828.33548957799</v>
      </c>
      <c r="U23" s="13">
        <f t="shared" si="0"/>
        <v>119595.76052192165</v>
      </c>
      <c r="V23" s="14"/>
      <c r="W23" s="14">
        <f>(D7+E9)/D8*21.6/D7</f>
        <v>28.37997635001971</v>
      </c>
      <c r="X23" t="s">
        <v>710</v>
      </c>
    </row>
    <row r="24" spans="1:24" x14ac:dyDescent="0.3">
      <c r="A24" t="s">
        <v>544</v>
      </c>
      <c r="E24" s="13">
        <f>D19*1.34*12*D17</f>
        <v>25728</v>
      </c>
      <c r="F24" s="13">
        <f>E24*1.05</f>
        <v>27014.400000000001</v>
      </c>
      <c r="G24" s="13">
        <f t="shared" si="0"/>
        <v>27419.615999999998</v>
      </c>
      <c r="H24" s="13">
        <f t="shared" si="0"/>
        <v>27830.910239999994</v>
      </c>
      <c r="I24" s="13">
        <f t="shared" si="0"/>
        <v>28248.37389359999</v>
      </c>
      <c r="J24" s="13">
        <f t="shared" si="0"/>
        <v>28672.099502003988</v>
      </c>
      <c r="K24" s="13">
        <f t="shared" si="0"/>
        <v>29102.180994534046</v>
      </c>
      <c r="L24" s="13">
        <f t="shared" si="0"/>
        <v>29538.713709452055</v>
      </c>
      <c r="M24" s="13">
        <f t="shared" si="0"/>
        <v>29981.794415093831</v>
      </c>
      <c r="N24" s="13">
        <f t="shared" si="0"/>
        <v>30431.521331320237</v>
      </c>
      <c r="O24" s="13">
        <f t="shared" si="0"/>
        <v>30887.994151290037</v>
      </c>
      <c r="P24" s="13">
        <f t="shared" si="0"/>
        <v>31351.314063559385</v>
      </c>
      <c r="Q24" s="13">
        <f t="shared" si="0"/>
        <v>31821.583774512772</v>
      </c>
      <c r="R24" s="13">
        <f t="shared" si="0"/>
        <v>32298.907531130459</v>
      </c>
      <c r="S24" s="13">
        <f t="shared" si="0"/>
        <v>32783.391144097412</v>
      </c>
      <c r="T24" s="13">
        <f t="shared" si="0"/>
        <v>33275.142011258868</v>
      </c>
      <c r="U24" s="13">
        <f t="shared" si="0"/>
        <v>33774.269141427751</v>
      </c>
      <c r="V24" s="14"/>
    </row>
    <row r="25" spans="1:24" x14ac:dyDescent="0.3">
      <c r="A25" t="s">
        <v>536</v>
      </c>
      <c r="E25" s="13">
        <f>2.3*(D7+E9)</f>
        <v>10356.497175141243</v>
      </c>
      <c r="F25" s="13">
        <f>E25*1.015</f>
        <v>10511.844632768361</v>
      </c>
      <c r="G25" s="13">
        <f t="shared" si="0"/>
        <v>10669.522302259886</v>
      </c>
      <c r="H25" s="13">
        <f t="shared" si="0"/>
        <v>10829.565136793783</v>
      </c>
      <c r="I25" s="13">
        <f t="shared" si="0"/>
        <v>10992.008613845688</v>
      </c>
      <c r="J25" s="13">
        <f t="shared" si="0"/>
        <v>11156.888743053372</v>
      </c>
      <c r="K25" s="13">
        <f t="shared" si="0"/>
        <v>11324.242074199172</v>
      </c>
      <c r="L25" s="13">
        <f t="shared" si="0"/>
        <v>11494.105705312159</v>
      </c>
      <c r="M25" s="13">
        <f t="shared" si="0"/>
        <v>11666.517290891839</v>
      </c>
      <c r="N25" s="13">
        <f t="shared" si="0"/>
        <v>11841.515050255215</v>
      </c>
      <c r="O25" s="13">
        <f t="shared" si="0"/>
        <v>12019.137776009042</v>
      </c>
      <c r="P25" s="13">
        <f t="shared" si="0"/>
        <v>12199.424842649176</v>
      </c>
      <c r="Q25" s="13">
        <f t="shared" si="0"/>
        <v>12382.416215288913</v>
      </c>
      <c r="R25" s="13">
        <f t="shared" si="0"/>
        <v>12568.152458518245</v>
      </c>
      <c r="S25" s="13">
        <f t="shared" si="0"/>
        <v>12756.674745396018</v>
      </c>
      <c r="T25" s="13">
        <f t="shared" si="0"/>
        <v>12948.024866576958</v>
      </c>
      <c r="U25" s="13">
        <f t="shared" si="0"/>
        <v>13142.24523957561</v>
      </c>
      <c r="V25" s="14"/>
    </row>
    <row r="26" spans="1:24" x14ac:dyDescent="0.3">
      <c r="A26" t="s">
        <v>537</v>
      </c>
      <c r="E26" s="13">
        <f>3.8*(D7+E9)</f>
        <v>17110.734463276836</v>
      </c>
      <c r="F26" s="13">
        <f t="shared" ref="F26:U26" si="1">E26*1.1</f>
        <v>18821.807909604522</v>
      </c>
      <c r="G26" s="13">
        <f t="shared" si="1"/>
        <v>20703.988700564976</v>
      </c>
      <c r="H26" s="13">
        <f t="shared" si="1"/>
        <v>22774.387570621475</v>
      </c>
      <c r="I26" s="13">
        <f t="shared" si="1"/>
        <v>25051.826327683626</v>
      </c>
      <c r="J26" s="13">
        <f t="shared" si="1"/>
        <v>27557.008960451993</v>
      </c>
      <c r="K26" s="13">
        <f t="shared" si="1"/>
        <v>30312.709856497193</v>
      </c>
      <c r="L26" s="13">
        <f t="shared" si="1"/>
        <v>33343.980842146913</v>
      </c>
      <c r="M26" s="13">
        <f t="shared" si="1"/>
        <v>36678.378926361605</v>
      </c>
      <c r="N26" s="13">
        <f t="shared" si="1"/>
        <v>40346.216818997767</v>
      </c>
      <c r="O26" s="13">
        <f t="shared" si="1"/>
        <v>44380.838500897546</v>
      </c>
      <c r="P26" s="13">
        <f t="shared" si="1"/>
        <v>48818.922350987305</v>
      </c>
      <c r="Q26" s="13">
        <f t="shared" si="1"/>
        <v>53700.814586086039</v>
      </c>
      <c r="R26" s="13">
        <f t="shared" si="1"/>
        <v>59070.896044694644</v>
      </c>
      <c r="S26" s="13">
        <f t="shared" si="1"/>
        <v>64977.985649164111</v>
      </c>
      <c r="T26" s="13">
        <f t="shared" si="1"/>
        <v>71475.78421408053</v>
      </c>
      <c r="U26" s="13">
        <f t="shared" si="1"/>
        <v>78623.362635488593</v>
      </c>
      <c r="V26" s="14"/>
    </row>
    <row r="27" spans="1:24" x14ac:dyDescent="0.3">
      <c r="A27" t="s">
        <v>546</v>
      </c>
      <c r="E27" s="13">
        <f>SUM(E23:E26)*J7</f>
        <v>5897.6161240310084</v>
      </c>
      <c r="F27" s="13">
        <f>SUM(F23:F26)*J7</f>
        <v>6080.2760630666144</v>
      </c>
      <c r="G27" s="13">
        <f>SUM(G23:G26)*J7</f>
        <v>6235.4743509052687</v>
      </c>
      <c r="H27" s="13">
        <f>SUM(H23:H26)*J7</f>
        <v>6399.4000277507666</v>
      </c>
      <c r="I27" s="13">
        <f>SUM(I23:I26)*J7</f>
        <v>6572.823945907141</v>
      </c>
      <c r="J27" s="13">
        <f>SUM(J23:J26)*J7</f>
        <v>6756.5925146098725</v>
      </c>
      <c r="K27" s="13">
        <f>SUM(K23:K26)*J7</f>
        <v>6951.635232794556</v>
      </c>
      <c r="L27" s="13">
        <f>SUM(L23:L26)*J7</f>
        <v>7158.9729747985657</v>
      </c>
      <c r="M27" s="13">
        <f>SUM(M23:M26)*J7</f>
        <v>7379.7271042838438</v>
      </c>
      <c r="N27" s="13">
        <f>SUM(N23:N26)*J7</f>
        <v>7615.1294991977302</v>
      </c>
      <c r="O27" s="13">
        <f>SUM(O23:O26)*J7</f>
        <v>7866.5335788702869</v>
      </c>
      <c r="P27" s="13">
        <f>SUM(P23:P26)*J7</f>
        <v>8135.4264334563923</v>
      </c>
      <c r="Q27" s="13">
        <f>SUM(Q23:Q26)*J7</f>
        <v>8423.4421659515956</v>
      </c>
      <c r="R27" s="13">
        <f>SUM(R23:R26)*J7</f>
        <v>8732.3765680335619</v>
      </c>
      <c r="S27" s="13">
        <f>SUM(S23:S26)*J7</f>
        <v>9064.2032631060247</v>
      </c>
      <c r="T27" s="13">
        <f>SUM(T23:T26)*0.04</f>
        <v>9421.0914632597724</v>
      </c>
      <c r="U27" s="13">
        <f>SUM(U23:U26)*0.04</f>
        <v>9805.4255015365434</v>
      </c>
      <c r="V27" s="14"/>
    </row>
    <row r="28" spans="1:24" x14ac:dyDescent="0.3">
      <c r="A28" t="s">
        <v>731</v>
      </c>
      <c r="E28" s="13">
        <f>SUM(E23:E27)</f>
        <v>153338.01922480622</v>
      </c>
      <c r="F28" s="13">
        <f t="shared" ref="F28:U28" si="2">SUM(F23:F27)</f>
        <v>158087.17763973196</v>
      </c>
      <c r="G28" s="13">
        <f t="shared" si="2"/>
        <v>162122.33312353698</v>
      </c>
      <c r="H28" s="13">
        <f t="shared" si="2"/>
        <v>166384.40072151992</v>
      </c>
      <c r="I28" s="13">
        <f t="shared" si="2"/>
        <v>170893.42259358568</v>
      </c>
      <c r="J28" s="13">
        <f t="shared" si="2"/>
        <v>175671.40537985667</v>
      </c>
      <c r="K28" s="13">
        <f t="shared" si="2"/>
        <v>180742.51605265847</v>
      </c>
      <c r="L28" s="13">
        <f t="shared" si="2"/>
        <v>186133.29734476269</v>
      </c>
      <c r="M28" s="13">
        <f t="shared" si="2"/>
        <v>191872.90471137993</v>
      </c>
      <c r="N28" s="13">
        <f t="shared" si="2"/>
        <v>197993.36697914099</v>
      </c>
      <c r="O28" s="13">
        <f t="shared" si="2"/>
        <v>204529.87305062747</v>
      </c>
      <c r="P28" s="13">
        <f t="shared" si="2"/>
        <v>211521.0872698662</v>
      </c>
      <c r="Q28" s="13">
        <f t="shared" si="2"/>
        <v>219009.4963147415</v>
      </c>
      <c r="R28" s="13">
        <f t="shared" si="2"/>
        <v>227041.7907688726</v>
      </c>
      <c r="S28" s="13">
        <f t="shared" si="2"/>
        <v>235669.28484075665</v>
      </c>
      <c r="T28" s="13">
        <f t="shared" si="2"/>
        <v>244948.37804475409</v>
      </c>
      <c r="U28" s="13">
        <f t="shared" si="2"/>
        <v>254941.06303995012</v>
      </c>
      <c r="V28" s="13"/>
    </row>
    <row r="29" spans="1:24" x14ac:dyDescent="0.3">
      <c r="A29" t="s">
        <v>547</v>
      </c>
      <c r="E29">
        <f>(J16*D12+D13*J17)</f>
        <v>25000</v>
      </c>
      <c r="F29" s="13">
        <f>$J$16*$D$12+$J$17*$D$13</f>
        <v>25000</v>
      </c>
      <c r="G29" s="13">
        <f t="shared" ref="G29:U29" si="3">$J$16*$D$12+$J$17*$D$13</f>
        <v>25000</v>
      </c>
      <c r="H29" s="13">
        <f t="shared" si="3"/>
        <v>25000</v>
      </c>
      <c r="I29" s="13">
        <f t="shared" si="3"/>
        <v>25000</v>
      </c>
      <c r="J29" s="13">
        <f t="shared" si="3"/>
        <v>25000</v>
      </c>
      <c r="K29" s="13">
        <f t="shared" si="3"/>
        <v>25000</v>
      </c>
      <c r="L29" s="13">
        <f t="shared" si="3"/>
        <v>25000</v>
      </c>
      <c r="M29" s="13">
        <f t="shared" si="3"/>
        <v>25000</v>
      </c>
      <c r="N29" s="13">
        <f t="shared" si="3"/>
        <v>25000</v>
      </c>
      <c r="O29" s="13">
        <f t="shared" si="3"/>
        <v>25000</v>
      </c>
      <c r="P29" s="13">
        <f t="shared" si="3"/>
        <v>25000</v>
      </c>
      <c r="Q29" s="13">
        <f t="shared" si="3"/>
        <v>25000</v>
      </c>
      <c r="R29" s="13">
        <f t="shared" si="3"/>
        <v>25000</v>
      </c>
      <c r="S29" s="13">
        <f t="shared" si="3"/>
        <v>25000</v>
      </c>
      <c r="T29" s="13">
        <f t="shared" si="3"/>
        <v>25000</v>
      </c>
      <c r="U29" s="13">
        <f t="shared" si="3"/>
        <v>25000</v>
      </c>
      <c r="V29" s="13"/>
    </row>
    <row r="30" spans="1:24" x14ac:dyDescent="0.3">
      <c r="A30" t="s">
        <v>730</v>
      </c>
      <c r="E30">
        <f>$D$14/10</f>
        <v>45500</v>
      </c>
      <c r="F30">
        <f>$D$14/10</f>
        <v>45500</v>
      </c>
      <c r="G30">
        <f t="shared" ref="G30:N30" si="4">$D$14/10</f>
        <v>45500</v>
      </c>
      <c r="H30">
        <f t="shared" si="4"/>
        <v>45500</v>
      </c>
      <c r="I30">
        <f t="shared" si="4"/>
        <v>45500</v>
      </c>
      <c r="J30">
        <f t="shared" si="4"/>
        <v>45500</v>
      </c>
      <c r="K30">
        <f t="shared" si="4"/>
        <v>45500</v>
      </c>
      <c r="L30">
        <f t="shared" si="4"/>
        <v>45500</v>
      </c>
      <c r="M30">
        <f t="shared" si="4"/>
        <v>45500</v>
      </c>
      <c r="N30">
        <f t="shared" si="4"/>
        <v>45500</v>
      </c>
      <c r="O30" s="13">
        <f>D14-SUM(E30:N30)</f>
        <v>0</v>
      </c>
      <c r="P30" s="13"/>
      <c r="Q30" s="13"/>
      <c r="R30" s="13"/>
      <c r="S30" s="13"/>
      <c r="T30" s="13"/>
      <c r="U30" s="13"/>
      <c r="V30" s="13"/>
    </row>
    <row r="31" spans="1:24" x14ac:dyDescent="0.3">
      <c r="A31" t="s">
        <v>732</v>
      </c>
      <c r="E31" s="10">
        <f>$D$14-E30</f>
        <v>409500</v>
      </c>
      <c r="F31" s="10">
        <f>E31-F30</f>
        <v>364000</v>
      </c>
      <c r="G31" s="10">
        <f t="shared" ref="G31:O31" si="5">F31-G30</f>
        <v>318500</v>
      </c>
      <c r="H31" s="10">
        <f t="shared" si="5"/>
        <v>273000</v>
      </c>
      <c r="I31" s="10">
        <f t="shared" si="5"/>
        <v>227500</v>
      </c>
      <c r="J31" s="10">
        <f t="shared" si="5"/>
        <v>182000</v>
      </c>
      <c r="K31" s="10">
        <f t="shared" si="5"/>
        <v>136500</v>
      </c>
      <c r="L31" s="10">
        <f t="shared" si="5"/>
        <v>91000</v>
      </c>
      <c r="M31" s="10">
        <f t="shared" si="5"/>
        <v>45500</v>
      </c>
      <c r="N31" s="10">
        <f t="shared" si="5"/>
        <v>0</v>
      </c>
      <c r="O31" s="10">
        <f t="shared" si="5"/>
        <v>0</v>
      </c>
      <c r="P31" s="13"/>
      <c r="Q31" s="13"/>
      <c r="R31" s="13"/>
      <c r="S31" s="13"/>
      <c r="T31" s="13"/>
      <c r="U31" s="13"/>
      <c r="V31" s="13"/>
    </row>
    <row r="32" spans="1:24" x14ac:dyDescent="0.3">
      <c r="A32" t="s">
        <v>733</v>
      </c>
      <c r="E32" s="13">
        <f>E31*$D$15</f>
        <v>20475</v>
      </c>
      <c r="F32" s="13">
        <f t="shared" ref="F32:O32" si="6">F31*$D$15</f>
        <v>18200</v>
      </c>
      <c r="G32" s="13">
        <f t="shared" si="6"/>
        <v>15925</v>
      </c>
      <c r="H32" s="13">
        <f t="shared" si="6"/>
        <v>13650</v>
      </c>
      <c r="I32" s="13">
        <f t="shared" si="6"/>
        <v>11375</v>
      </c>
      <c r="J32" s="13">
        <f t="shared" si="6"/>
        <v>9100</v>
      </c>
      <c r="K32" s="13">
        <f t="shared" si="6"/>
        <v>6825</v>
      </c>
      <c r="L32" s="13">
        <f t="shared" si="6"/>
        <v>4550</v>
      </c>
      <c r="M32" s="13">
        <f t="shared" si="6"/>
        <v>2275</v>
      </c>
      <c r="N32" s="13">
        <f t="shared" si="6"/>
        <v>0</v>
      </c>
      <c r="O32" s="13">
        <f t="shared" si="6"/>
        <v>0</v>
      </c>
      <c r="P32" s="13"/>
      <c r="Q32" s="13"/>
      <c r="R32" s="13"/>
      <c r="S32" s="13"/>
      <c r="T32" s="13"/>
      <c r="U32" s="13"/>
      <c r="V32" s="14"/>
    </row>
    <row r="33" spans="1:23" x14ac:dyDescent="0.3">
      <c r="A33" t="s">
        <v>734</v>
      </c>
      <c r="E33" s="13">
        <f>E28+E29+E32</f>
        <v>198813.01922480622</v>
      </c>
      <c r="F33" s="13">
        <f t="shared" ref="F33:U33" si="7">F28+F29+F32</f>
        <v>201287.17763973196</v>
      </c>
      <c r="G33" s="13">
        <f t="shared" si="7"/>
        <v>203047.33312353698</v>
      </c>
      <c r="H33" s="13">
        <f t="shared" si="7"/>
        <v>205034.40072151992</v>
      </c>
      <c r="I33" s="13">
        <f t="shared" si="7"/>
        <v>207268.42259358568</v>
      </c>
      <c r="J33" s="13">
        <f t="shared" si="7"/>
        <v>209771.40537985667</v>
      </c>
      <c r="K33" s="13">
        <f t="shared" si="7"/>
        <v>212567.51605265847</v>
      </c>
      <c r="L33" s="13">
        <f t="shared" si="7"/>
        <v>215683.29734476269</v>
      </c>
      <c r="M33" s="13">
        <f t="shared" si="7"/>
        <v>219147.90471137993</v>
      </c>
      <c r="N33" s="13">
        <f t="shared" si="7"/>
        <v>222993.36697914099</v>
      </c>
      <c r="O33" s="13">
        <f t="shared" si="7"/>
        <v>229529.87305062747</v>
      </c>
      <c r="P33" s="13">
        <f>P28+P29+P32</f>
        <v>236521.0872698662</v>
      </c>
      <c r="Q33" s="13">
        <f t="shared" si="7"/>
        <v>244009.4963147415</v>
      </c>
      <c r="R33" s="13">
        <f t="shared" si="7"/>
        <v>252041.7907688726</v>
      </c>
      <c r="S33" s="13">
        <f t="shared" si="7"/>
        <v>260669.28484075665</v>
      </c>
      <c r="T33" s="13">
        <f t="shared" si="7"/>
        <v>269948.37804475409</v>
      </c>
      <c r="U33" s="13">
        <f t="shared" si="7"/>
        <v>279941.0630399501</v>
      </c>
      <c r="V33" s="13"/>
    </row>
    <row r="34" spans="1:23" x14ac:dyDescent="0.3">
      <c r="A34" t="s">
        <v>736</v>
      </c>
      <c r="E34" s="13">
        <f>E33/$D$7</f>
        <v>49.89034359468161</v>
      </c>
      <c r="F34" s="13">
        <f t="shared" ref="F34:U34" si="8">F33/$D$7</f>
        <v>50.511211452881298</v>
      </c>
      <c r="G34" s="13">
        <f t="shared" si="8"/>
        <v>50.952906680937765</v>
      </c>
      <c r="H34" s="13">
        <f t="shared" si="8"/>
        <v>51.451543468386433</v>
      </c>
      <c r="I34" s="13">
        <f t="shared" si="8"/>
        <v>52.012151215454374</v>
      </c>
      <c r="J34" s="13">
        <f t="shared" si="8"/>
        <v>52.640252291055624</v>
      </c>
      <c r="K34" s="13">
        <f t="shared" si="8"/>
        <v>53.341911180089951</v>
      </c>
      <c r="L34" s="13">
        <f t="shared" si="8"/>
        <v>54.123788543227775</v>
      </c>
      <c r="M34" s="13">
        <f t="shared" si="8"/>
        <v>54.99320068039647</v>
      </c>
      <c r="N34" s="13">
        <f t="shared" si="8"/>
        <v>55.958184938303887</v>
      </c>
      <c r="O34" s="13">
        <f t="shared" si="8"/>
        <v>57.598462497020698</v>
      </c>
      <c r="P34" s="13">
        <f t="shared" si="8"/>
        <v>59.352844986164669</v>
      </c>
      <c r="Q34" s="13">
        <f t="shared" si="8"/>
        <v>61.231994056396864</v>
      </c>
      <c r="R34" s="13">
        <f t="shared" si="8"/>
        <v>63.247626290808682</v>
      </c>
      <c r="S34" s="13">
        <f t="shared" si="8"/>
        <v>65.412618529675441</v>
      </c>
      <c r="T34" s="13">
        <f t="shared" si="8"/>
        <v>67.741123725157863</v>
      </c>
      <c r="U34" s="13">
        <f t="shared" si="8"/>
        <v>70.248698378908429</v>
      </c>
      <c r="V34" s="13"/>
    </row>
    <row r="35" spans="1:23" x14ac:dyDescent="0.3">
      <c r="A35" t="s">
        <v>740</v>
      </c>
      <c r="E35" s="13">
        <f>E41-E28-E32</f>
        <v>21272.032548062009</v>
      </c>
      <c r="F35" s="13">
        <f t="shared" ref="F35:U35" si="9">F41-F28-F32</f>
        <v>39178.217944099335</v>
      </c>
      <c r="G35" s="13">
        <f t="shared" si="9"/>
        <v>40207.618332808837</v>
      </c>
      <c r="H35" s="13">
        <f t="shared" si="9"/>
        <v>41237.586001803807</v>
      </c>
      <c r="I35" s="13">
        <f t="shared" si="9"/>
        <v>42268.17105648396</v>
      </c>
      <c r="J35" s="13">
        <f t="shared" si="9"/>
        <v>43299.428513449646</v>
      </c>
      <c r="K35" s="13">
        <f t="shared" si="9"/>
        <v>44331.418790131662</v>
      </c>
      <c r="L35" s="13">
        <f t="shared" si="9"/>
        <v>45364.208243361907</v>
      </c>
      <c r="M35" s="13">
        <f t="shared" si="9"/>
        <v>46397.869761778449</v>
      </c>
      <c r="N35" s="13">
        <f t="shared" si="9"/>
        <v>47432.48341744786</v>
      </c>
      <c r="O35" s="13">
        <f t="shared" si="9"/>
        <v>46198.824682626582</v>
      </c>
      <c r="P35" s="13">
        <f t="shared" si="9"/>
        <v>44966.302718174673</v>
      </c>
      <c r="Q35" s="13">
        <f t="shared" si="9"/>
        <v>43735.023740786826</v>
      </c>
      <c r="R35" s="13">
        <f t="shared" si="9"/>
        <v>42505.104476922192</v>
      </c>
      <c r="S35" s="13">
        <f t="shared" si="9"/>
        <v>41276.673212101887</v>
      </c>
      <c r="T35" s="13">
        <f t="shared" si="9"/>
        <v>40049.870945111907</v>
      </c>
      <c r="U35" s="13">
        <f t="shared" si="9"/>
        <v>38824.852657599869</v>
      </c>
      <c r="V35" s="13"/>
    </row>
    <row r="36" spans="1:23" x14ac:dyDescent="0.3">
      <c r="A36" t="s">
        <v>741</v>
      </c>
      <c r="E36" s="13">
        <f>E41-E33</f>
        <v>-3727.9674519379914</v>
      </c>
      <c r="F36" s="13">
        <f t="shared" ref="F36:U36" si="10">F41-F33</f>
        <v>14178.217944099335</v>
      </c>
      <c r="G36" s="13">
        <f t="shared" si="10"/>
        <v>15207.618332808837</v>
      </c>
      <c r="H36" s="13">
        <f t="shared" si="10"/>
        <v>16237.586001803807</v>
      </c>
      <c r="I36" s="13">
        <f t="shared" si="10"/>
        <v>17268.17105648396</v>
      </c>
      <c r="J36" s="13">
        <f t="shared" si="10"/>
        <v>18299.428513449646</v>
      </c>
      <c r="K36" s="13">
        <f t="shared" si="10"/>
        <v>19331.418790131662</v>
      </c>
      <c r="L36" s="13">
        <f t="shared" si="10"/>
        <v>20364.208243361907</v>
      </c>
      <c r="M36" s="13">
        <f t="shared" si="10"/>
        <v>21397.869761778449</v>
      </c>
      <c r="N36" s="13">
        <f t="shared" si="10"/>
        <v>22432.48341744786</v>
      </c>
      <c r="O36" s="13">
        <f t="shared" si="10"/>
        <v>21198.824682626582</v>
      </c>
      <c r="P36" s="13">
        <f t="shared" si="10"/>
        <v>19966.302718174673</v>
      </c>
      <c r="Q36" s="13">
        <f t="shared" si="10"/>
        <v>18735.023740786826</v>
      </c>
      <c r="R36" s="13">
        <f t="shared" si="10"/>
        <v>17505.104476922192</v>
      </c>
      <c r="S36" s="13">
        <f t="shared" si="10"/>
        <v>16276.673212101887</v>
      </c>
      <c r="T36" s="13">
        <f t="shared" si="10"/>
        <v>15049.870945111907</v>
      </c>
      <c r="U36" s="13">
        <f t="shared" si="10"/>
        <v>13824.852657599899</v>
      </c>
      <c r="V36" s="13"/>
    </row>
    <row r="37" spans="1:23" x14ac:dyDescent="0.3">
      <c r="A37" t="s">
        <v>739</v>
      </c>
      <c r="E37" s="13">
        <f>D14-D11+E35+E29-E30</f>
        <v>-194227.96745193799</v>
      </c>
      <c r="F37" s="13">
        <f>F35+F29-F30</f>
        <v>18678.217944099335</v>
      </c>
      <c r="G37" s="13">
        <f t="shared" ref="G37:U37" si="11">G35+G29-G30</f>
        <v>19707.618332808837</v>
      </c>
      <c r="H37" s="13">
        <f t="shared" si="11"/>
        <v>20737.586001803807</v>
      </c>
      <c r="I37" s="13">
        <f t="shared" si="11"/>
        <v>21768.17105648396</v>
      </c>
      <c r="J37" s="13">
        <f t="shared" si="11"/>
        <v>22799.428513449646</v>
      </c>
      <c r="K37" s="13">
        <f t="shared" si="11"/>
        <v>23831.418790131662</v>
      </c>
      <c r="L37" s="13">
        <f t="shared" si="11"/>
        <v>24864.208243361907</v>
      </c>
      <c r="M37" s="13">
        <f t="shared" si="11"/>
        <v>25897.869761778449</v>
      </c>
      <c r="N37" s="13">
        <f t="shared" si="11"/>
        <v>26932.48341744786</v>
      </c>
      <c r="O37" s="13">
        <f t="shared" si="11"/>
        <v>71198.824682626582</v>
      </c>
      <c r="P37" s="13">
        <f t="shared" si="11"/>
        <v>69966.302718174673</v>
      </c>
      <c r="Q37" s="13">
        <f t="shared" si="11"/>
        <v>68735.023740786826</v>
      </c>
      <c r="R37" s="13">
        <f t="shared" si="11"/>
        <v>67505.104476922192</v>
      </c>
      <c r="S37" s="13">
        <f t="shared" si="11"/>
        <v>66276.673212101887</v>
      </c>
      <c r="T37" s="13">
        <f t="shared" si="11"/>
        <v>65049.870945111907</v>
      </c>
      <c r="U37" s="13">
        <f t="shared" si="11"/>
        <v>63824.852657599869</v>
      </c>
      <c r="V37" s="13"/>
    </row>
    <row r="38" spans="1:23" ht="15" thickBot="1" x14ac:dyDescent="0.35">
      <c r="A38" t="s">
        <v>742</v>
      </c>
      <c r="E38" s="13">
        <f>D38+E37</f>
        <v>-194227.96745193799</v>
      </c>
      <c r="F38" s="13">
        <f t="shared" ref="F38:U38" si="12">E38+F37</f>
        <v>-175549.74950783866</v>
      </c>
      <c r="G38" s="13">
        <f t="shared" si="12"/>
        <v>-155842.13117502982</v>
      </c>
      <c r="H38" s="13">
        <f t="shared" si="12"/>
        <v>-135104.54517322601</v>
      </c>
      <c r="I38" s="13">
        <f t="shared" si="12"/>
        <v>-113336.37411674205</v>
      </c>
      <c r="J38" s="13">
        <f t="shared" si="12"/>
        <v>-90536.945603292406</v>
      </c>
      <c r="K38" s="13">
        <f t="shared" si="12"/>
        <v>-66705.526813160744</v>
      </c>
      <c r="L38" s="13">
        <f t="shared" si="12"/>
        <v>-41841.318569798837</v>
      </c>
      <c r="M38" s="13">
        <f t="shared" si="12"/>
        <v>-15943.448808020388</v>
      </c>
      <c r="N38" s="13">
        <f t="shared" si="12"/>
        <v>10989.034609427472</v>
      </c>
      <c r="O38" s="13">
        <f t="shared" si="12"/>
        <v>82187.859292054054</v>
      </c>
      <c r="P38" s="13">
        <f t="shared" si="12"/>
        <v>152154.16201022873</v>
      </c>
      <c r="Q38" s="13">
        <f t="shared" si="12"/>
        <v>220889.18575101555</v>
      </c>
      <c r="R38" s="13">
        <f t="shared" si="12"/>
        <v>288394.29022793774</v>
      </c>
      <c r="S38" s="13">
        <f t="shared" si="12"/>
        <v>354670.96344003966</v>
      </c>
      <c r="T38" s="13">
        <f t="shared" si="12"/>
        <v>419720.83438515157</v>
      </c>
      <c r="U38" s="13">
        <f t="shared" si="12"/>
        <v>483545.68704275147</v>
      </c>
      <c r="V38" s="13"/>
    </row>
    <row r="39" spans="1:23" ht="15" thickBot="1" x14ac:dyDescent="0.35">
      <c r="A39" t="s">
        <v>748</v>
      </c>
      <c r="B39" s="92">
        <f>NPV(E39,E37:V37)-F14</f>
        <v>12772.293748975557</v>
      </c>
      <c r="E39" s="93">
        <v>0.05</v>
      </c>
    </row>
    <row r="40" spans="1:23" x14ac:dyDescent="0.3">
      <c r="A40" t="s">
        <v>735</v>
      </c>
      <c r="D40">
        <v>0</v>
      </c>
      <c r="E40" s="10">
        <f>D12+D13</f>
        <v>650000</v>
      </c>
      <c r="F40">
        <f>E40-$D$12*$J$16-$J$17*$D$13</f>
        <v>625000</v>
      </c>
      <c r="G40">
        <f t="shared" ref="G40:U40" si="13">F40-$D$12*$J$16-$J$17*$D$13</f>
        <v>600000</v>
      </c>
      <c r="H40">
        <f t="shared" si="13"/>
        <v>575000</v>
      </c>
      <c r="I40">
        <f t="shared" si="13"/>
        <v>550000</v>
      </c>
      <c r="J40">
        <f t="shared" si="13"/>
        <v>525000</v>
      </c>
      <c r="K40">
        <f t="shared" si="13"/>
        <v>500000</v>
      </c>
      <c r="L40">
        <f t="shared" si="13"/>
        <v>475000</v>
      </c>
      <c r="M40">
        <f t="shared" si="13"/>
        <v>450000</v>
      </c>
      <c r="N40">
        <f t="shared" si="13"/>
        <v>425000</v>
      </c>
      <c r="O40">
        <f t="shared" si="13"/>
        <v>400000</v>
      </c>
      <c r="P40">
        <f t="shared" si="13"/>
        <v>375000</v>
      </c>
      <c r="Q40">
        <f t="shared" si="13"/>
        <v>350000</v>
      </c>
      <c r="R40">
        <f t="shared" si="13"/>
        <v>325000</v>
      </c>
      <c r="S40">
        <f t="shared" si="13"/>
        <v>300000</v>
      </c>
      <c r="T40">
        <f t="shared" si="13"/>
        <v>275000</v>
      </c>
      <c r="U40">
        <f t="shared" si="13"/>
        <v>250000</v>
      </c>
    </row>
    <row r="41" spans="1:23" x14ac:dyDescent="0.3">
      <c r="A41" t="s">
        <v>549</v>
      </c>
      <c r="E41" s="13">
        <f>E44</f>
        <v>195085.05177286823</v>
      </c>
      <c r="F41" s="13">
        <f>F45*D7</f>
        <v>215465.3955838313</v>
      </c>
      <c r="G41" s="13">
        <f>G45*D7</f>
        <v>218254.95145634582</v>
      </c>
      <c r="H41" s="13">
        <f>H45*D7</f>
        <v>221271.98672332373</v>
      </c>
      <c r="I41" s="13">
        <f>I45*D7</f>
        <v>224536.59365006964</v>
      </c>
      <c r="J41" s="13">
        <f>J45*D7</f>
        <v>228070.83389330632</v>
      </c>
      <c r="K41" s="13">
        <f>K45*D7</f>
        <v>231898.93484279013</v>
      </c>
      <c r="L41" s="13">
        <f>L45*D7</f>
        <v>236047.50558812459</v>
      </c>
      <c r="M41">
        <f>M45*D7</f>
        <v>240545.77447315838</v>
      </c>
      <c r="N41" s="13">
        <f>N45*D7</f>
        <v>245425.85039658885</v>
      </c>
      <c r="O41" s="13">
        <f>O45*D7</f>
        <v>250728.69773325406</v>
      </c>
      <c r="P41" s="13">
        <f>P45*D7</f>
        <v>256487.38998804087</v>
      </c>
      <c r="Q41" s="13">
        <f>Q45*D7</f>
        <v>262744.52005552832</v>
      </c>
      <c r="R41" s="13">
        <f>R45*D7</f>
        <v>269546.89524579479</v>
      </c>
      <c r="S41" s="13">
        <f>S45*D7</f>
        <v>276945.95805285854</v>
      </c>
      <c r="T41" s="13">
        <f>T45*D7</f>
        <v>284998.248989866</v>
      </c>
      <c r="U41" s="13">
        <f>U45*D7</f>
        <v>293765.91569754999</v>
      </c>
    </row>
    <row r="42" spans="1:23" x14ac:dyDescent="0.3">
      <c r="A42" t="s">
        <v>729</v>
      </c>
      <c r="E42" s="13">
        <f>(E40+D40)/2+E33*0.05</f>
        <v>334940.65096124029</v>
      </c>
      <c r="F42" s="13">
        <f t="shared" ref="F42:U42" si="14">(F40+E40)/2+F33*0.05</f>
        <v>647564.35888198658</v>
      </c>
      <c r="G42" s="13">
        <f t="shared" si="14"/>
        <v>622652.36665617686</v>
      </c>
      <c r="H42" s="13">
        <f t="shared" si="14"/>
        <v>597751.72003607603</v>
      </c>
      <c r="I42" s="13">
        <f t="shared" si="14"/>
        <v>572863.42112967931</v>
      </c>
      <c r="J42" s="13">
        <f t="shared" si="14"/>
        <v>547988.5702689928</v>
      </c>
      <c r="K42" s="13">
        <f t="shared" si="14"/>
        <v>523128.37580263295</v>
      </c>
      <c r="L42" s="13">
        <f t="shared" si="14"/>
        <v>498284.16486723814</v>
      </c>
      <c r="M42" s="13">
        <f t="shared" si="14"/>
        <v>473457.39523556898</v>
      </c>
      <c r="N42" s="13">
        <f t="shared" si="14"/>
        <v>448649.66834895703</v>
      </c>
      <c r="O42" s="13">
        <f t="shared" si="14"/>
        <v>423976.49365253135</v>
      </c>
      <c r="P42" s="13">
        <f t="shared" si="14"/>
        <v>399326.05436349328</v>
      </c>
      <c r="Q42" s="13">
        <f t="shared" si="14"/>
        <v>374700.47481573705</v>
      </c>
      <c r="R42" s="13">
        <f t="shared" si="14"/>
        <v>350102.0895384436</v>
      </c>
      <c r="S42" s="13">
        <f t="shared" si="14"/>
        <v>325533.46424203785</v>
      </c>
      <c r="T42" s="13">
        <f t="shared" si="14"/>
        <v>300997.41890223772</v>
      </c>
      <c r="U42" s="13">
        <f t="shared" si="14"/>
        <v>276497.0531519975</v>
      </c>
      <c r="V42" s="13"/>
    </row>
    <row r="43" spans="1:23" x14ac:dyDescent="0.3">
      <c r="A43" t="s">
        <v>550</v>
      </c>
      <c r="E43" s="13">
        <f>E42*$D$21</f>
        <v>16747.032548062016</v>
      </c>
      <c r="F43" s="13">
        <f t="shared" ref="F43:U43" si="15">F42*$D$21</f>
        <v>32378.217944099331</v>
      </c>
      <c r="G43" s="13">
        <f t="shared" si="15"/>
        <v>31132.618332808845</v>
      </c>
      <c r="H43" s="13">
        <f t="shared" si="15"/>
        <v>29887.586001803804</v>
      </c>
      <c r="I43" s="13">
        <f t="shared" si="15"/>
        <v>28643.171056483967</v>
      </c>
      <c r="J43" s="13">
        <f t="shared" si="15"/>
        <v>27399.428513449642</v>
      </c>
      <c r="K43" s="13">
        <f t="shared" si="15"/>
        <v>26156.418790131647</v>
      </c>
      <c r="L43" s="13">
        <f t="shared" si="15"/>
        <v>24914.208243361907</v>
      </c>
      <c r="M43" s="13">
        <f t="shared" si="15"/>
        <v>23672.869761778449</v>
      </c>
      <c r="N43" s="13">
        <f t="shared" si="15"/>
        <v>22432.483417447853</v>
      </c>
      <c r="O43" s="13">
        <f t="shared" si="15"/>
        <v>21198.824682626568</v>
      </c>
      <c r="P43" s="13">
        <f t="shared" si="15"/>
        <v>19966.302718174666</v>
      </c>
      <c r="Q43" s="13">
        <f t="shared" si="15"/>
        <v>18735.023740786852</v>
      </c>
      <c r="R43" s="13">
        <f t="shared" si="15"/>
        <v>17505.104476922181</v>
      </c>
      <c r="S43" s="13">
        <f t="shared" si="15"/>
        <v>16276.673212101894</v>
      </c>
      <c r="T43" s="13">
        <f t="shared" si="15"/>
        <v>15049.870945111887</v>
      </c>
      <c r="U43" s="13">
        <f t="shared" si="15"/>
        <v>13824.852657599877</v>
      </c>
      <c r="V43" s="13"/>
    </row>
    <row r="44" spans="1:23" x14ac:dyDescent="0.3">
      <c r="A44" t="s">
        <v>737</v>
      </c>
      <c r="E44" s="13">
        <f t="shared" ref="E44:U44" si="16">E43+E33-E32</f>
        <v>195085.05177286823</v>
      </c>
      <c r="F44" s="13">
        <f t="shared" si="16"/>
        <v>215465.3955838313</v>
      </c>
      <c r="G44" s="13">
        <f t="shared" si="16"/>
        <v>218254.95145634582</v>
      </c>
      <c r="H44" s="13">
        <f t="shared" si="16"/>
        <v>221271.98672332373</v>
      </c>
      <c r="I44" s="13">
        <f t="shared" si="16"/>
        <v>224536.59365006964</v>
      </c>
      <c r="J44" s="13">
        <f t="shared" si="16"/>
        <v>228070.83389330632</v>
      </c>
      <c r="K44" s="13">
        <f t="shared" si="16"/>
        <v>231898.93484279013</v>
      </c>
      <c r="L44" s="13">
        <f t="shared" si="16"/>
        <v>236047.50558812459</v>
      </c>
      <c r="M44" s="13">
        <f t="shared" si="16"/>
        <v>240545.77447315838</v>
      </c>
      <c r="N44" s="13">
        <f t="shared" si="16"/>
        <v>245425.85039658885</v>
      </c>
      <c r="O44" s="13">
        <f t="shared" si="16"/>
        <v>250728.69773325406</v>
      </c>
      <c r="P44" s="13">
        <f t="shared" si="16"/>
        <v>256487.38998804087</v>
      </c>
      <c r="Q44" s="13">
        <f t="shared" si="16"/>
        <v>262744.52005552832</v>
      </c>
      <c r="R44" s="13">
        <f t="shared" si="16"/>
        <v>269546.89524579479</v>
      </c>
      <c r="S44" s="13">
        <f t="shared" si="16"/>
        <v>276945.95805285854</v>
      </c>
      <c r="T44" s="13">
        <f t="shared" si="16"/>
        <v>284998.248989866</v>
      </c>
      <c r="U44" s="13">
        <f t="shared" si="16"/>
        <v>293765.91569754999</v>
      </c>
      <c r="V44" s="13"/>
    </row>
    <row r="45" spans="1:23" ht="15" thickBot="1" x14ac:dyDescent="0.35">
      <c r="A45" t="s">
        <v>738</v>
      </c>
      <c r="E45" s="13">
        <f>E44/$D$7</f>
        <v>48.954843606742344</v>
      </c>
      <c r="F45" s="13">
        <f>F44/$D$7</f>
        <v>54.069108051149634</v>
      </c>
      <c r="G45" s="13">
        <f t="shared" ref="G45:U45" si="17">G44/$D$7</f>
        <v>54.769122071855918</v>
      </c>
      <c r="H45" s="13">
        <f t="shared" si="17"/>
        <v>55.526220005852878</v>
      </c>
      <c r="I45" s="13">
        <f t="shared" si="17"/>
        <v>56.345443826868163</v>
      </c>
      <c r="J45" s="13">
        <f t="shared" si="17"/>
        <v>57.232329709738096</v>
      </c>
      <c r="K45" s="13">
        <f t="shared" si="17"/>
        <v>58.19295730057469</v>
      </c>
      <c r="L45" s="13">
        <f t="shared" si="17"/>
        <v>59.234003911700022</v>
      </c>
      <c r="M45" s="13">
        <f t="shared" si="17"/>
        <v>60.362804133791315</v>
      </c>
      <c r="N45" s="13">
        <f t="shared" si="17"/>
        <v>61.587415406923178</v>
      </c>
      <c r="O45" s="13">
        <f t="shared" si="17"/>
        <v>62.918117373464007</v>
      </c>
      <c r="P45" s="13">
        <f t="shared" si="17"/>
        <v>64.363209532758063</v>
      </c>
      <c r="Q45" s="13">
        <f t="shared" si="17"/>
        <v>65.933380189593052</v>
      </c>
      <c r="R45" s="13">
        <f t="shared" si="17"/>
        <v>67.640375218518145</v>
      </c>
      <c r="S45" s="13">
        <f t="shared" si="17"/>
        <v>69.497103651909299</v>
      </c>
      <c r="T45" s="13">
        <f t="shared" si="17"/>
        <v>71.517753824307647</v>
      </c>
      <c r="U45" s="13">
        <f t="shared" si="17"/>
        <v>73.717921128619821</v>
      </c>
      <c r="V45" s="13"/>
      <c r="W45" s="14">
        <f>W23+V24+V25+V26+V27+V29+V32+V43</f>
        <v>28.37997635001971</v>
      </c>
    </row>
    <row r="46" spans="1:23" ht="15" thickBot="1" x14ac:dyDescent="0.35">
      <c r="A46" s="1" t="s">
        <v>548</v>
      </c>
      <c r="B46" s="1"/>
      <c r="C46" s="1"/>
      <c r="D46" s="1"/>
      <c r="E46" s="1"/>
      <c r="F46" s="1"/>
      <c r="G46" s="1"/>
      <c r="H46" s="1"/>
      <c r="I46" s="30">
        <f>U45</f>
        <v>73.717921128619821</v>
      </c>
      <c r="J46" t="s">
        <v>466</v>
      </c>
      <c r="L46" s="1" t="s">
        <v>962</v>
      </c>
      <c r="M46" s="1"/>
      <c r="N46" s="1"/>
      <c r="O46" s="1"/>
    </row>
    <row r="47" spans="1:23" x14ac:dyDescent="0.3">
      <c r="A47">
        <v>60</v>
      </c>
      <c r="B47" t="s">
        <v>779</v>
      </c>
      <c r="C47">
        <v>100</v>
      </c>
      <c r="D47" t="s">
        <v>780</v>
      </c>
      <c r="E47" s="13">
        <f>E45*$C$47*$A$47/1000</f>
        <v>293.72906164045406</v>
      </c>
      <c r="F47" s="13">
        <f t="shared" ref="F47:O47" si="18">F45*$C$47*$A$47/1000</f>
        <v>324.41464830689779</v>
      </c>
      <c r="G47" s="13">
        <f t="shared" si="18"/>
        <v>328.61473243113551</v>
      </c>
      <c r="H47" s="13">
        <f t="shared" si="18"/>
        <v>333.15732003511727</v>
      </c>
      <c r="I47" s="13">
        <f t="shared" si="18"/>
        <v>338.07266296120895</v>
      </c>
      <c r="J47" s="13">
        <f t="shared" si="18"/>
        <v>343.39397825842855</v>
      </c>
      <c r="K47" s="13">
        <f t="shared" si="18"/>
        <v>349.15774380344817</v>
      </c>
      <c r="L47" s="13">
        <f t="shared" si="18"/>
        <v>355.40402347020012</v>
      </c>
      <c r="M47" s="13">
        <f t="shared" si="18"/>
        <v>362.17682480274789</v>
      </c>
      <c r="N47" s="13">
        <f t="shared" si="18"/>
        <v>369.52449244153905</v>
      </c>
      <c r="O47" s="13">
        <f t="shared" si="18"/>
        <v>377.50870424078403</v>
      </c>
    </row>
    <row r="48" spans="1:23" x14ac:dyDescent="0.3">
      <c r="A48" t="s">
        <v>551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>SUM(E47:O47)</f>
        <v>3775.1541923919617</v>
      </c>
    </row>
    <row r="50" spans="1:24" x14ac:dyDescent="0.3">
      <c r="E50">
        <v>2031</v>
      </c>
      <c r="F50">
        <v>2032</v>
      </c>
      <c r="G50">
        <v>2033</v>
      </c>
      <c r="H50">
        <v>2034</v>
      </c>
      <c r="I50">
        <v>2035</v>
      </c>
      <c r="J50">
        <v>2036</v>
      </c>
      <c r="K50">
        <v>2037</v>
      </c>
      <c r="L50">
        <v>2038</v>
      </c>
      <c r="M50">
        <v>2039</v>
      </c>
      <c r="N50">
        <v>2040</v>
      </c>
      <c r="O50">
        <v>2041</v>
      </c>
      <c r="P50">
        <v>2042</v>
      </c>
      <c r="Q50">
        <v>2043</v>
      </c>
      <c r="R50">
        <v>2044</v>
      </c>
      <c r="S50">
        <v>2045</v>
      </c>
      <c r="T50">
        <v>2046</v>
      </c>
      <c r="U50">
        <v>2047</v>
      </c>
      <c r="V50">
        <v>2048</v>
      </c>
      <c r="W50">
        <v>2049</v>
      </c>
      <c r="X50" s="1">
        <v>2050</v>
      </c>
    </row>
    <row r="51" spans="1:24" x14ac:dyDescent="0.3">
      <c r="E51" s="13">
        <f>I46*1.02</f>
        <v>75.192279551192215</v>
      </c>
      <c r="F51" s="13">
        <f t="shared" ref="F51:X51" si="19">E51*1.02</f>
        <v>76.696125142216061</v>
      </c>
      <c r="G51" s="13">
        <f t="shared" si="19"/>
        <v>78.230047645060381</v>
      </c>
      <c r="H51" s="13">
        <f t="shared" si="19"/>
        <v>79.794648597961583</v>
      </c>
      <c r="I51" s="13">
        <f t="shared" si="19"/>
        <v>81.390541569920813</v>
      </c>
      <c r="J51" s="13">
        <f t="shared" si="19"/>
        <v>83.018352401319234</v>
      </c>
      <c r="K51" s="13">
        <f t="shared" si="19"/>
        <v>84.678719449345621</v>
      </c>
      <c r="L51" s="13">
        <f t="shared" si="19"/>
        <v>86.372293838332538</v>
      </c>
      <c r="M51" s="13">
        <f t="shared" si="19"/>
        <v>88.09973971509919</v>
      </c>
      <c r="N51" s="13">
        <f t="shared" si="19"/>
        <v>89.861734509401174</v>
      </c>
      <c r="O51" s="13">
        <f t="shared" si="19"/>
        <v>91.658969199589194</v>
      </c>
      <c r="P51" s="13">
        <f t="shared" si="19"/>
        <v>93.492148583580985</v>
      </c>
      <c r="Q51" s="13">
        <f t="shared" si="19"/>
        <v>95.361991555252601</v>
      </c>
      <c r="R51" s="13">
        <f t="shared" si="19"/>
        <v>97.26923138635766</v>
      </c>
      <c r="S51" s="13">
        <f t="shared" si="19"/>
        <v>99.214616014084811</v>
      </c>
      <c r="T51" s="13">
        <f t="shared" si="19"/>
        <v>101.19890833436651</v>
      </c>
      <c r="U51" s="13">
        <f t="shared" si="19"/>
        <v>103.22288650105384</v>
      </c>
      <c r="V51" s="13">
        <f t="shared" si="19"/>
        <v>105.28734423107491</v>
      </c>
      <c r="W51" s="13">
        <f t="shared" si="19"/>
        <v>107.39309111569641</v>
      </c>
      <c r="X51" s="32">
        <f t="shared" si="19"/>
        <v>109.54095293801034</v>
      </c>
    </row>
    <row r="54" spans="1:24" x14ac:dyDescent="0.3">
      <c r="A54" s="28"/>
      <c r="B54" s="28"/>
      <c r="C54" s="28"/>
    </row>
  </sheetData>
  <hyperlinks>
    <hyperlink ref="P4" r:id="rId1" display="http://elering.ee/public/Infokeskus/Kuukokkuvotted/2012/NPS_Eesti_2012_aasta_kokkuvote.pdf"/>
    <hyperlink ref="P5" r:id="rId2" display="https://www.elektrilevi.ee/hind"/>
    <hyperlink ref="P6" r:id="rId3" display="https://www.elektrilevi.ee/hind"/>
    <hyperlink ref="P7" r:id="rId4" display="https://www.elektrilevi.ee/hind"/>
  </hyperlinks>
  <pageMargins left="0.7" right="0.7" top="0.75" bottom="0.75" header="0.3" footer="0.3"/>
  <pageSetup paperSize="9" orientation="portrait" verticalDpi="0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4"/>
  <sheetViews>
    <sheetView topLeftCell="A22" workbookViewId="0">
      <selection activeCell="L6" sqref="L6"/>
    </sheetView>
  </sheetViews>
  <sheetFormatPr defaultRowHeight="14.4" x14ac:dyDescent="0.3"/>
  <sheetData>
    <row r="2" spans="1:12" x14ac:dyDescent="0.3">
      <c r="A2" t="s">
        <v>516</v>
      </c>
    </row>
    <row r="3" spans="1:12" x14ac:dyDescent="0.3">
      <c r="A3" s="43" t="s">
        <v>1007</v>
      </c>
      <c r="B3" s="43"/>
      <c r="C3" s="43"/>
    </row>
    <row r="4" spans="1:12" x14ac:dyDescent="0.3">
      <c r="A4" t="s">
        <v>517</v>
      </c>
    </row>
    <row r="5" spans="1:12" x14ac:dyDescent="0.3">
      <c r="A5" t="s">
        <v>518</v>
      </c>
      <c r="D5">
        <v>1</v>
      </c>
      <c r="G5" t="s">
        <v>539</v>
      </c>
      <c r="I5" t="s">
        <v>466</v>
      </c>
      <c r="J5">
        <v>2.2999999999999998</v>
      </c>
    </row>
    <row r="6" spans="1:12" x14ac:dyDescent="0.3">
      <c r="A6" t="s">
        <v>519</v>
      </c>
      <c r="D6">
        <v>1</v>
      </c>
      <c r="G6" t="s">
        <v>540</v>
      </c>
      <c r="I6" t="s">
        <v>466</v>
      </c>
      <c r="J6">
        <v>3.8</v>
      </c>
      <c r="L6" t="s">
        <v>1009</v>
      </c>
    </row>
    <row r="7" spans="1:12" x14ac:dyDescent="0.3">
      <c r="A7" t="s">
        <v>520</v>
      </c>
      <c r="D7">
        <v>2700</v>
      </c>
      <c r="G7" t="s">
        <v>538</v>
      </c>
      <c r="J7">
        <v>0.04</v>
      </c>
    </row>
    <row r="8" spans="1:12" x14ac:dyDescent="0.3">
      <c r="A8" t="s">
        <v>521</v>
      </c>
      <c r="D8">
        <v>0.86</v>
      </c>
      <c r="G8" t="s">
        <v>889</v>
      </c>
      <c r="J8">
        <v>2.5000000000000001E-2</v>
      </c>
    </row>
    <row r="9" spans="1:12" x14ac:dyDescent="0.3">
      <c r="A9" t="s">
        <v>522</v>
      </c>
      <c r="D9">
        <v>0.09</v>
      </c>
      <c r="E9" s="13">
        <f>J14*D9</f>
        <v>267.03296703296701</v>
      </c>
      <c r="G9" t="s">
        <v>542</v>
      </c>
      <c r="J9">
        <v>0.1</v>
      </c>
      <c r="L9" t="s">
        <v>543</v>
      </c>
    </row>
    <row r="10" spans="1:12" x14ac:dyDescent="0.3">
      <c r="A10" t="s">
        <v>957</v>
      </c>
      <c r="D10">
        <v>12.5</v>
      </c>
      <c r="G10" t="s">
        <v>545</v>
      </c>
      <c r="J10">
        <v>55</v>
      </c>
      <c r="L10" t="s">
        <v>556</v>
      </c>
    </row>
    <row r="11" spans="1:12" x14ac:dyDescent="0.3">
      <c r="A11" t="s">
        <v>524</v>
      </c>
      <c r="D11">
        <f>D12+D13</f>
        <v>650000</v>
      </c>
      <c r="G11" t="s">
        <v>687</v>
      </c>
      <c r="J11">
        <v>4000</v>
      </c>
    </row>
    <row r="12" spans="1:12" x14ac:dyDescent="0.3">
      <c r="A12" t="s">
        <v>525</v>
      </c>
      <c r="D12">
        <v>350000</v>
      </c>
      <c r="G12" t="s">
        <v>963</v>
      </c>
      <c r="I12" t="s">
        <v>796</v>
      </c>
      <c r="J12">
        <v>30</v>
      </c>
    </row>
    <row r="13" spans="1:12" x14ac:dyDescent="0.3">
      <c r="A13" t="s">
        <v>526</v>
      </c>
      <c r="D13">
        <v>300000</v>
      </c>
      <c r="G13" t="s">
        <v>964</v>
      </c>
      <c r="I13" t="s">
        <v>965</v>
      </c>
      <c r="J13">
        <v>0.38100000000000001</v>
      </c>
    </row>
    <row r="14" spans="1:12" x14ac:dyDescent="0.3">
      <c r="A14" t="s">
        <v>527</v>
      </c>
      <c r="D14">
        <f>(D12+D13)*0.7</f>
        <v>455000</v>
      </c>
      <c r="E14" t="s">
        <v>745</v>
      </c>
      <c r="F14">
        <f>D11-D14</f>
        <v>195000</v>
      </c>
      <c r="G14" t="s">
        <v>972</v>
      </c>
      <c r="I14" t="s">
        <v>490</v>
      </c>
      <c r="J14" s="13">
        <f>D7/(1-0.09)</f>
        <v>2967.032967032967</v>
      </c>
    </row>
    <row r="15" spans="1:12" x14ac:dyDescent="0.3">
      <c r="A15" t="s">
        <v>746</v>
      </c>
      <c r="D15">
        <v>0.05</v>
      </c>
    </row>
    <row r="16" spans="1:12" x14ac:dyDescent="0.3">
      <c r="A16" t="s">
        <v>529</v>
      </c>
      <c r="D16">
        <v>20</v>
      </c>
      <c r="G16" t="s">
        <v>726</v>
      </c>
      <c r="J16">
        <v>0.05</v>
      </c>
      <c r="L16" t="s">
        <v>728</v>
      </c>
    </row>
    <row r="17" spans="1:24" x14ac:dyDescent="0.3">
      <c r="A17" t="s">
        <v>530</v>
      </c>
      <c r="D17">
        <v>2</v>
      </c>
      <c r="G17" t="s">
        <v>727</v>
      </c>
      <c r="J17">
        <f>1/40</f>
        <v>2.5000000000000001E-2</v>
      </c>
    </row>
    <row r="18" spans="1:24" x14ac:dyDescent="0.3">
      <c r="A18" t="s">
        <v>1004</v>
      </c>
      <c r="D18">
        <v>1.4999999999999999E-2</v>
      </c>
      <c r="J18">
        <f>J16*D12+J17*D13</f>
        <v>25000</v>
      </c>
    </row>
    <row r="19" spans="1:24" x14ac:dyDescent="0.3">
      <c r="A19" t="s">
        <v>532</v>
      </c>
      <c r="D19">
        <v>800</v>
      </c>
      <c r="V19" t="s">
        <v>708</v>
      </c>
    </row>
    <row r="20" spans="1:24" x14ac:dyDescent="0.3">
      <c r="A20" t="s">
        <v>533</v>
      </c>
      <c r="D20">
        <v>1.4999999999999999E-2</v>
      </c>
      <c r="V20" t="s">
        <v>709</v>
      </c>
    </row>
    <row r="21" spans="1:24" x14ac:dyDescent="0.3">
      <c r="A21" t="s">
        <v>534</v>
      </c>
      <c r="D21">
        <v>0</v>
      </c>
    </row>
    <row r="22" spans="1:24" x14ac:dyDescent="0.3">
      <c r="E22">
        <v>2014</v>
      </c>
      <c r="F22">
        <v>2015</v>
      </c>
      <c r="G22">
        <v>2016</v>
      </c>
      <c r="H22">
        <v>2017</v>
      </c>
      <c r="I22">
        <v>2018</v>
      </c>
      <c r="J22">
        <v>2019</v>
      </c>
      <c r="K22">
        <v>2020</v>
      </c>
      <c r="L22">
        <v>2021</v>
      </c>
      <c r="M22">
        <v>2022</v>
      </c>
      <c r="N22">
        <v>2023</v>
      </c>
      <c r="O22">
        <v>2024</v>
      </c>
      <c r="P22">
        <v>2025</v>
      </c>
      <c r="Q22">
        <v>2026</v>
      </c>
      <c r="R22">
        <v>2027</v>
      </c>
      <c r="S22">
        <v>2028</v>
      </c>
      <c r="T22">
        <v>2029</v>
      </c>
      <c r="U22">
        <v>2030</v>
      </c>
    </row>
    <row r="23" spans="1:24" x14ac:dyDescent="0.3">
      <c r="A23" t="s">
        <v>1000</v>
      </c>
      <c r="E23" s="13">
        <f>(D7+E9)/D8*D10</f>
        <v>43125.479171990795</v>
      </c>
      <c r="F23" s="13">
        <f t="shared" ref="F23:U23" si="0">E23*1.015</f>
        <v>43772.361359570656</v>
      </c>
      <c r="G23" s="13">
        <f t="shared" si="0"/>
        <v>44428.946779964208</v>
      </c>
      <c r="H23" s="13">
        <f t="shared" si="0"/>
        <v>45095.380981663664</v>
      </c>
      <c r="I23" s="13">
        <f t="shared" si="0"/>
        <v>45771.811696388613</v>
      </c>
      <c r="J23" s="13">
        <f t="shared" si="0"/>
        <v>46458.388871834439</v>
      </c>
      <c r="K23" s="13">
        <f t="shared" si="0"/>
        <v>47155.264704911948</v>
      </c>
      <c r="L23" s="13">
        <f t="shared" si="0"/>
        <v>47862.593675485623</v>
      </c>
      <c r="M23" s="13">
        <f t="shared" si="0"/>
        <v>48580.532580617903</v>
      </c>
      <c r="N23" s="13">
        <f t="shared" si="0"/>
        <v>49309.240569327165</v>
      </c>
      <c r="O23" s="13">
        <f t="shared" si="0"/>
        <v>50048.879177867071</v>
      </c>
      <c r="P23" s="13">
        <f t="shared" si="0"/>
        <v>50799.612365535075</v>
      </c>
      <c r="Q23" s="13">
        <f t="shared" si="0"/>
        <v>51561.606551018092</v>
      </c>
      <c r="R23" s="13">
        <f t="shared" si="0"/>
        <v>52335.030649283355</v>
      </c>
      <c r="S23" s="13">
        <f t="shared" si="0"/>
        <v>53120.056109022604</v>
      </c>
      <c r="T23" s="13">
        <f t="shared" si="0"/>
        <v>53916.856950657937</v>
      </c>
      <c r="U23" s="13">
        <f t="shared" si="0"/>
        <v>54725.609804917804</v>
      </c>
      <c r="V23" s="13"/>
      <c r="W23" s="13">
        <f>(D7+E9)/D8*21.6/D7</f>
        <v>27.600306670074115</v>
      </c>
      <c r="X23" t="s">
        <v>710</v>
      </c>
    </row>
    <row r="24" spans="1:24" x14ac:dyDescent="0.3">
      <c r="A24" t="s">
        <v>544</v>
      </c>
      <c r="E24" s="13">
        <f>D19*1.34*12*D17</f>
        <v>25728</v>
      </c>
      <c r="F24" s="13">
        <f>E24*1.05</f>
        <v>27014.400000000001</v>
      </c>
      <c r="G24" s="13">
        <f t="shared" ref="G24:U25" si="1">F24*1.015</f>
        <v>27419.615999999998</v>
      </c>
      <c r="H24" s="13">
        <f t="shared" si="1"/>
        <v>27830.910239999994</v>
      </c>
      <c r="I24" s="13">
        <f t="shared" si="1"/>
        <v>28248.37389359999</v>
      </c>
      <c r="J24" s="13">
        <f t="shared" si="1"/>
        <v>28672.099502003988</v>
      </c>
      <c r="K24" s="13">
        <f t="shared" si="1"/>
        <v>29102.180994534046</v>
      </c>
      <c r="L24" s="13">
        <f t="shared" si="1"/>
        <v>29538.713709452055</v>
      </c>
      <c r="M24" s="13">
        <f t="shared" si="1"/>
        <v>29981.794415093831</v>
      </c>
      <c r="N24" s="13">
        <f t="shared" si="1"/>
        <v>30431.521331320237</v>
      </c>
      <c r="O24" s="13">
        <f t="shared" si="1"/>
        <v>30887.994151290037</v>
      </c>
      <c r="P24" s="13">
        <f t="shared" si="1"/>
        <v>31351.314063559385</v>
      </c>
      <c r="Q24" s="13">
        <f t="shared" si="1"/>
        <v>31821.583774512772</v>
      </c>
      <c r="R24" s="13">
        <f t="shared" si="1"/>
        <v>32298.907531130459</v>
      </c>
      <c r="S24" s="13">
        <f t="shared" si="1"/>
        <v>32783.391144097412</v>
      </c>
      <c r="T24" s="13">
        <f t="shared" si="1"/>
        <v>33275.142011258868</v>
      </c>
      <c r="U24" s="13">
        <f t="shared" si="1"/>
        <v>33774.269141427751</v>
      </c>
      <c r="V24" s="13"/>
      <c r="W24" s="13"/>
    </row>
    <row r="25" spans="1:24" x14ac:dyDescent="0.3">
      <c r="A25" t="s">
        <v>536</v>
      </c>
      <c r="E25" s="13">
        <f>2.7*(D7+E9)</f>
        <v>8010.9890109890111</v>
      </c>
      <c r="F25" s="13">
        <f>E25*1.015</f>
        <v>8131.1538461538457</v>
      </c>
      <c r="G25" s="13">
        <f t="shared" si="1"/>
        <v>8253.1211538461521</v>
      </c>
      <c r="H25" s="13">
        <f t="shared" si="1"/>
        <v>8376.9179711538436</v>
      </c>
      <c r="I25" s="13">
        <f t="shared" si="1"/>
        <v>8502.5717407211505</v>
      </c>
      <c r="J25" s="13">
        <f t="shared" si="1"/>
        <v>8630.1103168319678</v>
      </c>
      <c r="K25" s="13">
        <f t="shared" si="1"/>
        <v>8759.5619715844459</v>
      </c>
      <c r="L25" s="13">
        <f t="shared" si="1"/>
        <v>8890.9554011582113</v>
      </c>
      <c r="M25" s="13">
        <f t="shared" si="1"/>
        <v>9024.3197321755833</v>
      </c>
      <c r="N25" s="13">
        <f t="shared" si="1"/>
        <v>9159.6845281582155</v>
      </c>
      <c r="O25" s="13">
        <f t="shared" si="1"/>
        <v>9297.0797960805885</v>
      </c>
      <c r="P25" s="13">
        <f t="shared" si="1"/>
        <v>9436.5359930217965</v>
      </c>
      <c r="Q25" s="13">
        <f t="shared" si="1"/>
        <v>9578.0840329171224</v>
      </c>
      <c r="R25" s="13">
        <f t="shared" si="1"/>
        <v>9721.7552934108789</v>
      </c>
      <c r="S25" s="13">
        <f t="shared" si="1"/>
        <v>9867.581622812042</v>
      </c>
      <c r="T25" s="13">
        <f t="shared" si="1"/>
        <v>10015.595347154222</v>
      </c>
      <c r="U25" s="13">
        <f t="shared" si="1"/>
        <v>10165.829277361534</v>
      </c>
      <c r="V25" s="13"/>
      <c r="W25" s="13"/>
    </row>
    <row r="26" spans="1:24" x14ac:dyDescent="0.3">
      <c r="A26" t="s">
        <v>537</v>
      </c>
      <c r="E26" s="13">
        <f>3.8*(D7+E9)</f>
        <v>11274.725274725273</v>
      </c>
      <c r="F26" s="13">
        <f t="shared" ref="F26:U26" si="2">E26*1.1</f>
        <v>12402.197802197801</v>
      </c>
      <c r="G26" s="13">
        <f t="shared" si="2"/>
        <v>13642.417582417582</v>
      </c>
      <c r="H26" s="13">
        <f t="shared" si="2"/>
        <v>15006.659340659342</v>
      </c>
      <c r="I26" s="13">
        <f t="shared" si="2"/>
        <v>16507.325274725277</v>
      </c>
      <c r="J26" s="13">
        <f t="shared" si="2"/>
        <v>18158.057802197807</v>
      </c>
      <c r="K26" s="13">
        <f t="shared" si="2"/>
        <v>19973.863582417591</v>
      </c>
      <c r="L26" s="13">
        <f t="shared" si="2"/>
        <v>21971.249940659352</v>
      </c>
      <c r="M26" s="13">
        <f t="shared" si="2"/>
        <v>24168.374934725289</v>
      </c>
      <c r="N26" s="13">
        <f t="shared" si="2"/>
        <v>26585.212428197821</v>
      </c>
      <c r="O26" s="13">
        <f t="shared" si="2"/>
        <v>29243.733671017606</v>
      </c>
      <c r="P26" s="13">
        <f t="shared" si="2"/>
        <v>32168.107038119368</v>
      </c>
      <c r="Q26" s="13">
        <f t="shared" si="2"/>
        <v>35384.917741931305</v>
      </c>
      <c r="R26" s="13">
        <f t="shared" si="2"/>
        <v>38923.40951612444</v>
      </c>
      <c r="S26" s="13">
        <f t="shared" si="2"/>
        <v>42815.750467736885</v>
      </c>
      <c r="T26" s="13">
        <f t="shared" si="2"/>
        <v>47097.32551451058</v>
      </c>
      <c r="U26" s="13">
        <f t="shared" si="2"/>
        <v>51807.058065961639</v>
      </c>
      <c r="V26" s="13"/>
      <c r="W26" s="13"/>
    </row>
    <row r="27" spans="1:24" x14ac:dyDescent="0.3">
      <c r="A27" t="s">
        <v>546</v>
      </c>
      <c r="E27" s="13">
        <f>SUM(E23:E26)*J7</f>
        <v>3525.5677383082034</v>
      </c>
      <c r="F27" s="13">
        <f>SUM(F23:F26)*J7</f>
        <v>3652.8045203168922</v>
      </c>
      <c r="G27" s="13">
        <f>SUM(G23:G26)*J7</f>
        <v>3749.7640606491177</v>
      </c>
      <c r="H27" s="13">
        <f>SUM(H23:H26)*J7</f>
        <v>3852.3947413390742</v>
      </c>
      <c r="I27" s="13">
        <f>SUM(I23:I26)*J7</f>
        <v>3961.2033042174007</v>
      </c>
      <c r="J27" s="13">
        <f>SUM(J23:J26)*J7</f>
        <v>4076.7462597147282</v>
      </c>
      <c r="K27" s="13">
        <f>SUM(K23:K26)*J7</f>
        <v>4199.6348501379216</v>
      </c>
      <c r="L27" s="13">
        <f>SUM(L23:L26)*J7</f>
        <v>4330.5405090702097</v>
      </c>
      <c r="M27" s="13">
        <f>SUM(M23:M26)*J7</f>
        <v>4470.2008665045041</v>
      </c>
      <c r="N27" s="13">
        <f>SUM(N23:N26)*J7</f>
        <v>4619.4263542801373</v>
      </c>
      <c r="O27" s="13">
        <f>SUM(O23:O26)*J7</f>
        <v>4779.1074718502123</v>
      </c>
      <c r="P27" s="13">
        <f>SUM(P23:P26)*J7</f>
        <v>4950.2227784094248</v>
      </c>
      <c r="Q27" s="13">
        <f>SUM(Q23:Q26)*J7</f>
        <v>5133.8476840151716</v>
      </c>
      <c r="R27" s="13">
        <f>SUM(R23:R26)*J7</f>
        <v>5331.1641195979655</v>
      </c>
      <c r="S27" s="13">
        <f>SUM(S23:S26)*J7</f>
        <v>5543.4711737467578</v>
      </c>
      <c r="T27" s="13">
        <f>SUM(T23:T26)*0.04</f>
        <v>5772.196792943264</v>
      </c>
      <c r="U27" s="13">
        <f>SUM(U23:U26)*0.04</f>
        <v>6018.9106515867497</v>
      </c>
      <c r="V27" s="13"/>
      <c r="W27" s="13"/>
    </row>
    <row r="28" spans="1:24" x14ac:dyDescent="0.3">
      <c r="A28" t="s">
        <v>731</v>
      </c>
      <c r="E28" s="13">
        <f t="shared" ref="E28:U28" si="3">SUM(E23:E27)+E54</f>
        <v>131098.69935088168</v>
      </c>
      <c r="F28" s="13">
        <f t="shared" si="3"/>
        <v>134406.85568310757</v>
      </c>
      <c r="G28" s="13">
        <f t="shared" si="3"/>
        <v>136927.80373174546</v>
      </c>
      <c r="H28" s="13">
        <f t="shared" si="3"/>
        <v>139596.2014296843</v>
      </c>
      <c r="I28" s="13">
        <f t="shared" si="3"/>
        <v>142425.22406452079</v>
      </c>
      <c r="J28" s="13">
        <f t="shared" si="3"/>
        <v>145429.34090745132</v>
      </c>
      <c r="K28" s="13">
        <f t="shared" si="3"/>
        <v>148624.44425845434</v>
      </c>
      <c r="L28" s="13">
        <f t="shared" si="3"/>
        <v>152027.99139069385</v>
      </c>
      <c r="M28" s="13">
        <f t="shared" si="3"/>
        <v>155659.16068398551</v>
      </c>
      <c r="N28" s="13">
        <f t="shared" si="3"/>
        <v>159539.02336615196</v>
      </c>
      <c r="O28" s="13">
        <f t="shared" si="3"/>
        <v>163690.7324229739</v>
      </c>
      <c r="P28" s="13">
        <f t="shared" si="3"/>
        <v>168139.73039351346</v>
      </c>
      <c r="Q28" s="13">
        <f t="shared" si="3"/>
        <v>172913.97793926287</v>
      </c>
      <c r="R28" s="13">
        <f t="shared" si="3"/>
        <v>178044.20526441548</v>
      </c>
      <c r="S28" s="13">
        <f t="shared" si="3"/>
        <v>183564.18867228407</v>
      </c>
      <c r="T28" s="13">
        <f t="shared" si="3"/>
        <v>189511.05477139325</v>
      </c>
      <c r="U28" s="13">
        <f t="shared" si="3"/>
        <v>195925.61509612389</v>
      </c>
      <c r="V28" s="13"/>
      <c r="W28" s="13"/>
    </row>
    <row r="29" spans="1:24" x14ac:dyDescent="0.3">
      <c r="A29" t="s">
        <v>547</v>
      </c>
      <c r="E29" s="13">
        <f>(J16*D12+D13*J17)</f>
        <v>25000</v>
      </c>
      <c r="F29" s="13">
        <f>$J$16*$D$12+$J$17*$D$13</f>
        <v>25000</v>
      </c>
      <c r="G29" s="13">
        <f t="shared" ref="G29:U29" si="4">$J$16*$D$12+$J$17*$D$13</f>
        <v>25000</v>
      </c>
      <c r="H29" s="13">
        <f t="shared" si="4"/>
        <v>25000</v>
      </c>
      <c r="I29" s="13">
        <f t="shared" si="4"/>
        <v>25000</v>
      </c>
      <c r="J29" s="13">
        <f t="shared" si="4"/>
        <v>25000</v>
      </c>
      <c r="K29" s="13">
        <f t="shared" si="4"/>
        <v>25000</v>
      </c>
      <c r="L29" s="13">
        <f t="shared" si="4"/>
        <v>25000</v>
      </c>
      <c r="M29" s="13">
        <f t="shared" si="4"/>
        <v>25000</v>
      </c>
      <c r="N29" s="13">
        <f t="shared" si="4"/>
        <v>25000</v>
      </c>
      <c r="O29" s="13">
        <f t="shared" si="4"/>
        <v>25000</v>
      </c>
      <c r="P29" s="13">
        <f t="shared" si="4"/>
        <v>25000</v>
      </c>
      <c r="Q29" s="13">
        <f t="shared" si="4"/>
        <v>25000</v>
      </c>
      <c r="R29" s="13">
        <f t="shared" si="4"/>
        <v>25000</v>
      </c>
      <c r="S29" s="13">
        <f t="shared" si="4"/>
        <v>25000</v>
      </c>
      <c r="T29" s="13">
        <f t="shared" si="4"/>
        <v>25000</v>
      </c>
      <c r="U29" s="13">
        <f t="shared" si="4"/>
        <v>25000</v>
      </c>
      <c r="V29" s="13"/>
      <c r="W29" s="13"/>
    </row>
    <row r="30" spans="1:24" x14ac:dyDescent="0.3">
      <c r="A30" t="s">
        <v>730</v>
      </c>
      <c r="E30" s="13">
        <f>$D$14/10</f>
        <v>45500</v>
      </c>
      <c r="F30" s="13">
        <f>$D$14/10</f>
        <v>45500</v>
      </c>
      <c r="G30" s="13">
        <f t="shared" ref="G30:N30" si="5">$D$14/10</f>
        <v>45500</v>
      </c>
      <c r="H30" s="13">
        <f t="shared" si="5"/>
        <v>45500</v>
      </c>
      <c r="I30" s="13">
        <f t="shared" si="5"/>
        <v>45500</v>
      </c>
      <c r="J30" s="13">
        <f t="shared" si="5"/>
        <v>45500</v>
      </c>
      <c r="K30" s="13">
        <f t="shared" si="5"/>
        <v>45500</v>
      </c>
      <c r="L30" s="13">
        <f t="shared" si="5"/>
        <v>45500</v>
      </c>
      <c r="M30" s="13">
        <f t="shared" si="5"/>
        <v>45500</v>
      </c>
      <c r="N30" s="13">
        <f t="shared" si="5"/>
        <v>45500</v>
      </c>
      <c r="O30" s="13">
        <f>D14-SUM(E30:N30)</f>
        <v>0</v>
      </c>
      <c r="P30" s="13"/>
      <c r="Q30" s="13"/>
      <c r="R30" s="13"/>
      <c r="S30" s="13"/>
      <c r="T30" s="13"/>
      <c r="U30" s="13"/>
      <c r="V30" s="13"/>
      <c r="W30" s="13"/>
    </row>
    <row r="31" spans="1:24" x14ac:dyDescent="0.3">
      <c r="A31" t="s">
        <v>732</v>
      </c>
      <c r="E31" s="13">
        <f>$D$14-E30</f>
        <v>409500</v>
      </c>
      <c r="F31" s="13">
        <f>E31-F30</f>
        <v>364000</v>
      </c>
      <c r="G31" s="13">
        <f t="shared" ref="G31:O31" si="6">F31-G30</f>
        <v>318500</v>
      </c>
      <c r="H31" s="13">
        <f t="shared" si="6"/>
        <v>273000</v>
      </c>
      <c r="I31" s="13">
        <f t="shared" si="6"/>
        <v>227500</v>
      </c>
      <c r="J31" s="13">
        <f t="shared" si="6"/>
        <v>182000</v>
      </c>
      <c r="K31" s="13">
        <f t="shared" si="6"/>
        <v>136500</v>
      </c>
      <c r="L31" s="13">
        <f t="shared" si="6"/>
        <v>91000</v>
      </c>
      <c r="M31" s="13">
        <f t="shared" si="6"/>
        <v>45500</v>
      </c>
      <c r="N31" s="13">
        <f t="shared" si="6"/>
        <v>0</v>
      </c>
      <c r="O31" s="13">
        <f t="shared" si="6"/>
        <v>0</v>
      </c>
      <c r="P31" s="13"/>
      <c r="Q31" s="13"/>
      <c r="R31" s="13"/>
      <c r="S31" s="13"/>
      <c r="T31" s="13"/>
      <c r="U31" s="13"/>
      <c r="V31" s="13"/>
      <c r="W31" s="13"/>
    </row>
    <row r="32" spans="1:24" x14ac:dyDescent="0.3">
      <c r="A32" t="s">
        <v>733</v>
      </c>
      <c r="E32" s="13">
        <f>E31*$D$15</f>
        <v>20475</v>
      </c>
      <c r="F32" s="13">
        <f t="shared" ref="F32:O32" si="7">F31*$D$15</f>
        <v>18200</v>
      </c>
      <c r="G32" s="13">
        <f t="shared" si="7"/>
        <v>15925</v>
      </c>
      <c r="H32" s="13">
        <f t="shared" si="7"/>
        <v>13650</v>
      </c>
      <c r="I32" s="13">
        <f t="shared" si="7"/>
        <v>11375</v>
      </c>
      <c r="J32" s="13">
        <f t="shared" si="7"/>
        <v>9100</v>
      </c>
      <c r="K32" s="13">
        <f t="shared" si="7"/>
        <v>6825</v>
      </c>
      <c r="L32" s="13">
        <f t="shared" si="7"/>
        <v>4550</v>
      </c>
      <c r="M32" s="13">
        <f t="shared" si="7"/>
        <v>2275</v>
      </c>
      <c r="N32" s="13">
        <f t="shared" si="7"/>
        <v>0</v>
      </c>
      <c r="O32" s="13">
        <f t="shared" si="7"/>
        <v>0</v>
      </c>
      <c r="P32" s="13"/>
      <c r="Q32" s="13"/>
      <c r="R32" s="13"/>
      <c r="S32" s="13"/>
      <c r="T32" s="13"/>
      <c r="U32" s="13"/>
      <c r="V32" s="13"/>
      <c r="W32" s="13"/>
    </row>
    <row r="33" spans="1:23" x14ac:dyDescent="0.3">
      <c r="A33" t="s">
        <v>734</v>
      </c>
      <c r="E33" s="13">
        <f>E28+E29+E32</f>
        <v>176573.69935088168</v>
      </c>
      <c r="F33" s="13">
        <f t="shared" ref="F33:U33" si="8">F28+F29+F32</f>
        <v>177606.85568310757</v>
      </c>
      <c r="G33" s="13">
        <f t="shared" si="8"/>
        <v>177852.80373174546</v>
      </c>
      <c r="H33" s="13">
        <f t="shared" si="8"/>
        <v>178246.2014296843</v>
      </c>
      <c r="I33" s="13">
        <f t="shared" si="8"/>
        <v>178800.22406452079</v>
      </c>
      <c r="J33" s="13">
        <f t="shared" si="8"/>
        <v>179529.34090745132</v>
      </c>
      <c r="K33" s="13">
        <f t="shared" si="8"/>
        <v>180449.44425845434</v>
      </c>
      <c r="L33" s="13">
        <f t="shared" si="8"/>
        <v>181577.99139069385</v>
      </c>
      <c r="M33" s="13">
        <f t="shared" si="8"/>
        <v>182934.16068398551</v>
      </c>
      <c r="N33" s="13">
        <f t="shared" si="8"/>
        <v>184539.02336615196</v>
      </c>
      <c r="O33" s="13">
        <f t="shared" si="8"/>
        <v>188690.7324229739</v>
      </c>
      <c r="P33" s="13">
        <f>P28+P29+P32</f>
        <v>193139.73039351346</v>
      </c>
      <c r="Q33" s="13">
        <f t="shared" si="8"/>
        <v>197913.97793926287</v>
      </c>
      <c r="R33" s="13">
        <f t="shared" si="8"/>
        <v>203044.20526441548</v>
      </c>
      <c r="S33" s="13">
        <f t="shared" si="8"/>
        <v>208564.18867228407</v>
      </c>
      <c r="T33" s="13">
        <f t="shared" si="8"/>
        <v>214511.05477139325</v>
      </c>
      <c r="U33" s="13">
        <f t="shared" si="8"/>
        <v>220925.61509612389</v>
      </c>
      <c r="V33" s="13"/>
      <c r="W33" s="13"/>
    </row>
    <row r="34" spans="1:23" x14ac:dyDescent="0.3">
      <c r="A34" t="s">
        <v>736</v>
      </c>
      <c r="E34" s="13">
        <f>E33/$D$7</f>
        <v>65.397666426252471</v>
      </c>
      <c r="F34" s="13">
        <f t="shared" ref="F34:U34" si="9">F33/$D$7</f>
        <v>65.780316919669474</v>
      </c>
      <c r="G34" s="13">
        <f t="shared" si="9"/>
        <v>65.871408789535352</v>
      </c>
      <c r="H34" s="13">
        <f t="shared" si="9"/>
        <v>66.01711164062381</v>
      </c>
      <c r="I34" s="13">
        <f t="shared" si="9"/>
        <v>66.222305209081782</v>
      </c>
      <c r="J34" s="13">
        <f t="shared" si="9"/>
        <v>66.492348484241234</v>
      </c>
      <c r="K34" s="13">
        <f t="shared" si="9"/>
        <v>66.833127503131237</v>
      </c>
      <c r="L34" s="13">
        <f t="shared" si="9"/>
        <v>67.251107922479207</v>
      </c>
      <c r="M34" s="13">
        <f t="shared" si="9"/>
        <v>67.753392845920558</v>
      </c>
      <c r="N34" s="13">
        <f t="shared" si="9"/>
        <v>68.347786431908133</v>
      </c>
      <c r="O34" s="13">
        <f t="shared" si="9"/>
        <v>69.885456452953292</v>
      </c>
      <c r="P34" s="13">
        <f t="shared" si="9"/>
        <v>71.533233479079058</v>
      </c>
      <c r="Q34" s="13">
        <f t="shared" si="9"/>
        <v>73.301473310838105</v>
      </c>
      <c r="R34" s="13">
        <f t="shared" si="9"/>
        <v>75.201557505339068</v>
      </c>
      <c r="S34" s="13">
        <f t="shared" si="9"/>
        <v>77.245995804549651</v>
      </c>
      <c r="T34" s="13">
        <f t="shared" si="9"/>
        <v>79.448538804219723</v>
      </c>
      <c r="U34" s="13">
        <f t="shared" si="9"/>
        <v>81.824301887453288</v>
      </c>
      <c r="V34" s="13"/>
      <c r="W34" s="13"/>
    </row>
    <row r="35" spans="1:23" x14ac:dyDescent="0.3">
      <c r="A35" t="s">
        <v>740</v>
      </c>
      <c r="E35" s="13">
        <f>E42-E28-E32</f>
        <v>15826.300649118319</v>
      </c>
      <c r="F35" s="13">
        <f t="shared" ref="F35:U35" si="10">F42-F28-F32</f>
        <v>18978.144316892431</v>
      </c>
      <c r="G35" s="13">
        <f t="shared" si="10"/>
        <v>23021.821268254513</v>
      </c>
      <c r="H35" s="13">
        <f t="shared" si="10"/>
        <v>27025.28919531565</v>
      </c>
      <c r="I35" s="13">
        <f t="shared" si="10"/>
        <v>30978.053826104151</v>
      </c>
      <c r="J35" s="13">
        <f t="shared" si="10"/>
        <v>34868.393930439226</v>
      </c>
      <c r="K35" s="13">
        <f t="shared" si="10"/>
        <v>38683.233950383466</v>
      </c>
      <c r="L35" s="13">
        <f t="shared" si="10"/>
        <v>42408.003773364908</v>
      </c>
      <c r="M35" s="13">
        <f t="shared" si="10"/>
        <v>46026.484359174676</v>
      </c>
      <c r="N35" s="13">
        <f t="shared" si="10"/>
        <v>49520.637803087186</v>
      </c>
      <c r="O35" s="13">
        <f t="shared" si="10"/>
        <v>50595.420275496203</v>
      </c>
      <c r="P35" s="13">
        <f t="shared" si="10"/>
        <v>51503.576122418395</v>
      </c>
      <c r="Q35" s="13">
        <f t="shared" si="10"/>
        <v>52220.411239567271</v>
      </c>
      <c r="R35" s="13">
        <f t="shared" si="10"/>
        <v>52718.543643885379</v>
      </c>
      <c r="S35" s="13">
        <f t="shared" si="10"/>
        <v>52967.628958724294</v>
      </c>
      <c r="T35" s="13">
        <f t="shared" si="10"/>
        <v>52934.058300390287</v>
      </c>
      <c r="U35" s="13">
        <f t="shared" si="10"/>
        <v>52580.625802454219</v>
      </c>
      <c r="V35" s="13"/>
      <c r="W35" s="13"/>
    </row>
    <row r="36" spans="1:23" x14ac:dyDescent="0.3">
      <c r="A36" t="s">
        <v>741</v>
      </c>
      <c r="E36" s="13">
        <f>E42-E33</f>
        <v>-9173.6993508816813</v>
      </c>
      <c r="F36" s="13">
        <f t="shared" ref="F36:U36" si="11">F42-F33</f>
        <v>-6021.8556831075693</v>
      </c>
      <c r="G36" s="13">
        <f t="shared" si="11"/>
        <v>-1978.1787317454873</v>
      </c>
      <c r="H36" s="13">
        <f t="shared" si="11"/>
        <v>2025.2891953156504</v>
      </c>
      <c r="I36" s="13">
        <f t="shared" si="11"/>
        <v>5978.0538261041511</v>
      </c>
      <c r="J36" s="13">
        <f t="shared" si="11"/>
        <v>9868.3939304392261</v>
      </c>
      <c r="K36" s="13">
        <f t="shared" si="11"/>
        <v>13683.233950383466</v>
      </c>
      <c r="L36" s="13">
        <f t="shared" si="11"/>
        <v>17408.003773364908</v>
      </c>
      <c r="M36" s="13">
        <f t="shared" si="11"/>
        <v>21026.484359174676</v>
      </c>
      <c r="N36" s="13">
        <f t="shared" si="11"/>
        <v>24520.637803087186</v>
      </c>
      <c r="O36" s="13">
        <f t="shared" si="11"/>
        <v>25595.420275496203</v>
      </c>
      <c r="P36" s="13">
        <f t="shared" si="11"/>
        <v>26503.576122418395</v>
      </c>
      <c r="Q36" s="13">
        <f t="shared" si="11"/>
        <v>27220.411239567271</v>
      </c>
      <c r="R36" s="13">
        <f t="shared" si="11"/>
        <v>27718.543643885379</v>
      </c>
      <c r="S36" s="13">
        <f t="shared" si="11"/>
        <v>27967.628958724294</v>
      </c>
      <c r="T36" s="13">
        <f t="shared" si="11"/>
        <v>27934.058300390287</v>
      </c>
      <c r="U36" s="13">
        <f t="shared" si="11"/>
        <v>27580.625802454219</v>
      </c>
      <c r="V36" s="13"/>
      <c r="W36" s="13"/>
    </row>
    <row r="37" spans="1:23" x14ac:dyDescent="0.3">
      <c r="A37" t="s">
        <v>739</v>
      </c>
      <c r="E37" s="13">
        <f>D14-D11+E35+E29-E30+F14</f>
        <v>-4673.6993508816813</v>
      </c>
      <c r="F37" s="13">
        <f>F35+F29-F30</f>
        <v>-1521.8556831075693</v>
      </c>
      <c r="G37" s="13">
        <f t="shared" ref="G37:U37" si="12">G35+G29-G30</f>
        <v>2521.8212682545127</v>
      </c>
      <c r="H37" s="13">
        <f t="shared" si="12"/>
        <v>6525.2891953156504</v>
      </c>
      <c r="I37" s="13">
        <f t="shared" si="12"/>
        <v>10478.053826104151</v>
      </c>
      <c r="J37" s="13">
        <f t="shared" si="12"/>
        <v>14368.393930439226</v>
      </c>
      <c r="K37" s="13">
        <f t="shared" si="12"/>
        <v>18183.233950383466</v>
      </c>
      <c r="L37" s="13">
        <f t="shared" si="12"/>
        <v>21908.003773364908</v>
      </c>
      <c r="M37" s="13">
        <f t="shared" si="12"/>
        <v>25526.484359174676</v>
      </c>
      <c r="N37" s="13">
        <f t="shared" si="12"/>
        <v>29020.637803087186</v>
      </c>
      <c r="O37" s="13">
        <f t="shared" si="12"/>
        <v>75595.420275496203</v>
      </c>
      <c r="P37" s="13">
        <f t="shared" si="12"/>
        <v>76503.576122418395</v>
      </c>
      <c r="Q37" s="13">
        <f t="shared" si="12"/>
        <v>77220.411239567271</v>
      </c>
      <c r="R37" s="13">
        <f t="shared" si="12"/>
        <v>77718.543643885379</v>
      </c>
      <c r="S37" s="13">
        <f t="shared" si="12"/>
        <v>77967.628958724294</v>
      </c>
      <c r="T37" s="13">
        <f t="shared" si="12"/>
        <v>77934.058300390287</v>
      </c>
      <c r="U37" s="13">
        <f t="shared" si="12"/>
        <v>77580.625802454219</v>
      </c>
      <c r="V37" s="13"/>
      <c r="W37" s="13"/>
    </row>
    <row r="38" spans="1:23" ht="15" thickBot="1" x14ac:dyDescent="0.35">
      <c r="A38" t="s">
        <v>742</v>
      </c>
      <c r="E38" s="13">
        <f>D38+E37</f>
        <v>-4673.6993508816813</v>
      </c>
      <c r="F38" s="13">
        <f t="shared" ref="F38:U38" si="13">E38+F37</f>
        <v>-6195.5550339892507</v>
      </c>
      <c r="G38" s="13">
        <f t="shared" si="13"/>
        <v>-3673.733765734738</v>
      </c>
      <c r="H38" s="13">
        <f t="shared" si="13"/>
        <v>2851.5554295809125</v>
      </c>
      <c r="I38" s="13">
        <f t="shared" si="13"/>
        <v>13329.609255685064</v>
      </c>
      <c r="J38" s="13">
        <f t="shared" si="13"/>
        <v>27698.00318612429</v>
      </c>
      <c r="K38" s="13">
        <f t="shared" si="13"/>
        <v>45881.237136507756</v>
      </c>
      <c r="L38" s="13">
        <f t="shared" si="13"/>
        <v>67789.240909872664</v>
      </c>
      <c r="M38" s="13">
        <f t="shared" si="13"/>
        <v>93315.72526904734</v>
      </c>
      <c r="N38" s="13">
        <f t="shared" si="13"/>
        <v>122336.36307213453</v>
      </c>
      <c r="O38" s="13">
        <f t="shared" si="13"/>
        <v>197931.78334763073</v>
      </c>
      <c r="P38" s="13">
        <f t="shared" si="13"/>
        <v>274435.35947004915</v>
      </c>
      <c r="Q38" s="13">
        <f t="shared" si="13"/>
        <v>351655.77070961642</v>
      </c>
      <c r="R38" s="13">
        <f t="shared" si="13"/>
        <v>429374.31435350177</v>
      </c>
      <c r="S38" s="13">
        <f t="shared" si="13"/>
        <v>507341.9433122261</v>
      </c>
      <c r="T38" s="13">
        <f t="shared" si="13"/>
        <v>585276.00161261635</v>
      </c>
      <c r="U38" s="13">
        <f t="shared" si="13"/>
        <v>662856.62741507054</v>
      </c>
      <c r="V38" s="13"/>
      <c r="W38" s="13"/>
    </row>
    <row r="39" spans="1:23" ht="15" thickBot="1" x14ac:dyDescent="0.35">
      <c r="A39" t="s">
        <v>743</v>
      </c>
      <c r="B39" s="69">
        <f>NPV(E39,E37:V37)-F14</f>
        <v>6707.4964046416862</v>
      </c>
      <c r="E39" s="97">
        <v>0.1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3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3">
      <c r="A41" t="s">
        <v>735</v>
      </c>
      <c r="D41">
        <v>0</v>
      </c>
      <c r="E41" s="13">
        <f>D12+D13</f>
        <v>650000</v>
      </c>
      <c r="F41" s="13">
        <f>E41-$D$12*$J$16-$J$17*$D$13</f>
        <v>625000</v>
      </c>
      <c r="G41" s="13">
        <f t="shared" ref="G41:U41" si="14">F41-$D$12*$J$16-$J$17*$D$13</f>
        <v>600000</v>
      </c>
      <c r="H41" s="13">
        <f t="shared" si="14"/>
        <v>575000</v>
      </c>
      <c r="I41" s="13">
        <f t="shared" si="14"/>
        <v>550000</v>
      </c>
      <c r="J41" s="13">
        <f t="shared" si="14"/>
        <v>525000</v>
      </c>
      <c r="K41" s="13">
        <f t="shared" si="14"/>
        <v>500000</v>
      </c>
      <c r="L41" s="13">
        <f t="shared" si="14"/>
        <v>475000</v>
      </c>
      <c r="M41" s="13">
        <f t="shared" si="14"/>
        <v>450000</v>
      </c>
      <c r="N41" s="13">
        <f t="shared" si="14"/>
        <v>425000</v>
      </c>
      <c r="O41" s="13">
        <f t="shared" si="14"/>
        <v>400000</v>
      </c>
      <c r="P41" s="13">
        <f t="shared" si="14"/>
        <v>375000</v>
      </c>
      <c r="Q41" s="13">
        <f t="shared" si="14"/>
        <v>350000</v>
      </c>
      <c r="R41" s="13">
        <f t="shared" si="14"/>
        <v>325000</v>
      </c>
      <c r="S41" s="13">
        <f t="shared" si="14"/>
        <v>300000</v>
      </c>
      <c r="T41" s="13">
        <f t="shared" si="14"/>
        <v>275000</v>
      </c>
      <c r="U41" s="13">
        <f t="shared" si="14"/>
        <v>250000</v>
      </c>
      <c r="V41" s="13"/>
      <c r="W41" s="13"/>
    </row>
    <row r="42" spans="1:23" x14ac:dyDescent="0.3">
      <c r="A42" t="s">
        <v>549</v>
      </c>
      <c r="E42" s="13">
        <f>E45</f>
        <v>167400</v>
      </c>
      <c r="F42" s="13">
        <f>F46*D7</f>
        <v>171585</v>
      </c>
      <c r="G42" s="13">
        <f>G46*D7</f>
        <v>175874.62499999997</v>
      </c>
      <c r="H42" s="13">
        <f>H46*D7</f>
        <v>180271.49062499995</v>
      </c>
      <c r="I42" s="13">
        <f>I46*D7</f>
        <v>184778.27789062494</v>
      </c>
      <c r="J42" s="13">
        <f>J46*D7</f>
        <v>189397.73483789054</v>
      </c>
      <c r="K42" s="13">
        <f>K46*D7</f>
        <v>194132.67820883781</v>
      </c>
      <c r="L42" s="13">
        <f>L46*D7</f>
        <v>198985.99516405875</v>
      </c>
      <c r="M42" s="13">
        <f>M46*D7</f>
        <v>203960.64504316018</v>
      </c>
      <c r="N42" s="13">
        <f>N46*D7</f>
        <v>209059.66116923915</v>
      </c>
      <c r="O42" s="13">
        <f>O46*D7</f>
        <v>214286.1526984701</v>
      </c>
      <c r="P42" s="13">
        <f>P46*D7</f>
        <v>219643.30651593185</v>
      </c>
      <c r="Q42" s="13">
        <f>Q46*D7</f>
        <v>225134.38917883014</v>
      </c>
      <c r="R42" s="13">
        <f>R46*D7</f>
        <v>230762.74890830085</v>
      </c>
      <c r="S42" s="13">
        <f>S46*D7</f>
        <v>236531.81763100837</v>
      </c>
      <c r="T42" s="13">
        <f>T46*D7</f>
        <v>242445.11307178353</v>
      </c>
      <c r="U42" s="13">
        <f>U46*D7</f>
        <v>248506.24089857811</v>
      </c>
      <c r="V42" s="13"/>
      <c r="W42" s="13"/>
    </row>
    <row r="43" spans="1:23" x14ac:dyDescent="0.3">
      <c r="A43" t="s">
        <v>729</v>
      </c>
      <c r="E43" s="13">
        <f>(E41+D41)/2+E33*0.05</f>
        <v>333828.6849675441</v>
      </c>
      <c r="F43" s="13">
        <f t="shared" ref="F43:U43" si="15">(F41+E41)/2+F33*0.05</f>
        <v>646380.34278415539</v>
      </c>
      <c r="G43" s="13">
        <f t="shared" si="15"/>
        <v>621392.64018658723</v>
      </c>
      <c r="H43" s="13">
        <f t="shared" si="15"/>
        <v>596412.31007148419</v>
      </c>
      <c r="I43" s="13">
        <f t="shared" si="15"/>
        <v>571440.01120322605</v>
      </c>
      <c r="J43" s="13">
        <f t="shared" si="15"/>
        <v>546476.46704537258</v>
      </c>
      <c r="K43" s="13">
        <f t="shared" si="15"/>
        <v>521522.4722129227</v>
      </c>
      <c r="L43" s="13">
        <f t="shared" si="15"/>
        <v>496578.8995695347</v>
      </c>
      <c r="M43" s="13">
        <f t="shared" si="15"/>
        <v>471646.70803419926</v>
      </c>
      <c r="N43" s="13">
        <f t="shared" si="15"/>
        <v>446726.95116830757</v>
      </c>
      <c r="O43" s="13">
        <f t="shared" si="15"/>
        <v>421934.5366211487</v>
      </c>
      <c r="P43" s="13">
        <f t="shared" si="15"/>
        <v>397156.9865196757</v>
      </c>
      <c r="Q43" s="13">
        <f t="shared" si="15"/>
        <v>372395.69889696315</v>
      </c>
      <c r="R43" s="13">
        <f t="shared" si="15"/>
        <v>347652.21026322077</v>
      </c>
      <c r="S43" s="13">
        <f t="shared" si="15"/>
        <v>322928.20943361422</v>
      </c>
      <c r="T43" s="13">
        <f t="shared" si="15"/>
        <v>298225.55273856968</v>
      </c>
      <c r="U43" s="13">
        <f t="shared" si="15"/>
        <v>273546.28075480618</v>
      </c>
      <c r="V43" s="13"/>
      <c r="W43" s="13"/>
    </row>
    <row r="44" spans="1:23" x14ac:dyDescent="0.3">
      <c r="A44" t="s">
        <v>744</v>
      </c>
      <c r="D44">
        <f>D21</f>
        <v>0</v>
      </c>
      <c r="E44" s="13">
        <f>E43*$D$21</f>
        <v>0</v>
      </c>
      <c r="F44" s="13">
        <f t="shared" ref="F44:U44" si="16">F43*$D$21</f>
        <v>0</v>
      </c>
      <c r="G44" s="13">
        <f t="shared" si="16"/>
        <v>0</v>
      </c>
      <c r="H44" s="13">
        <f t="shared" si="16"/>
        <v>0</v>
      </c>
      <c r="I44" s="13">
        <f t="shared" si="16"/>
        <v>0</v>
      </c>
      <c r="J44" s="13">
        <f t="shared" si="16"/>
        <v>0</v>
      </c>
      <c r="K44" s="13">
        <f t="shared" si="16"/>
        <v>0</v>
      </c>
      <c r="L44" s="13">
        <f t="shared" si="16"/>
        <v>0</v>
      </c>
      <c r="M44" s="13">
        <f t="shared" si="16"/>
        <v>0</v>
      </c>
      <c r="N44" s="13">
        <f t="shared" si="16"/>
        <v>0</v>
      </c>
      <c r="O44" s="13">
        <f t="shared" si="16"/>
        <v>0</v>
      </c>
      <c r="P44" s="13">
        <f t="shared" si="16"/>
        <v>0</v>
      </c>
      <c r="Q44" s="13">
        <f t="shared" si="16"/>
        <v>0</v>
      </c>
      <c r="R44" s="13">
        <f t="shared" si="16"/>
        <v>0</v>
      </c>
      <c r="S44" s="13">
        <f t="shared" si="16"/>
        <v>0</v>
      </c>
      <c r="T44" s="13">
        <f t="shared" si="16"/>
        <v>0</v>
      </c>
      <c r="U44" s="13">
        <f t="shared" si="16"/>
        <v>0</v>
      </c>
      <c r="V44" s="13"/>
      <c r="W44" s="13"/>
    </row>
    <row r="45" spans="1:23" x14ac:dyDescent="0.3">
      <c r="A45" t="s">
        <v>549</v>
      </c>
      <c r="E45" s="13">
        <f>E46*$D$7</f>
        <v>167400</v>
      </c>
      <c r="F45" s="13">
        <f t="shared" ref="F45:U45" si="17">F46*$D$7</f>
        <v>171585</v>
      </c>
      <c r="G45" s="13">
        <f t="shared" si="17"/>
        <v>175874.62499999997</v>
      </c>
      <c r="H45" s="13">
        <f t="shared" si="17"/>
        <v>180271.49062499995</v>
      </c>
      <c r="I45" s="13">
        <f t="shared" si="17"/>
        <v>184778.27789062494</v>
      </c>
      <c r="J45" s="13">
        <f t="shared" si="17"/>
        <v>189397.73483789054</v>
      </c>
      <c r="K45" s="13">
        <f t="shared" si="17"/>
        <v>194132.67820883781</v>
      </c>
      <c r="L45" s="13">
        <f t="shared" si="17"/>
        <v>198985.99516405875</v>
      </c>
      <c r="M45" s="13">
        <f t="shared" si="17"/>
        <v>203960.64504316018</v>
      </c>
      <c r="N45" s="13">
        <f t="shared" si="17"/>
        <v>209059.66116923915</v>
      </c>
      <c r="O45" s="13">
        <f t="shared" si="17"/>
        <v>214286.1526984701</v>
      </c>
      <c r="P45" s="13">
        <f t="shared" si="17"/>
        <v>219643.30651593185</v>
      </c>
      <c r="Q45" s="13">
        <f t="shared" si="17"/>
        <v>225134.38917883014</v>
      </c>
      <c r="R45" s="13">
        <f t="shared" si="17"/>
        <v>230762.74890830085</v>
      </c>
      <c r="S45" s="13">
        <f t="shared" si="17"/>
        <v>236531.81763100837</v>
      </c>
      <c r="T45" s="13">
        <f t="shared" si="17"/>
        <v>242445.11307178353</v>
      </c>
      <c r="U45" s="13">
        <f t="shared" si="17"/>
        <v>248506.24089857811</v>
      </c>
      <c r="V45" s="13"/>
      <c r="W45" s="13"/>
    </row>
    <row r="46" spans="1:23" ht="15" thickBot="1" x14ac:dyDescent="0.35">
      <c r="A46" t="s">
        <v>738</v>
      </c>
      <c r="E46" s="13">
        <v>62</v>
      </c>
      <c r="F46" s="13">
        <f>(1+$J$8)*E46</f>
        <v>63.55</v>
      </c>
      <c r="G46" s="13">
        <f t="shared" ref="G46:U46" si="18">(1+$J$8)*F46</f>
        <v>65.138749999999987</v>
      </c>
      <c r="H46" s="13">
        <f t="shared" si="18"/>
        <v>66.767218749999984</v>
      </c>
      <c r="I46" s="13">
        <f t="shared" si="18"/>
        <v>68.436399218749983</v>
      </c>
      <c r="J46" s="13">
        <f t="shared" si="18"/>
        <v>70.147309199218725</v>
      </c>
      <c r="K46" s="13">
        <f t="shared" si="18"/>
        <v>71.900991929199193</v>
      </c>
      <c r="L46" s="13">
        <f t="shared" si="18"/>
        <v>73.698516727429165</v>
      </c>
      <c r="M46" s="13">
        <f t="shared" si="18"/>
        <v>75.540979645614883</v>
      </c>
      <c r="N46" s="13">
        <f t="shared" si="18"/>
        <v>77.429504136755241</v>
      </c>
      <c r="O46" s="13">
        <f t="shared" si="18"/>
        <v>79.365241740174113</v>
      </c>
      <c r="P46" s="13">
        <f t="shared" si="18"/>
        <v>81.349372783678461</v>
      </c>
      <c r="Q46" s="13">
        <f t="shared" si="18"/>
        <v>83.383107103270419</v>
      </c>
      <c r="R46" s="13">
        <f t="shared" si="18"/>
        <v>85.467684780852167</v>
      </c>
      <c r="S46" s="13">
        <f t="shared" si="18"/>
        <v>87.604376900373467</v>
      </c>
      <c r="T46" s="13">
        <f t="shared" si="18"/>
        <v>89.79448632288279</v>
      </c>
      <c r="U46" s="13">
        <f t="shared" si="18"/>
        <v>92.039348480954857</v>
      </c>
      <c r="V46" s="14"/>
      <c r="W46" s="13">
        <f>W23+V24+V25+V26+V27+V29+V32+V44</f>
        <v>27.600306670074115</v>
      </c>
    </row>
    <row r="47" spans="1:23" ht="15" thickBot="1" x14ac:dyDescent="0.35">
      <c r="A47" t="s">
        <v>961</v>
      </c>
      <c r="E47" s="13"/>
      <c r="F47" s="13"/>
      <c r="G47" s="13"/>
      <c r="H47" s="13"/>
      <c r="I47" s="90">
        <f>U46</f>
        <v>92.039348480954857</v>
      </c>
      <c r="J47" s="13" t="s">
        <v>466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x14ac:dyDescent="0.3">
      <c r="A48">
        <v>60</v>
      </c>
      <c r="B48" t="s">
        <v>779</v>
      </c>
      <c r="C48">
        <v>100</v>
      </c>
      <c r="D48" t="s">
        <v>780</v>
      </c>
      <c r="E48" s="13">
        <f>$A$48*$C$48*E46/1000</f>
        <v>372</v>
      </c>
      <c r="F48" s="13">
        <f t="shared" ref="F48:O48" si="19">$A$48*$C$48*F46/1000</f>
        <v>381.3</v>
      </c>
      <c r="G48" s="13">
        <f t="shared" si="19"/>
        <v>390.83249999999992</v>
      </c>
      <c r="H48" s="13">
        <f t="shared" si="19"/>
        <v>400.6033124999999</v>
      </c>
      <c r="I48" s="13">
        <f t="shared" si="19"/>
        <v>410.6183953124999</v>
      </c>
      <c r="J48" s="13">
        <f t="shared" si="19"/>
        <v>420.88385519531238</v>
      </c>
      <c r="K48" s="13">
        <f t="shared" si="19"/>
        <v>431.40595157519516</v>
      </c>
      <c r="L48" s="13">
        <f t="shared" si="19"/>
        <v>442.19110036457499</v>
      </c>
      <c r="M48" s="13">
        <f t="shared" si="19"/>
        <v>453.24587787368927</v>
      </c>
      <c r="N48" s="13">
        <f t="shared" si="19"/>
        <v>464.57702482053145</v>
      </c>
      <c r="O48" s="13">
        <f t="shared" si="19"/>
        <v>476.19145044104471</v>
      </c>
      <c r="P48" s="13"/>
      <c r="Q48" s="13"/>
      <c r="R48" s="13"/>
      <c r="S48" s="13"/>
      <c r="T48" s="13"/>
      <c r="U48" s="13"/>
      <c r="V48" s="13"/>
      <c r="W48" s="13"/>
    </row>
    <row r="49" spans="1:24" x14ac:dyDescent="0.3">
      <c r="A49" t="s">
        <v>551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>SUM(E48:O48)</f>
        <v>4643.849468082848</v>
      </c>
      <c r="P49" s="13"/>
      <c r="Q49" s="13"/>
      <c r="R49" s="13"/>
      <c r="S49" s="13"/>
      <c r="T49" s="13"/>
      <c r="U49" s="13"/>
      <c r="V49" s="13"/>
      <c r="W49" s="13"/>
    </row>
    <row r="51" spans="1:24" x14ac:dyDescent="0.3">
      <c r="E51">
        <v>2031</v>
      </c>
      <c r="F51">
        <v>2032</v>
      </c>
      <c r="G51">
        <v>2033</v>
      </c>
      <c r="H51">
        <v>2034</v>
      </c>
      <c r="I51">
        <v>2035</v>
      </c>
      <c r="J51">
        <v>2036</v>
      </c>
      <c r="K51">
        <v>2037</v>
      </c>
      <c r="L51">
        <v>2038</v>
      </c>
      <c r="M51">
        <v>2039</v>
      </c>
      <c r="N51">
        <v>2040</v>
      </c>
      <c r="O51">
        <v>2041</v>
      </c>
      <c r="P51">
        <v>2042</v>
      </c>
      <c r="Q51">
        <v>2043</v>
      </c>
      <c r="R51">
        <v>2044</v>
      </c>
      <c r="S51">
        <v>2045</v>
      </c>
      <c r="T51">
        <v>2046</v>
      </c>
      <c r="U51">
        <v>2047</v>
      </c>
      <c r="W51">
        <v>2049</v>
      </c>
      <c r="X51">
        <v>2050</v>
      </c>
    </row>
    <row r="52" spans="1:24" x14ac:dyDescent="0.3">
      <c r="E52" s="14">
        <f>I47*1.02</f>
        <v>93.88013545057396</v>
      </c>
      <c r="F52" s="14">
        <f t="shared" ref="F52:X52" si="20">E52*1.02</f>
        <v>95.757738159585443</v>
      </c>
      <c r="G52" s="14">
        <f t="shared" si="20"/>
        <v>97.672892922777152</v>
      </c>
      <c r="H52" s="14">
        <f t="shared" si="20"/>
        <v>99.626350781232702</v>
      </c>
      <c r="I52" s="14">
        <f t="shared" si="20"/>
        <v>101.61887779685736</v>
      </c>
      <c r="J52" s="14">
        <f t="shared" si="20"/>
        <v>103.65125535279451</v>
      </c>
      <c r="K52" s="14">
        <f t="shared" si="20"/>
        <v>105.72428045985041</v>
      </c>
      <c r="L52" s="14">
        <f t="shared" si="20"/>
        <v>107.83876606904741</v>
      </c>
      <c r="M52" s="14">
        <f t="shared" si="20"/>
        <v>109.99554139042836</v>
      </c>
      <c r="N52" s="14">
        <f t="shared" si="20"/>
        <v>112.19545221823692</v>
      </c>
      <c r="O52" s="14">
        <f t="shared" si="20"/>
        <v>114.43936126260166</v>
      </c>
      <c r="P52" s="14">
        <f t="shared" si="20"/>
        <v>116.7281484878537</v>
      </c>
      <c r="Q52" s="14">
        <f t="shared" si="20"/>
        <v>119.06271145761077</v>
      </c>
      <c r="R52" s="14">
        <f t="shared" si="20"/>
        <v>121.44396568676299</v>
      </c>
      <c r="S52" s="14">
        <f t="shared" si="20"/>
        <v>123.87284500049826</v>
      </c>
      <c r="T52" s="14">
        <f t="shared" si="20"/>
        <v>126.35030190050823</v>
      </c>
      <c r="U52" s="14">
        <f t="shared" si="20"/>
        <v>128.87730793851838</v>
      </c>
      <c r="V52" s="14"/>
      <c r="W52" s="14">
        <f t="shared" si="20"/>
        <v>0</v>
      </c>
      <c r="X52" s="14">
        <f t="shared" si="20"/>
        <v>0</v>
      </c>
    </row>
    <row r="54" spans="1:24" x14ac:dyDescent="0.3">
      <c r="A54" t="s">
        <v>959</v>
      </c>
      <c r="E54" s="13">
        <f>(D7+E9)/D8*J12*J13</f>
        <v>39433.938154868389</v>
      </c>
      <c r="F54" s="13">
        <f>E54</f>
        <v>39433.938154868389</v>
      </c>
      <c r="G54" s="13">
        <f>E54</f>
        <v>39433.938154868389</v>
      </c>
      <c r="H54" s="13">
        <f>E54</f>
        <v>39433.938154868389</v>
      </c>
      <c r="I54" s="13">
        <f>E54</f>
        <v>39433.938154868389</v>
      </c>
      <c r="J54" s="13">
        <f>E54</f>
        <v>39433.938154868389</v>
      </c>
      <c r="K54" s="13">
        <f>E54</f>
        <v>39433.938154868389</v>
      </c>
      <c r="L54" s="13">
        <f>E54</f>
        <v>39433.938154868389</v>
      </c>
      <c r="M54" s="13">
        <f>E54</f>
        <v>39433.938154868389</v>
      </c>
      <c r="N54" s="13">
        <f>E54</f>
        <v>39433.938154868389</v>
      </c>
      <c r="O54" s="13">
        <f>E54</f>
        <v>39433.938154868389</v>
      </c>
      <c r="P54" s="13">
        <f>E54</f>
        <v>39433.938154868389</v>
      </c>
      <c r="Q54" s="13">
        <f>E54</f>
        <v>39433.938154868389</v>
      </c>
      <c r="R54" s="13">
        <f>E54</f>
        <v>39433.938154868389</v>
      </c>
      <c r="S54" s="13">
        <f>E54</f>
        <v>39433.938154868389</v>
      </c>
      <c r="T54" s="13">
        <f>E54</f>
        <v>39433.938154868389</v>
      </c>
      <c r="U54" s="13">
        <f>E54</f>
        <v>39433.938154868389</v>
      </c>
      <c r="V54" s="13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B37" sqref="B37"/>
    </sheetView>
  </sheetViews>
  <sheetFormatPr defaultRowHeight="14.4" x14ac:dyDescent="0.3"/>
  <sheetData>
    <row r="1" spans="1:19" x14ac:dyDescent="0.3">
      <c r="A1" t="s">
        <v>849</v>
      </c>
    </row>
    <row r="3" spans="1:19" x14ac:dyDescent="0.3">
      <c r="A3" t="s">
        <v>850</v>
      </c>
    </row>
    <row r="4" spans="1:19" x14ac:dyDescent="0.3">
      <c r="A4" t="s">
        <v>851</v>
      </c>
      <c r="C4" t="s">
        <v>852</v>
      </c>
      <c r="E4">
        <v>1</v>
      </c>
      <c r="G4" t="s">
        <v>859</v>
      </c>
      <c r="N4">
        <v>43.4</v>
      </c>
    </row>
    <row r="5" spans="1:19" x14ac:dyDescent="0.3">
      <c r="C5" t="s">
        <v>853</v>
      </c>
      <c r="E5">
        <v>0.2</v>
      </c>
      <c r="G5" t="s">
        <v>874</v>
      </c>
      <c r="L5" t="s">
        <v>488</v>
      </c>
      <c r="N5">
        <v>0.8</v>
      </c>
    </row>
    <row r="6" spans="1:19" x14ac:dyDescent="0.3">
      <c r="A6" t="s">
        <v>854</v>
      </c>
      <c r="E6">
        <v>0.85</v>
      </c>
      <c r="G6" t="s">
        <v>860</v>
      </c>
      <c r="L6" t="s">
        <v>490</v>
      </c>
      <c r="N6">
        <v>2700</v>
      </c>
    </row>
    <row r="7" spans="1:19" x14ac:dyDescent="0.3">
      <c r="A7" t="s">
        <v>869</v>
      </c>
      <c r="E7">
        <v>0.09</v>
      </c>
      <c r="G7" t="s">
        <v>861</v>
      </c>
      <c r="L7" t="s">
        <v>466</v>
      </c>
    </row>
    <row r="8" spans="1:19" x14ac:dyDescent="0.3">
      <c r="A8" t="s">
        <v>855</v>
      </c>
      <c r="C8" t="s">
        <v>856</v>
      </c>
      <c r="E8" s="1">
        <v>2700</v>
      </c>
      <c r="G8" t="s">
        <v>862</v>
      </c>
      <c r="L8" t="s">
        <v>490</v>
      </c>
      <c r="N8">
        <f>E5*N5*E9</f>
        <v>640.00000000000011</v>
      </c>
    </row>
    <row r="9" spans="1:19" x14ac:dyDescent="0.3">
      <c r="A9" t="s">
        <v>857</v>
      </c>
      <c r="E9">
        <v>4000</v>
      </c>
      <c r="G9" t="s">
        <v>865</v>
      </c>
      <c r="L9" t="s">
        <v>489</v>
      </c>
      <c r="N9">
        <v>25</v>
      </c>
    </row>
    <row r="10" spans="1:19" x14ac:dyDescent="0.3">
      <c r="A10" t="s">
        <v>809</v>
      </c>
      <c r="D10">
        <v>0.2</v>
      </c>
      <c r="E10" s="1">
        <f>E8/(1-0.2)*0.2</f>
        <v>675</v>
      </c>
      <c r="G10" t="s">
        <v>971</v>
      </c>
      <c r="L10" t="s">
        <v>460</v>
      </c>
      <c r="N10">
        <f>SUM(S10:S14)</f>
        <v>2430000</v>
      </c>
      <c r="Q10" t="s">
        <v>884</v>
      </c>
      <c r="S10">
        <v>1600000</v>
      </c>
    </row>
    <row r="11" spans="1:19" x14ac:dyDescent="0.3">
      <c r="A11" t="s">
        <v>858</v>
      </c>
      <c r="C11" t="s">
        <v>466</v>
      </c>
      <c r="E11">
        <v>18</v>
      </c>
      <c r="G11" t="s">
        <v>866</v>
      </c>
      <c r="N11">
        <v>0.04</v>
      </c>
      <c r="Q11" t="s">
        <v>885</v>
      </c>
      <c r="S11">
        <v>110000</v>
      </c>
    </row>
    <row r="12" spans="1:19" x14ac:dyDescent="0.3">
      <c r="A12" t="s">
        <v>867</v>
      </c>
      <c r="E12">
        <v>0.05</v>
      </c>
      <c r="G12" t="s">
        <v>756</v>
      </c>
      <c r="I12">
        <f>N10*0.7</f>
        <v>1701000</v>
      </c>
      <c r="K12" t="s">
        <v>749</v>
      </c>
      <c r="N12">
        <f>-F35</f>
        <v>674042.41007058823</v>
      </c>
      <c r="Q12" t="s">
        <v>887</v>
      </c>
      <c r="S12">
        <v>160000</v>
      </c>
    </row>
    <row r="13" spans="1:19" x14ac:dyDescent="0.3">
      <c r="A13" t="s">
        <v>864</v>
      </c>
      <c r="E13">
        <v>8000000</v>
      </c>
      <c r="F13" t="s">
        <v>863</v>
      </c>
      <c r="J13" t="s">
        <v>537</v>
      </c>
      <c r="L13" t="s">
        <v>877</v>
      </c>
      <c r="N13">
        <v>3.8</v>
      </c>
      <c r="Q13" t="s">
        <v>888</v>
      </c>
      <c r="S13">
        <v>480000</v>
      </c>
    </row>
    <row r="14" spans="1:19" x14ac:dyDescent="0.3">
      <c r="A14" t="s">
        <v>530</v>
      </c>
      <c r="E14">
        <v>2</v>
      </c>
      <c r="G14" t="s">
        <v>872</v>
      </c>
      <c r="I14" t="s">
        <v>873</v>
      </c>
      <c r="K14" t="s">
        <v>546</v>
      </c>
      <c r="N14">
        <v>0.04</v>
      </c>
      <c r="Q14" t="s">
        <v>886</v>
      </c>
      <c r="S14">
        <v>80000</v>
      </c>
    </row>
    <row r="15" spans="1:19" x14ac:dyDescent="0.3">
      <c r="A15" t="s">
        <v>868</v>
      </c>
      <c r="E15">
        <v>1000</v>
      </c>
      <c r="G15" t="s">
        <v>534</v>
      </c>
      <c r="I15">
        <v>0.05</v>
      </c>
      <c r="K15" t="s">
        <v>883</v>
      </c>
      <c r="N15">
        <v>0.1</v>
      </c>
    </row>
    <row r="16" spans="1:19" x14ac:dyDescent="0.3">
      <c r="G16" t="s">
        <v>985</v>
      </c>
      <c r="I16">
        <v>2.5000000000000001E-2</v>
      </c>
    </row>
    <row r="17" spans="1:22" x14ac:dyDescent="0.3">
      <c r="A17" t="s">
        <v>870</v>
      </c>
      <c r="F17">
        <v>2014</v>
      </c>
      <c r="G17">
        <v>2015</v>
      </c>
      <c r="H17">
        <v>2016</v>
      </c>
      <c r="I17">
        <v>2017</v>
      </c>
      <c r="J17">
        <v>2018</v>
      </c>
      <c r="K17">
        <v>2019</v>
      </c>
      <c r="L17">
        <v>2020</v>
      </c>
      <c r="M17">
        <v>2021</v>
      </c>
      <c r="N17">
        <v>2022</v>
      </c>
      <c r="O17">
        <v>2023</v>
      </c>
      <c r="P17">
        <v>2024</v>
      </c>
      <c r="Q17">
        <v>2025</v>
      </c>
      <c r="R17">
        <v>2026</v>
      </c>
      <c r="S17">
        <v>2027</v>
      </c>
      <c r="T17">
        <v>2028</v>
      </c>
      <c r="U17">
        <v>2029</v>
      </c>
      <c r="V17">
        <v>2030</v>
      </c>
    </row>
    <row r="18" spans="1:22" x14ac:dyDescent="0.3">
      <c r="A18" t="s">
        <v>871</v>
      </c>
      <c r="F18">
        <f>N8*N4</f>
        <v>27776.000000000004</v>
      </c>
      <c r="G18">
        <f>F18*1.015</f>
        <v>28192.639999999999</v>
      </c>
      <c r="H18">
        <f>G18*1.015</f>
        <v>28615.529599999998</v>
      </c>
      <c r="I18">
        <f>H18*1.015</f>
        <v>29044.762543999994</v>
      </c>
      <c r="J18">
        <f>I18*1.105</f>
        <v>32094.462611119994</v>
      </c>
      <c r="K18">
        <f t="shared" ref="K18:V18" si="0">J18*1.015</f>
        <v>32575.879550286791</v>
      </c>
      <c r="L18">
        <f t="shared" si="0"/>
        <v>33064.517743541088</v>
      </c>
      <c r="M18">
        <f t="shared" si="0"/>
        <v>33560.485509694197</v>
      </c>
      <c r="N18">
        <f t="shared" si="0"/>
        <v>34063.892792339604</v>
      </c>
      <c r="O18">
        <f t="shared" si="0"/>
        <v>34574.851184224695</v>
      </c>
      <c r="P18">
        <f t="shared" si="0"/>
        <v>35093.47395198806</v>
      </c>
      <c r="Q18">
        <f t="shared" si="0"/>
        <v>35619.876061267874</v>
      </c>
      <c r="R18">
        <f t="shared" si="0"/>
        <v>36154.174202186892</v>
      </c>
      <c r="S18">
        <f t="shared" si="0"/>
        <v>36696.486815219694</v>
      </c>
      <c r="T18">
        <f t="shared" si="0"/>
        <v>37246.934117447985</v>
      </c>
      <c r="U18">
        <f t="shared" si="0"/>
        <v>37805.638129209699</v>
      </c>
      <c r="V18">
        <f t="shared" si="0"/>
        <v>38372.722701147839</v>
      </c>
    </row>
    <row r="20" spans="1:22" x14ac:dyDescent="0.3">
      <c r="A20" t="s">
        <v>875</v>
      </c>
    </row>
    <row r="21" spans="1:22" x14ac:dyDescent="0.3">
      <c r="A21" t="s">
        <v>876</v>
      </c>
      <c r="F21">
        <f>(N6+N8+E10)/E6*N5*E11</f>
        <v>68018.823529411777</v>
      </c>
      <c r="G21">
        <f t="shared" ref="G21:V23" si="1">F21*1.015</f>
        <v>69039.105882352946</v>
      </c>
      <c r="H21">
        <f t="shared" si="1"/>
        <v>70074.692470588227</v>
      </c>
      <c r="I21">
        <f t="shared" si="1"/>
        <v>71125.812857647048</v>
      </c>
      <c r="J21">
        <f t="shared" si="1"/>
        <v>72192.700050511747</v>
      </c>
      <c r="K21">
        <f t="shared" si="1"/>
        <v>73275.590551269415</v>
      </c>
      <c r="L21">
        <f t="shared" si="1"/>
        <v>74374.724409538452</v>
      </c>
      <c r="M21">
        <f t="shared" si="1"/>
        <v>75490.345275681524</v>
      </c>
      <c r="N21">
        <f t="shared" si="1"/>
        <v>76622.700454816746</v>
      </c>
      <c r="O21">
        <f t="shared" si="1"/>
        <v>77772.040961638995</v>
      </c>
      <c r="P21">
        <f t="shared" si="1"/>
        <v>78938.621576063568</v>
      </c>
      <c r="Q21">
        <f t="shared" si="1"/>
        <v>80122.70089970452</v>
      </c>
      <c r="R21">
        <f t="shared" si="1"/>
        <v>81324.541413200073</v>
      </c>
      <c r="S21">
        <f t="shared" si="1"/>
        <v>82544.409534398073</v>
      </c>
      <c r="T21">
        <f t="shared" si="1"/>
        <v>83782.575677414032</v>
      </c>
      <c r="U21">
        <f t="shared" si="1"/>
        <v>85039.314312575239</v>
      </c>
      <c r="V21">
        <f t="shared" si="1"/>
        <v>86314.904027263867</v>
      </c>
    </row>
    <row r="22" spans="1:22" x14ac:dyDescent="0.3">
      <c r="A22" t="s">
        <v>544</v>
      </c>
      <c r="F22">
        <f>E15*1.35*12*2</f>
        <v>32400</v>
      </c>
      <c r="G22">
        <f t="shared" si="1"/>
        <v>32886</v>
      </c>
      <c r="H22">
        <f t="shared" si="1"/>
        <v>33379.289999999994</v>
      </c>
      <c r="I22">
        <f t="shared" si="1"/>
        <v>33879.979349999987</v>
      </c>
      <c r="J22">
        <f t="shared" si="1"/>
        <v>34388.179040249983</v>
      </c>
      <c r="K22">
        <f t="shared" si="1"/>
        <v>34904.001725853726</v>
      </c>
      <c r="L22">
        <f t="shared" si="1"/>
        <v>35427.56175174153</v>
      </c>
      <c r="M22">
        <f t="shared" si="1"/>
        <v>35958.975178017652</v>
      </c>
      <c r="N22">
        <f t="shared" si="1"/>
        <v>36498.359805687913</v>
      </c>
      <c r="O22">
        <f t="shared" si="1"/>
        <v>37045.835202773225</v>
      </c>
      <c r="P22">
        <f t="shared" si="1"/>
        <v>37601.522730814817</v>
      </c>
      <c r="Q22">
        <f t="shared" si="1"/>
        <v>38165.545571777038</v>
      </c>
      <c r="R22">
        <f t="shared" si="1"/>
        <v>38738.028755353691</v>
      </c>
      <c r="S22">
        <f t="shared" si="1"/>
        <v>39319.09918668399</v>
      </c>
      <c r="T22">
        <f t="shared" si="1"/>
        <v>39908.885674484249</v>
      </c>
      <c r="U22">
        <f t="shared" si="1"/>
        <v>40507.518959601512</v>
      </c>
      <c r="V22">
        <f t="shared" si="1"/>
        <v>41115.131743995531</v>
      </c>
    </row>
    <row r="23" spans="1:22" x14ac:dyDescent="0.3">
      <c r="A23" t="s">
        <v>536</v>
      </c>
      <c r="F23">
        <f>N8*E7*N4</f>
        <v>2499.84</v>
      </c>
      <c r="G23">
        <f t="shared" si="1"/>
        <v>2537.3375999999998</v>
      </c>
      <c r="H23">
        <f t="shared" si="1"/>
        <v>2575.3976639999996</v>
      </c>
      <c r="I23">
        <f t="shared" si="1"/>
        <v>2614.0286289599994</v>
      </c>
      <c r="J23">
        <f t="shared" si="1"/>
        <v>2653.2390583943993</v>
      </c>
      <c r="K23">
        <f t="shared" si="1"/>
        <v>2693.037644270315</v>
      </c>
      <c r="L23">
        <f t="shared" si="1"/>
        <v>2733.4332089343693</v>
      </c>
      <c r="M23">
        <f t="shared" si="1"/>
        <v>2774.4347070683848</v>
      </c>
      <c r="N23">
        <f t="shared" si="1"/>
        <v>2816.0512276744103</v>
      </c>
      <c r="O23">
        <f t="shared" si="1"/>
        <v>2858.291996089526</v>
      </c>
      <c r="P23">
        <f t="shared" si="1"/>
        <v>2901.1663760308688</v>
      </c>
      <c r="Q23">
        <f t="shared" si="1"/>
        <v>2944.6838716713314</v>
      </c>
      <c r="R23">
        <f t="shared" si="1"/>
        <v>2988.8541297464012</v>
      </c>
      <c r="S23">
        <f t="shared" si="1"/>
        <v>3033.686941692597</v>
      </c>
      <c r="T23">
        <f t="shared" si="1"/>
        <v>3079.1922458179856</v>
      </c>
      <c r="U23">
        <f t="shared" si="1"/>
        <v>3125.3801295052549</v>
      </c>
      <c r="V23">
        <f t="shared" si="1"/>
        <v>3172.2608314478334</v>
      </c>
    </row>
    <row r="24" spans="1:22" x14ac:dyDescent="0.3">
      <c r="A24" t="s">
        <v>537</v>
      </c>
      <c r="F24">
        <f>(N6+E10)*N13</f>
        <v>12825</v>
      </c>
      <c r="G24">
        <f t="shared" ref="G24:V24" si="2">F24*1.1</f>
        <v>14107.500000000002</v>
      </c>
      <c r="H24">
        <f t="shared" si="2"/>
        <v>15518.250000000004</v>
      </c>
      <c r="I24">
        <f t="shared" si="2"/>
        <v>17070.075000000004</v>
      </c>
      <c r="J24">
        <f t="shared" si="2"/>
        <v>18777.082500000008</v>
      </c>
      <c r="K24">
        <f t="shared" si="2"/>
        <v>20654.790750000011</v>
      </c>
      <c r="L24">
        <f t="shared" si="2"/>
        <v>22720.269825000014</v>
      </c>
      <c r="M24">
        <f t="shared" si="2"/>
        <v>24992.296807500017</v>
      </c>
      <c r="N24">
        <f t="shared" si="2"/>
        <v>27491.52648825002</v>
      </c>
      <c r="O24">
        <f t="shared" si="2"/>
        <v>30240.679137075025</v>
      </c>
      <c r="P24">
        <f t="shared" si="2"/>
        <v>33264.747050782527</v>
      </c>
      <c r="Q24">
        <f t="shared" si="2"/>
        <v>36591.221755860781</v>
      </c>
      <c r="R24">
        <f t="shared" si="2"/>
        <v>40250.343931446863</v>
      </c>
      <c r="S24">
        <f t="shared" si="2"/>
        <v>44275.378324591555</v>
      </c>
      <c r="T24">
        <f t="shared" si="2"/>
        <v>48702.916157050713</v>
      </c>
      <c r="U24">
        <f t="shared" si="2"/>
        <v>53573.207772755792</v>
      </c>
      <c r="V24">
        <f t="shared" si="2"/>
        <v>58930.528550031377</v>
      </c>
    </row>
    <row r="25" spans="1:22" x14ac:dyDescent="0.3">
      <c r="A25" t="s">
        <v>546</v>
      </c>
      <c r="F25">
        <f>SUM(F21:F24)*N14</f>
        <v>4629.7465411764706</v>
      </c>
      <c r="G25">
        <f>SUM(G21:G24)*N14</f>
        <v>4742.7977392941175</v>
      </c>
      <c r="H25">
        <f>SUM(H21:H24)*N14</f>
        <v>4861.9052053835294</v>
      </c>
      <c r="I25">
        <f>SUM(I21:I24)*N14</f>
        <v>4987.595833464281</v>
      </c>
      <c r="J25">
        <f>SUM(J21:J24)*N14</f>
        <v>5120.448025966245</v>
      </c>
      <c r="K25">
        <f>SUM(K21:K24)*N14</f>
        <v>5261.0968268557381</v>
      </c>
      <c r="L25">
        <f>SUM(L21:L24)*N14</f>
        <v>5410.2395678085741</v>
      </c>
      <c r="M25">
        <f>SUM(M21:M24)*N14</f>
        <v>5568.6420787307043</v>
      </c>
      <c r="N25">
        <f>SUM(N21:N24)*N14</f>
        <v>5737.1455190571633</v>
      </c>
      <c r="O25">
        <f>SUM(O21:O24)*N14</f>
        <v>5916.6738919030704</v>
      </c>
      <c r="P25">
        <f>SUM(P21:P24)*N14</f>
        <v>6108.2423093476718</v>
      </c>
      <c r="Q25">
        <f>SUM(Q21:Q24)*N14</f>
        <v>6312.9660839605476</v>
      </c>
      <c r="R25">
        <f>SUM(R21:R24)*N14</f>
        <v>6532.0707291898807</v>
      </c>
      <c r="S25">
        <f>SUM(S21:S24)*N14</f>
        <v>6766.9029594946487</v>
      </c>
      <c r="T25">
        <f>SUM(T21:T24)*N14</f>
        <v>7018.9427901906802</v>
      </c>
      <c r="U25">
        <f>SUM(U21:U24)*N14</f>
        <v>7289.8168469775119</v>
      </c>
      <c r="V25">
        <f>SUM(V21:V24)*N14</f>
        <v>7581.3130061095444</v>
      </c>
    </row>
    <row r="26" spans="1:22" x14ac:dyDescent="0.3">
      <c r="A26" t="s">
        <v>731</v>
      </c>
      <c r="F26">
        <f t="shared" ref="F26:V26" si="3">SUM(F21:F25)</f>
        <v>120373.41007058824</v>
      </c>
      <c r="G26">
        <f t="shared" si="3"/>
        <v>123312.74122164707</v>
      </c>
      <c r="H26">
        <f t="shared" si="3"/>
        <v>126409.53533997176</v>
      </c>
      <c r="I26">
        <f t="shared" si="3"/>
        <v>129677.49167007131</v>
      </c>
      <c r="J26">
        <f t="shared" si="3"/>
        <v>133131.64867512239</v>
      </c>
      <c r="K26">
        <f t="shared" si="3"/>
        <v>136788.51749824919</v>
      </c>
      <c r="L26">
        <f t="shared" si="3"/>
        <v>140666.22876302293</v>
      </c>
      <c r="M26">
        <f t="shared" si="3"/>
        <v>144784.69404699831</v>
      </c>
      <c r="N26">
        <f t="shared" si="3"/>
        <v>149165.78349548625</v>
      </c>
      <c r="O26">
        <f t="shared" si="3"/>
        <v>153833.52118947983</v>
      </c>
      <c r="P26">
        <f t="shared" si="3"/>
        <v>158814.30004303946</v>
      </c>
      <c r="Q26">
        <f t="shared" si="3"/>
        <v>164137.11818297423</v>
      </c>
      <c r="R26">
        <f t="shared" si="3"/>
        <v>169833.83895893689</v>
      </c>
      <c r="S26">
        <f t="shared" si="3"/>
        <v>175939.47694686087</v>
      </c>
      <c r="T26">
        <f t="shared" si="3"/>
        <v>182492.51254495769</v>
      </c>
      <c r="U26">
        <f t="shared" si="3"/>
        <v>189535.23802141531</v>
      </c>
      <c r="V26">
        <f t="shared" si="3"/>
        <v>197114.13815884816</v>
      </c>
    </row>
    <row r="27" spans="1:22" x14ac:dyDescent="0.3">
      <c r="A27" t="s">
        <v>547</v>
      </c>
      <c r="F27">
        <f>N10*N11</f>
        <v>97200</v>
      </c>
      <c r="G27">
        <f>N10*N11</f>
        <v>97200</v>
      </c>
      <c r="H27">
        <f>N10*N11</f>
        <v>97200</v>
      </c>
      <c r="I27">
        <f>N10*N11</f>
        <v>97200</v>
      </c>
      <c r="J27">
        <f>N10*N11</f>
        <v>97200</v>
      </c>
      <c r="K27">
        <f>N10*N11</f>
        <v>97200</v>
      </c>
      <c r="L27">
        <f>N10*N11</f>
        <v>97200</v>
      </c>
      <c r="M27">
        <f>N10*N11</f>
        <v>97200</v>
      </c>
      <c r="N27">
        <f>N10*N11</f>
        <v>97200</v>
      </c>
      <c r="O27">
        <f>N10*N11</f>
        <v>97200</v>
      </c>
      <c r="P27">
        <f>N10*N11</f>
        <v>97200</v>
      </c>
      <c r="Q27">
        <f>N10*N11</f>
        <v>97200</v>
      </c>
      <c r="R27">
        <f>N10*N11</f>
        <v>97200</v>
      </c>
      <c r="S27">
        <f>N10*N11</f>
        <v>97200</v>
      </c>
      <c r="T27">
        <f>N10*N11</f>
        <v>97200</v>
      </c>
      <c r="U27">
        <f>N10*N11</f>
        <v>97200</v>
      </c>
      <c r="V27">
        <f>N10*N11</f>
        <v>97200</v>
      </c>
    </row>
    <row r="28" spans="1:22" x14ac:dyDescent="0.3">
      <c r="A28" t="s">
        <v>730</v>
      </c>
      <c r="F28">
        <f>I12/10</f>
        <v>170100</v>
      </c>
      <c r="G28">
        <f>I12/10</f>
        <v>170100</v>
      </c>
      <c r="H28">
        <f>I12/10</f>
        <v>170100</v>
      </c>
      <c r="I28">
        <f>I12/10</f>
        <v>170100</v>
      </c>
      <c r="J28">
        <f>I12/10</f>
        <v>170100</v>
      </c>
      <c r="K28">
        <f>I12/10</f>
        <v>170100</v>
      </c>
      <c r="L28">
        <f>I12/10</f>
        <v>170100</v>
      </c>
      <c r="M28">
        <f>I12/10</f>
        <v>170100</v>
      </c>
      <c r="N28">
        <f>I12/10</f>
        <v>170100</v>
      </c>
      <c r="O28">
        <f>I12/10</f>
        <v>170100</v>
      </c>
      <c r="P28">
        <v>0</v>
      </c>
    </row>
    <row r="29" spans="1:22" x14ac:dyDescent="0.3">
      <c r="A29" t="s">
        <v>878</v>
      </c>
      <c r="F29">
        <f>I12-F28</f>
        <v>1530900</v>
      </c>
      <c r="G29">
        <f t="shared" ref="G29:O29" si="4">F29-G28</f>
        <v>1360800</v>
      </c>
      <c r="H29">
        <f t="shared" si="4"/>
        <v>1190700</v>
      </c>
      <c r="I29">
        <f t="shared" si="4"/>
        <v>1020600</v>
      </c>
      <c r="J29">
        <f t="shared" si="4"/>
        <v>850500</v>
      </c>
      <c r="K29">
        <f t="shared" si="4"/>
        <v>680400</v>
      </c>
      <c r="L29">
        <f t="shared" si="4"/>
        <v>510300</v>
      </c>
      <c r="M29">
        <f t="shared" si="4"/>
        <v>340200</v>
      </c>
      <c r="N29">
        <f t="shared" si="4"/>
        <v>170100</v>
      </c>
      <c r="O29">
        <f t="shared" si="4"/>
        <v>0</v>
      </c>
      <c r="P29">
        <v>0</v>
      </c>
    </row>
    <row r="30" spans="1:22" x14ac:dyDescent="0.3">
      <c r="A30" t="s">
        <v>733</v>
      </c>
      <c r="F30">
        <f>F29*E12</f>
        <v>76545</v>
      </c>
      <c r="G30">
        <f>G29*E12</f>
        <v>68040</v>
      </c>
      <c r="H30">
        <f>H29*E12</f>
        <v>59535</v>
      </c>
      <c r="I30">
        <f>I29*E12</f>
        <v>51030</v>
      </c>
      <c r="J30">
        <f>J29*E12</f>
        <v>42525</v>
      </c>
      <c r="K30">
        <f>K29*E12</f>
        <v>34020</v>
      </c>
      <c r="L30">
        <f>L29*E12</f>
        <v>25515</v>
      </c>
      <c r="M30">
        <f>M29*E12</f>
        <v>17010</v>
      </c>
      <c r="N30">
        <f>N29*E12</f>
        <v>8505</v>
      </c>
      <c r="O30">
        <v>0</v>
      </c>
      <c r="P30">
        <v>0</v>
      </c>
    </row>
    <row r="31" spans="1:22" x14ac:dyDescent="0.3">
      <c r="A31" t="s">
        <v>758</v>
      </c>
      <c r="F31">
        <f>F27+F30+F26</f>
        <v>294118.41007058823</v>
      </c>
      <c r="G31">
        <f t="shared" ref="G31:V31" si="5">G26+G27+G30</f>
        <v>288552.74122164707</v>
      </c>
      <c r="H31">
        <f t="shared" si="5"/>
        <v>283144.53533997177</v>
      </c>
      <c r="I31">
        <f t="shared" si="5"/>
        <v>277907.49167007132</v>
      </c>
      <c r="J31">
        <f t="shared" si="5"/>
        <v>272856.64867512241</v>
      </c>
      <c r="K31">
        <f t="shared" si="5"/>
        <v>268008.51749824919</v>
      </c>
      <c r="L31">
        <f t="shared" si="5"/>
        <v>263381.22876302293</v>
      </c>
      <c r="M31">
        <f t="shared" si="5"/>
        <v>258994.69404699831</v>
      </c>
      <c r="N31">
        <f t="shared" si="5"/>
        <v>254870.78349548625</v>
      </c>
      <c r="O31">
        <f t="shared" si="5"/>
        <v>251033.52118947983</v>
      </c>
      <c r="P31">
        <f t="shared" si="5"/>
        <v>256014.30004303946</v>
      </c>
      <c r="Q31">
        <f t="shared" si="5"/>
        <v>261337.11818297423</v>
      </c>
      <c r="R31">
        <f t="shared" si="5"/>
        <v>267033.83895893686</v>
      </c>
      <c r="S31">
        <f t="shared" si="5"/>
        <v>273139.4769468609</v>
      </c>
      <c r="T31">
        <f t="shared" si="5"/>
        <v>279692.51254495769</v>
      </c>
      <c r="U31">
        <f t="shared" si="5"/>
        <v>286735.23802141531</v>
      </c>
      <c r="V31">
        <f t="shared" si="5"/>
        <v>294314.13815884816</v>
      </c>
    </row>
    <row r="32" spans="1:22" x14ac:dyDescent="0.3">
      <c r="A32" t="s">
        <v>879</v>
      </c>
      <c r="F32">
        <f>(F31-F18)/N6</f>
        <v>98.645337063180833</v>
      </c>
      <c r="G32">
        <f>(G31-G18)/N6</f>
        <v>96.429667119128538</v>
      </c>
      <c r="H32">
        <f>(H31-H18)/N6</f>
        <v>94.270002125915468</v>
      </c>
      <c r="I32">
        <f>(I31-I18)/N6</f>
        <v>92.171381157804191</v>
      </c>
      <c r="J32">
        <f>(J31-J18)/N6</f>
        <v>89.171180023704608</v>
      </c>
      <c r="K32">
        <f>(K31-K18)/N6</f>
        <v>87.197273314060141</v>
      </c>
      <c r="L32">
        <f>(L31-L18)/N6</f>
        <v>85.302485562771039</v>
      </c>
      <c r="M32">
        <f>(M31-M18)/N6</f>
        <v>83.494151310112628</v>
      </c>
      <c r="N32">
        <f>(N31-N18)/N6</f>
        <v>81.780329890054304</v>
      </c>
      <c r="O32">
        <f>(O31-O18)/N6</f>
        <v>80.169877779724132</v>
      </c>
      <c r="P32">
        <f>(P31-P18)/N6</f>
        <v>81.822528181870879</v>
      </c>
      <c r="Q32">
        <f>(Q31-Q18)/N6</f>
        <v>83.598978563594954</v>
      </c>
      <c r="R32">
        <f>(R31-R18)/N6</f>
        <v>85.510986946944428</v>
      </c>
      <c r="S32">
        <f>(S31-S18)/N6</f>
        <v>87.57147782653378</v>
      </c>
      <c r="T32">
        <f>(T31-T18)/N6</f>
        <v>89.794658676855448</v>
      </c>
      <c r="U32">
        <f>(U31-U18)/N6</f>
        <v>92.196148108224307</v>
      </c>
      <c r="V32">
        <f>(V31-V18)/N6</f>
        <v>94.793116836185305</v>
      </c>
    </row>
    <row r="33" spans="1:22" x14ac:dyDescent="0.3">
      <c r="A33" t="s">
        <v>740</v>
      </c>
      <c r="F33">
        <f t="shared" ref="F33:V33" si="6">F39-F26-F30</f>
        <v>127857.58992941177</v>
      </c>
      <c r="G33">
        <f t="shared" si="6"/>
        <v>141264.89877835289</v>
      </c>
      <c r="H33">
        <f t="shared" si="6"/>
        <v>154706.61926002818</v>
      </c>
      <c r="I33">
        <f t="shared" si="6"/>
        <v>168173.78649892856</v>
      </c>
      <c r="J33">
        <f t="shared" si="6"/>
        <v>184270.24245162253</v>
      </c>
      <c r="K33">
        <f t="shared" si="6"/>
        <v>197795.60128055309</v>
      </c>
      <c r="L33">
        <f t="shared" si="6"/>
        <v>211312.23418974649</v>
      </c>
      <c r="M33">
        <f t="shared" si="6"/>
        <v>224805.46030215491</v>
      </c>
      <c r="N33">
        <f t="shared" si="6"/>
        <v>238258.76985729882</v>
      </c>
      <c r="O33">
        <f t="shared" si="6"/>
        <v>251653.63206920147</v>
      </c>
      <c r="P33">
        <f t="shared" si="6"/>
        <v>256464.28353526656</v>
      </c>
      <c r="Q33">
        <f t="shared" si="6"/>
        <v>261172.4952452695</v>
      </c>
      <c r="R33">
        <f t="shared" si="6"/>
        <v>265752.31604440021</v>
      </c>
      <c r="S33">
        <f t="shared" si="6"/>
        <v>270174.7901895378</v>
      </c>
      <c r="T33">
        <f t="shared" si="6"/>
        <v>274407.6464016987</v>
      </c>
      <c r="U33">
        <f t="shared" si="6"/>
        <v>278414.95555773296</v>
      </c>
      <c r="V33">
        <f t="shared" si="6"/>
        <v>282156.75387848675</v>
      </c>
    </row>
    <row r="34" spans="1:22" x14ac:dyDescent="0.3">
      <c r="A34" t="s">
        <v>741</v>
      </c>
      <c r="F34">
        <f t="shared" ref="F34:V34" si="7">F39-F31</f>
        <v>30657.58992941177</v>
      </c>
      <c r="G34">
        <f t="shared" si="7"/>
        <v>44064.898778352886</v>
      </c>
      <c r="H34">
        <f t="shared" si="7"/>
        <v>57506.619260028179</v>
      </c>
      <c r="I34">
        <f t="shared" si="7"/>
        <v>70973.786498928559</v>
      </c>
      <c r="J34">
        <f t="shared" si="7"/>
        <v>87070.2424516225</v>
      </c>
      <c r="K34">
        <f t="shared" si="7"/>
        <v>100595.60128055309</v>
      </c>
      <c r="L34">
        <f t="shared" si="7"/>
        <v>114112.23418974649</v>
      </c>
      <c r="M34">
        <f t="shared" si="7"/>
        <v>127605.46030215491</v>
      </c>
      <c r="N34">
        <f t="shared" si="7"/>
        <v>141058.76985729882</v>
      </c>
      <c r="O34">
        <f t="shared" si="7"/>
        <v>154453.63206920147</v>
      </c>
      <c r="P34">
        <f t="shared" si="7"/>
        <v>159264.28353526656</v>
      </c>
      <c r="Q34">
        <f t="shared" si="7"/>
        <v>163972.4952452695</v>
      </c>
      <c r="R34">
        <f t="shared" si="7"/>
        <v>168552.31604440021</v>
      </c>
      <c r="S34">
        <f t="shared" si="7"/>
        <v>172974.79018953774</v>
      </c>
      <c r="T34">
        <f t="shared" si="7"/>
        <v>177207.6464016987</v>
      </c>
      <c r="U34">
        <f t="shared" si="7"/>
        <v>181214.95555773296</v>
      </c>
      <c r="V34">
        <f t="shared" si="7"/>
        <v>184956.75387848675</v>
      </c>
    </row>
    <row r="35" spans="1:22" x14ac:dyDescent="0.3">
      <c r="A35" t="s">
        <v>739</v>
      </c>
      <c r="F35">
        <f>I12-N10+F33+F27-F28</f>
        <v>-674042.41007058823</v>
      </c>
      <c r="G35">
        <f t="shared" ref="G35:V35" si="8">G33+G27-G28</f>
        <v>68364.898778352886</v>
      </c>
      <c r="H35">
        <f t="shared" si="8"/>
        <v>81806.619260028179</v>
      </c>
      <c r="I35">
        <f t="shared" si="8"/>
        <v>95273.786498928559</v>
      </c>
      <c r="J35">
        <f t="shared" si="8"/>
        <v>111370.2424516225</v>
      </c>
      <c r="K35">
        <f t="shared" si="8"/>
        <v>124895.60128055309</v>
      </c>
      <c r="L35">
        <f t="shared" si="8"/>
        <v>138412.23418974649</v>
      </c>
      <c r="M35">
        <f t="shared" si="8"/>
        <v>151905.46030215488</v>
      </c>
      <c r="N35">
        <f t="shared" si="8"/>
        <v>165358.76985729882</v>
      </c>
      <c r="O35">
        <f t="shared" si="8"/>
        <v>178753.63206920144</v>
      </c>
      <c r="P35">
        <f t="shared" si="8"/>
        <v>353664.28353526653</v>
      </c>
      <c r="Q35">
        <f t="shared" si="8"/>
        <v>358372.4952452695</v>
      </c>
      <c r="R35">
        <f t="shared" si="8"/>
        <v>362952.31604440021</v>
      </c>
      <c r="S35">
        <f t="shared" si="8"/>
        <v>367374.7901895378</v>
      </c>
      <c r="T35">
        <f t="shared" si="8"/>
        <v>371607.6464016987</v>
      </c>
      <c r="U35">
        <f t="shared" si="8"/>
        <v>375614.95555773296</v>
      </c>
      <c r="V35">
        <f t="shared" si="8"/>
        <v>379356.75387848675</v>
      </c>
    </row>
    <row r="36" spans="1:22" ht="15" thickBot="1" x14ac:dyDescent="0.35">
      <c r="A36" t="s">
        <v>742</v>
      </c>
      <c r="F36">
        <f>F35</f>
        <v>-674042.41007058823</v>
      </c>
      <c r="G36">
        <f t="shared" ref="G36:V36" si="9">F36+G35</f>
        <v>-605677.51129223534</v>
      </c>
      <c r="H36">
        <f t="shared" si="9"/>
        <v>-523870.89203220716</v>
      </c>
      <c r="I36">
        <f t="shared" si="9"/>
        <v>-428597.10553327861</v>
      </c>
      <c r="J36">
        <f t="shared" si="9"/>
        <v>-317226.86308165611</v>
      </c>
      <c r="K36">
        <f t="shared" si="9"/>
        <v>-192331.26180110301</v>
      </c>
      <c r="L36">
        <f t="shared" si="9"/>
        <v>-53919.02761135652</v>
      </c>
      <c r="M36">
        <f t="shared" si="9"/>
        <v>97986.432690798363</v>
      </c>
      <c r="N36">
        <f t="shared" si="9"/>
        <v>263345.20254809718</v>
      </c>
      <c r="O36">
        <f t="shared" si="9"/>
        <v>442098.83461729862</v>
      </c>
      <c r="P36">
        <f t="shared" si="9"/>
        <v>795763.11815256509</v>
      </c>
      <c r="Q36">
        <f t="shared" si="9"/>
        <v>1154135.6133978346</v>
      </c>
      <c r="R36">
        <f t="shared" si="9"/>
        <v>1517087.9294422348</v>
      </c>
      <c r="S36">
        <f t="shared" si="9"/>
        <v>1884462.7196317725</v>
      </c>
      <c r="T36">
        <f t="shared" si="9"/>
        <v>2256070.3660334712</v>
      </c>
      <c r="U36">
        <f t="shared" si="9"/>
        <v>2631685.321591204</v>
      </c>
      <c r="V36">
        <f t="shared" si="9"/>
        <v>3011042.0754696908</v>
      </c>
    </row>
    <row r="37" spans="1:22" ht="15" thickBot="1" x14ac:dyDescent="0.35">
      <c r="A37" t="s">
        <v>743</v>
      </c>
      <c r="B37" s="69">
        <f>NPV(F37,F35:V35)-N12</f>
        <v>2597.5562749464298</v>
      </c>
      <c r="F37" s="97">
        <v>0.1</v>
      </c>
    </row>
    <row r="38" spans="1:22" x14ac:dyDescent="0.3">
      <c r="A38" t="s">
        <v>735</v>
      </c>
      <c r="E38">
        <v>0</v>
      </c>
      <c r="F38">
        <f>N10-F27</f>
        <v>2332800</v>
      </c>
      <c r="G38">
        <f t="shared" ref="G38:V38" si="10">F38-G27</f>
        <v>2235600</v>
      </c>
      <c r="H38">
        <f t="shared" si="10"/>
        <v>2138400</v>
      </c>
      <c r="I38">
        <f t="shared" si="10"/>
        <v>2041200</v>
      </c>
      <c r="J38">
        <f t="shared" si="10"/>
        <v>1944000</v>
      </c>
      <c r="K38">
        <f t="shared" si="10"/>
        <v>1846800</v>
      </c>
      <c r="L38">
        <f t="shared" si="10"/>
        <v>1749600</v>
      </c>
      <c r="M38">
        <f t="shared" si="10"/>
        <v>1652400</v>
      </c>
      <c r="N38">
        <f t="shared" si="10"/>
        <v>1555200</v>
      </c>
      <c r="O38">
        <f t="shared" si="10"/>
        <v>1458000</v>
      </c>
      <c r="P38">
        <f t="shared" si="10"/>
        <v>1360800</v>
      </c>
      <c r="Q38">
        <f t="shared" si="10"/>
        <v>1263600</v>
      </c>
      <c r="R38">
        <f t="shared" si="10"/>
        <v>1166400</v>
      </c>
      <c r="S38">
        <f t="shared" si="10"/>
        <v>1069200</v>
      </c>
      <c r="T38">
        <f t="shared" si="10"/>
        <v>972000</v>
      </c>
      <c r="U38">
        <f t="shared" si="10"/>
        <v>874800</v>
      </c>
      <c r="V38">
        <f t="shared" si="10"/>
        <v>777600</v>
      </c>
    </row>
    <row r="39" spans="1:22" x14ac:dyDescent="0.3">
      <c r="A39" t="s">
        <v>549</v>
      </c>
      <c r="F39">
        <f t="shared" ref="F39:V39" si="11">F42+F18</f>
        <v>324776</v>
      </c>
      <c r="G39">
        <f t="shared" si="11"/>
        <v>332617.63999999996</v>
      </c>
      <c r="H39">
        <f t="shared" si="11"/>
        <v>340651.15459999995</v>
      </c>
      <c r="I39">
        <f t="shared" si="11"/>
        <v>348881.27816899988</v>
      </c>
      <c r="J39">
        <f t="shared" si="11"/>
        <v>359926.89112674491</v>
      </c>
      <c r="K39">
        <f t="shared" si="11"/>
        <v>368604.11877880228</v>
      </c>
      <c r="L39">
        <f t="shared" si="11"/>
        <v>377493.46295276942</v>
      </c>
      <c r="M39">
        <f t="shared" si="11"/>
        <v>386600.15434915322</v>
      </c>
      <c r="N39">
        <f t="shared" si="11"/>
        <v>395929.55335278506</v>
      </c>
      <c r="O39">
        <f t="shared" si="11"/>
        <v>405487.1532586813</v>
      </c>
      <c r="P39">
        <f t="shared" si="11"/>
        <v>415278.58357830602</v>
      </c>
      <c r="Q39">
        <f t="shared" si="11"/>
        <v>425309.61342824373</v>
      </c>
      <c r="R39">
        <f t="shared" si="11"/>
        <v>435586.15500333707</v>
      </c>
      <c r="S39">
        <f t="shared" si="11"/>
        <v>446114.26713639864</v>
      </c>
      <c r="T39">
        <f t="shared" si="11"/>
        <v>456900.15894665639</v>
      </c>
      <c r="U39">
        <f t="shared" si="11"/>
        <v>467950.19357914827</v>
      </c>
      <c r="V39">
        <f t="shared" si="11"/>
        <v>479270.89203733491</v>
      </c>
    </row>
    <row r="40" spans="1:22" x14ac:dyDescent="0.3">
      <c r="A40" t="s">
        <v>729</v>
      </c>
      <c r="F40">
        <f t="shared" ref="F40:V40" si="12">(E38+F38)/2+F26*0.05</f>
        <v>1172418.6705035295</v>
      </c>
      <c r="G40">
        <f t="shared" si="12"/>
        <v>2290365.6370610823</v>
      </c>
      <c r="H40">
        <f t="shared" si="12"/>
        <v>2193320.4767669984</v>
      </c>
      <c r="I40">
        <f t="shared" si="12"/>
        <v>2096283.8745835035</v>
      </c>
      <c r="J40">
        <f t="shared" si="12"/>
        <v>1999256.5824337562</v>
      </c>
      <c r="K40">
        <f t="shared" si="12"/>
        <v>1902239.4258749124</v>
      </c>
      <c r="L40">
        <f t="shared" si="12"/>
        <v>1805233.3114381512</v>
      </c>
      <c r="M40">
        <f t="shared" si="12"/>
        <v>1708239.2347023499</v>
      </c>
      <c r="N40">
        <f t="shared" si="12"/>
        <v>1611258.2891747742</v>
      </c>
      <c r="O40">
        <f t="shared" si="12"/>
        <v>1514291.676059474</v>
      </c>
      <c r="P40">
        <f t="shared" si="12"/>
        <v>1417340.7150021519</v>
      </c>
      <c r="Q40">
        <f t="shared" si="12"/>
        <v>1320406.8559091487</v>
      </c>
      <c r="R40">
        <f t="shared" si="12"/>
        <v>1223491.6919479468</v>
      </c>
      <c r="S40">
        <f t="shared" si="12"/>
        <v>1126596.9738473431</v>
      </c>
      <c r="T40">
        <f t="shared" si="12"/>
        <v>1029724.6256272478</v>
      </c>
      <c r="U40">
        <f t="shared" si="12"/>
        <v>932876.76190107071</v>
      </c>
      <c r="V40">
        <f t="shared" si="12"/>
        <v>836055.70690794243</v>
      </c>
    </row>
    <row r="41" spans="1:22" x14ac:dyDescent="0.3">
      <c r="A41" t="s">
        <v>882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5" thickBot="1" x14ac:dyDescent="0.35">
      <c r="A42" t="s">
        <v>984</v>
      </c>
      <c r="F42">
        <f>F43*E8</f>
        <v>297000</v>
      </c>
      <c r="G42">
        <f>G43*E8</f>
        <v>304424.99999999994</v>
      </c>
      <c r="H42">
        <f>H43*E8</f>
        <v>312035.62499999994</v>
      </c>
      <c r="I42">
        <f>I43*E8</f>
        <v>319836.51562499988</v>
      </c>
      <c r="J42">
        <f>J43*E8</f>
        <v>327832.4285156249</v>
      </c>
      <c r="K42">
        <f>K43*E8</f>
        <v>336028.23922851548</v>
      </c>
      <c r="L42">
        <f>L43*E8</f>
        <v>344428.94520922832</v>
      </c>
      <c r="M42">
        <f>M43*E8</f>
        <v>353039.66883945902</v>
      </c>
      <c r="N42">
        <f>N43*E8</f>
        <v>361865.66056044545</v>
      </c>
      <c r="O42">
        <f>O43*E8</f>
        <v>370912.30207445659</v>
      </c>
      <c r="P42">
        <f>P43*E8</f>
        <v>380185.10962631798</v>
      </c>
      <c r="Q42">
        <f>Q43*E8</f>
        <v>389689.73736697587</v>
      </c>
      <c r="R42">
        <f>R43*E8</f>
        <v>399431.9808011502</v>
      </c>
      <c r="S42">
        <f>S43*E8</f>
        <v>409417.78032117896</v>
      </c>
      <c r="T42">
        <f>T43*E8</f>
        <v>419653.2248292084</v>
      </c>
      <c r="U42">
        <f>U43*E8</f>
        <v>430144.55544993858</v>
      </c>
      <c r="V42">
        <f>V43*E8</f>
        <v>440898.16933618707</v>
      </c>
    </row>
    <row r="43" spans="1:22" ht="15" thickBot="1" x14ac:dyDescent="0.35">
      <c r="A43" t="s">
        <v>881</v>
      </c>
      <c r="F43" s="69">
        <v>110</v>
      </c>
      <c r="G43" s="14">
        <f>(1+I16)*F43</f>
        <v>112.74999999999999</v>
      </c>
      <c r="H43" s="14">
        <f>(1+I16)*G43</f>
        <v>115.56874999999998</v>
      </c>
      <c r="I43" s="14">
        <f>(1+I16)*H43</f>
        <v>118.45796874999996</v>
      </c>
      <c r="J43" s="14">
        <f>(1+I16)*I43</f>
        <v>121.41941796874995</v>
      </c>
      <c r="K43" s="14">
        <f>(1+I16)*J43</f>
        <v>124.45490341796869</v>
      </c>
      <c r="L43" s="14">
        <f>(1+I16)*K43</f>
        <v>127.5662760034179</v>
      </c>
      <c r="M43" s="14">
        <f>(1+I16)*L43</f>
        <v>130.75543290350333</v>
      </c>
      <c r="N43" s="14">
        <f>(1+I16)*M43</f>
        <v>134.02431872609091</v>
      </c>
      <c r="O43" s="14">
        <f>(1+I16)*N43</f>
        <v>137.37492669424319</v>
      </c>
      <c r="P43" s="14">
        <f>(1+I16)*O43</f>
        <v>140.80929986159924</v>
      </c>
      <c r="Q43" s="14">
        <f>(1+I16)*P43</f>
        <v>144.3295323581392</v>
      </c>
      <c r="R43" s="14">
        <f>(1+I16)*Q43</f>
        <v>147.93777066709268</v>
      </c>
      <c r="S43" s="14">
        <f>(1+I16)*R43</f>
        <v>151.63621493376999</v>
      </c>
      <c r="T43" s="14">
        <f>(1+I16)*S43</f>
        <v>155.42712030711422</v>
      </c>
      <c r="U43" s="14">
        <f>(1+I16)*T43</f>
        <v>159.31279831479208</v>
      </c>
      <c r="V43" s="14">
        <f>(1+I16)*U43</f>
        <v>163.29561827266187</v>
      </c>
    </row>
    <row r="45" spans="1:22" x14ac:dyDescent="0.3">
      <c r="A45">
        <v>60</v>
      </c>
      <c r="B45" t="s">
        <v>779</v>
      </c>
      <c r="C45">
        <v>100</v>
      </c>
      <c r="D45" t="s">
        <v>997</v>
      </c>
      <c r="F45">
        <f>A45*C45*F43/1000</f>
        <v>660</v>
      </c>
      <c r="G45" s="13">
        <f>A45*C45*G43/1000</f>
        <v>676.49999999999989</v>
      </c>
      <c r="H45" s="13">
        <f>A45*C45*H43/1000</f>
        <v>693.41249999999991</v>
      </c>
      <c r="I45" s="13">
        <f>A45*C45*I43/1000</f>
        <v>710.74781249999978</v>
      </c>
      <c r="J45" s="13">
        <f>A45*C45*J43/1000</f>
        <v>728.51650781249975</v>
      </c>
      <c r="K45" s="13">
        <f>A45*C45*K43/1000</f>
        <v>746.72942050781216</v>
      </c>
      <c r="L45" s="13">
        <f>A45*C45*L43/1000</f>
        <v>765.39765602050738</v>
      </c>
      <c r="M45" s="13">
        <f>A45*C45*M43/1000</f>
        <v>784.53259742102</v>
      </c>
      <c r="N45" s="13">
        <f>A45*C45*N43/1000</f>
        <v>804.14591235654541</v>
      </c>
      <c r="O45" s="13">
        <f>A45*C45*O43/1000</f>
        <v>824.249560165459</v>
      </c>
    </row>
    <row r="46" spans="1:22" x14ac:dyDescent="0.3">
      <c r="O46" s="13">
        <f>SUM(F45:O45)</f>
        <v>7394.2319667838437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8" sqref="C28"/>
    </sheetView>
  </sheetViews>
  <sheetFormatPr defaultRowHeight="14.4" x14ac:dyDescent="0.3"/>
  <cols>
    <col min="1" max="1" width="26.6640625" customWidth="1"/>
    <col min="2" max="2" width="21.6640625" customWidth="1"/>
    <col min="3" max="3" width="31" style="14" customWidth="1"/>
    <col min="4" max="4" width="33.44140625" style="14" customWidth="1"/>
    <col min="6" max="6" width="19.109375" customWidth="1"/>
  </cols>
  <sheetData>
    <row r="1" spans="1:9" x14ac:dyDescent="0.3">
      <c r="A1" t="s">
        <v>764</v>
      </c>
      <c r="B1" t="s">
        <v>765</v>
      </c>
      <c r="C1" s="14" t="s">
        <v>766</v>
      </c>
      <c r="D1" s="14" t="s">
        <v>772</v>
      </c>
      <c r="E1" t="s">
        <v>767</v>
      </c>
      <c r="F1" t="s">
        <v>781</v>
      </c>
    </row>
    <row r="2" spans="1:9" ht="18" x14ac:dyDescent="0.35">
      <c r="A2" s="57" t="s">
        <v>777</v>
      </c>
      <c r="F2" t="s">
        <v>460</v>
      </c>
      <c r="G2" s="13"/>
    </row>
    <row r="3" spans="1:9" x14ac:dyDescent="0.3">
      <c r="A3" t="s">
        <v>768</v>
      </c>
      <c r="B3">
        <v>90.3</v>
      </c>
      <c r="C3" s="14">
        <f>'Trass+katel, reg'!E45</f>
        <v>57.228316990156273</v>
      </c>
      <c r="D3" s="14">
        <f>'Trass+katel, reg'!O45</f>
        <v>72.244769141564376</v>
      </c>
      <c r="E3" s="58">
        <f>'Trass+katel, reg'!E39</f>
        <v>7.8E-2</v>
      </c>
      <c r="F3" s="13">
        <f>'Trass+katel, reg'!O48</f>
        <v>4414.9777906158643</v>
      </c>
    </row>
    <row r="4" spans="1:9" x14ac:dyDescent="0.3">
      <c r="A4" t="s">
        <v>769</v>
      </c>
      <c r="B4">
        <v>90.3</v>
      </c>
      <c r="C4" s="14">
        <f>'Katel reg'!E45</f>
        <v>54.311109396210156</v>
      </c>
      <c r="D4" s="14">
        <f>'Katel reg'!O45</f>
        <v>69.11232879907665</v>
      </c>
      <c r="E4" s="58">
        <f>'Katel reg'!E39</f>
        <v>0.13500000000000001</v>
      </c>
      <c r="F4" s="13">
        <f>'Katel reg'!O48</f>
        <v>4132.6626236634438</v>
      </c>
    </row>
    <row r="5" spans="1:9" x14ac:dyDescent="0.3">
      <c r="A5" t="s">
        <v>770</v>
      </c>
      <c r="B5">
        <v>90.3</v>
      </c>
      <c r="C5" s="14">
        <f>'trass+katel, market'!E46</f>
        <v>55.4</v>
      </c>
      <c r="D5" s="14">
        <f>'trass+katel, market'!O46</f>
        <v>70.916683748478164</v>
      </c>
      <c r="E5" s="27">
        <f>'trass+katel, market'!E39</f>
        <v>9.7000000000000003E-2</v>
      </c>
      <c r="F5" s="13">
        <f>'trass+katel, market'!O49</f>
        <v>4149.5042021256413</v>
      </c>
      <c r="H5" s="41"/>
      <c r="I5" s="73" t="s">
        <v>848</v>
      </c>
    </row>
    <row r="6" spans="1:9" x14ac:dyDescent="0.3">
      <c r="A6" t="s">
        <v>771</v>
      </c>
      <c r="B6">
        <v>90.3</v>
      </c>
      <c r="C6" s="14">
        <f>'Katel, market'!E45</f>
        <v>50.2</v>
      </c>
      <c r="D6" s="14">
        <f>'Katel, market'!O45</f>
        <v>64.260244118657099</v>
      </c>
      <c r="E6" s="27">
        <f>'Katel, market'!E39</f>
        <v>9.9000000000000005E-2</v>
      </c>
      <c r="F6" s="13">
        <f>'Katel, market'!O48</f>
        <v>3760.0200531896603</v>
      </c>
    </row>
    <row r="7" spans="1:9" x14ac:dyDescent="0.3">
      <c r="A7" t="s">
        <v>847</v>
      </c>
      <c r="B7">
        <v>90.3</v>
      </c>
      <c r="C7" s="14">
        <f>'Gaasikatel+trass reg.'!D25</f>
        <v>76.78903648281306</v>
      </c>
      <c r="D7" s="14">
        <f>'Gaasikatel+trass reg.'!M25</f>
        <v>87.535179198585539</v>
      </c>
      <c r="E7" s="44">
        <f>'Gaasikatel+trass reg.'!D19</f>
        <v>0.245</v>
      </c>
      <c r="F7" s="13">
        <f>'Gaasikatel+trass reg.'!M31</f>
        <v>5049.1610620608317</v>
      </c>
    </row>
    <row r="8" spans="1:9" x14ac:dyDescent="0.3">
      <c r="A8" t="s">
        <v>891</v>
      </c>
      <c r="B8">
        <v>90.3</v>
      </c>
      <c r="C8" s="14">
        <f>'Gaasikatel+trass market'!D22</f>
        <v>77.8</v>
      </c>
      <c r="D8" s="14">
        <f>'Gaasikatel+trass market'!M22</f>
        <v>97.161539061928366</v>
      </c>
      <c r="E8" s="27">
        <f>'Gaasikatel+trass market'!D19</f>
        <v>0.1</v>
      </c>
      <c r="F8" s="13">
        <f>'Gaasikatel+trass market'!M28</f>
        <v>5229.7386092343913</v>
      </c>
    </row>
    <row r="9" spans="1:9" x14ac:dyDescent="0.3">
      <c r="A9" t="s">
        <v>991</v>
      </c>
      <c r="B9">
        <v>90.3</v>
      </c>
      <c r="C9" s="100">
        <f>'Turvas reg.'!E45</f>
        <v>54.235228987316738</v>
      </c>
      <c r="D9" s="14">
        <f>'Turvas reg.'!O45</f>
        <v>67.937942192788014</v>
      </c>
      <c r="E9" s="44">
        <v>0.05</v>
      </c>
      <c r="F9" s="13">
        <f>'Turvas reg.'!O48</f>
        <v>4173.8606884762976</v>
      </c>
    </row>
    <row r="10" spans="1:9" x14ac:dyDescent="0.3">
      <c r="A10" t="s">
        <v>992</v>
      </c>
      <c r="B10">
        <v>90.3</v>
      </c>
      <c r="C10" s="100">
        <f>'Turvas market'!E46</f>
        <v>62</v>
      </c>
      <c r="D10" s="14">
        <f>'Turvas market'!O46</f>
        <v>79.365241740174113</v>
      </c>
      <c r="E10" s="44">
        <v>0.1</v>
      </c>
      <c r="F10" s="13">
        <f>'Turvas market'!O49</f>
        <v>4643.849468082848</v>
      </c>
    </row>
    <row r="11" spans="1:9" x14ac:dyDescent="0.3">
      <c r="A11" t="s">
        <v>996</v>
      </c>
      <c r="B11">
        <v>90.3</v>
      </c>
      <c r="C11" s="100">
        <f>'ORC market'!F43</f>
        <v>110</v>
      </c>
      <c r="D11" s="14">
        <f>'ORC market'!O43</f>
        <v>137.37492669424319</v>
      </c>
      <c r="E11" s="44">
        <v>0.1</v>
      </c>
      <c r="F11" s="13">
        <f>'ORC market'!O46</f>
        <v>7394.2319667838437</v>
      </c>
    </row>
    <row r="12" spans="1:9" ht="18" x14ac:dyDescent="0.35">
      <c r="A12" s="57" t="s">
        <v>778</v>
      </c>
      <c r="E12" s="27"/>
    </row>
    <row r="13" spans="1:9" x14ac:dyDescent="0.3">
      <c r="A13" t="s">
        <v>473</v>
      </c>
      <c r="B13">
        <f>'Lokaalküte, tänane'!D21</f>
        <v>90.3</v>
      </c>
      <c r="C13" s="14">
        <f>'Lokaalküte, tänane'!N31</f>
        <v>75</v>
      </c>
      <c r="D13" s="14">
        <f>'Lokaalküte, tänane'!O31</f>
        <v>93.664722746074872</v>
      </c>
      <c r="E13" s="27">
        <f>'Lokaalküte, tänane'!H43</f>
        <v>0.1</v>
      </c>
      <c r="F13" s="13">
        <f>'Lokaalküte, tänane'!R44</f>
        <v>5041.5217955344378</v>
      </c>
    </row>
    <row r="14" spans="1:9" x14ac:dyDescent="0.3">
      <c r="A14" t="s">
        <v>448</v>
      </c>
      <c r="B14">
        <f>B13</f>
        <v>90.3</v>
      </c>
      <c r="C14" s="14">
        <f>'Lokaalküte, tänane'!N46</f>
        <v>96.3</v>
      </c>
      <c r="D14" s="14">
        <f>'Lokaalküte, tänane'!O46</f>
        <v>120.26550400596015</v>
      </c>
      <c r="E14" s="27">
        <f>E13</f>
        <v>0.1</v>
      </c>
      <c r="F14" s="13">
        <f>'Lokaalküte, tänane'!R60</f>
        <v>6473.3139854662195</v>
      </c>
    </row>
    <row r="15" spans="1:9" x14ac:dyDescent="0.3">
      <c r="A15" t="s">
        <v>773</v>
      </c>
      <c r="B15">
        <f>B14</f>
        <v>90.3</v>
      </c>
      <c r="C15" s="14">
        <f>'Lokaalküte, tänane'!N67</f>
        <v>85</v>
      </c>
      <c r="D15" s="14">
        <f>'Lokaalküte, tänane'!O67</f>
        <v>106.15335244555153</v>
      </c>
      <c r="E15" s="27">
        <f>E14</f>
        <v>0.1</v>
      </c>
      <c r="F15" s="13">
        <f>'Lokaalküte, tänane'!R81</f>
        <v>5713.7247016056972</v>
      </c>
    </row>
    <row r="16" spans="1:9" x14ac:dyDescent="0.3">
      <c r="A16" t="s">
        <v>774</v>
      </c>
      <c r="B16">
        <f>B15</f>
        <v>90.3</v>
      </c>
      <c r="C16" s="14">
        <f>'Lokaalküte, tänane'!N84</f>
        <v>72.2</v>
      </c>
      <c r="D16" s="14">
        <f>'Lokaalküte, tänane'!O84</f>
        <v>90.167906430221421</v>
      </c>
      <c r="E16" s="27">
        <f t="shared" ref="E16:E18" si="0">E15</f>
        <v>0.1</v>
      </c>
      <c r="F16" s="13">
        <f>'Lokaalküte, tänane'!R98</f>
        <v>4853.3049818344862</v>
      </c>
    </row>
    <row r="17" spans="1:6" x14ac:dyDescent="0.3">
      <c r="A17" t="s">
        <v>775</v>
      </c>
      <c r="B17">
        <f>B16</f>
        <v>90.3</v>
      </c>
      <c r="C17" s="14">
        <f>'Lokaalküte, tänane'!N101</f>
        <v>109.4</v>
      </c>
      <c r="D17" s="14">
        <f>'Lokaalküte, tänane'!O101</f>
        <v>136.6256089122746</v>
      </c>
      <c r="E17" s="27">
        <f t="shared" si="0"/>
        <v>0.1</v>
      </c>
      <c r="F17" s="13">
        <f>'Lokaalküte, tänane'!R115</f>
        <v>7353.8997924195701</v>
      </c>
    </row>
    <row r="18" spans="1:6" x14ac:dyDescent="0.3">
      <c r="A18" t="s">
        <v>776</v>
      </c>
      <c r="B18">
        <f>B17</f>
        <v>90.3</v>
      </c>
      <c r="C18" s="14">
        <f>'Lokaalküte, tänane'!N117</f>
        <v>114.8</v>
      </c>
      <c r="D18" s="14">
        <f>'Lokaalküte, tänane'!O117</f>
        <v>143.36946894999195</v>
      </c>
      <c r="E18" s="27">
        <f t="shared" si="0"/>
        <v>0.1</v>
      </c>
      <c r="F18" s="13">
        <f>'Lokaalküte, tänane'!R131</f>
        <v>7716.8893616980477</v>
      </c>
    </row>
    <row r="20" spans="1:6" x14ac:dyDescent="0.3">
      <c r="A20" t="s">
        <v>473</v>
      </c>
      <c r="B20">
        <f>'Lokaalkütte omahinnad, 137'!D21</f>
        <v>137</v>
      </c>
      <c r="C20" s="14">
        <f>'Lokaalkütte omahinnad, 137'!N31</f>
        <v>75</v>
      </c>
      <c r="D20" s="14">
        <f>'Lokaalkütte omahinnad, 137'!O31</f>
        <v>93.664722746074872</v>
      </c>
      <c r="E20" s="27">
        <f>'Lokaalkütte omahinnad, 137'!H43</f>
        <v>0.1</v>
      </c>
      <c r="F20" s="13">
        <f>'Lokaalkütte omahinnad, 137'!R44</f>
        <v>5041.5217955344378</v>
      </c>
    </row>
    <row r="21" spans="1:6" x14ac:dyDescent="0.3">
      <c r="A21" t="s">
        <v>448</v>
      </c>
      <c r="B21">
        <f>B20</f>
        <v>137</v>
      </c>
      <c r="C21" s="14">
        <f>'Lokaalkütte omahinnad, 137'!N46</f>
        <v>110.3</v>
      </c>
      <c r="D21" s="14">
        <f>'Lokaalkütte omahinnad, 137'!O46</f>
        <v>137.74958558522746</v>
      </c>
      <c r="E21" s="27">
        <f>E20</f>
        <v>0.1</v>
      </c>
      <c r="F21" s="13">
        <f>'Lokaalkütte omahinnad, 137'!R60</f>
        <v>7414.3980539659824</v>
      </c>
    </row>
    <row r="22" spans="1:6" x14ac:dyDescent="0.3">
      <c r="A22" t="s">
        <v>773</v>
      </c>
      <c r="B22">
        <f t="shared" ref="B22:B25" si="1">B21</f>
        <v>137</v>
      </c>
      <c r="C22" s="14">
        <f>'Lokaalkütte omahinnad, 137'!N67</f>
        <v>101.2</v>
      </c>
      <c r="D22" s="14">
        <f>'Lokaalkütte omahinnad, 137'!O67</f>
        <v>126.38493255870371</v>
      </c>
      <c r="E22" s="27">
        <f t="shared" ref="E22:E25" si="2">E21</f>
        <v>0.1</v>
      </c>
      <c r="F22" s="13">
        <f>'Lokaalkütte omahinnad, 137'!R81</f>
        <v>6802.6934094411372</v>
      </c>
    </row>
    <row r="23" spans="1:6" x14ac:dyDescent="0.3">
      <c r="A23" t="s">
        <v>774</v>
      </c>
      <c r="B23">
        <f t="shared" si="1"/>
        <v>137</v>
      </c>
      <c r="C23" s="14">
        <f>'Lokaalkütte omahinnad, 137'!N84</f>
        <v>95.6</v>
      </c>
      <c r="D23" s="14">
        <f>'Lokaalkütte omahinnad, 137'!O84</f>
        <v>119.39129992699678</v>
      </c>
      <c r="E23" s="27">
        <f t="shared" si="2"/>
        <v>0.1</v>
      </c>
      <c r="F23" s="13">
        <f>'Lokaalkütte omahinnad, 137'!R98</f>
        <v>6426.2597820412311</v>
      </c>
    </row>
    <row r="24" spans="1:6" x14ac:dyDescent="0.3">
      <c r="A24" t="s">
        <v>775</v>
      </c>
      <c r="B24">
        <f t="shared" si="1"/>
        <v>137</v>
      </c>
      <c r="C24" s="14">
        <f>'Lokaalkütte omahinnad, 137'!N101</f>
        <v>156.1</v>
      </c>
      <c r="D24" s="14">
        <f>'Lokaalkütte omahinnad, 137'!O101</f>
        <v>194.94750960883056</v>
      </c>
      <c r="E24" s="27">
        <f t="shared" si="2"/>
        <v>0.1</v>
      </c>
      <c r="F24" s="13">
        <f>'Lokaalkütte omahinnad, 137'!R115</f>
        <v>10493.087363772345</v>
      </c>
    </row>
    <row r="25" spans="1:6" x14ac:dyDescent="0.3">
      <c r="A25" t="s">
        <v>776</v>
      </c>
      <c r="B25">
        <f t="shared" si="1"/>
        <v>137</v>
      </c>
      <c r="C25" s="14">
        <f>'Lokaalkütte omahinnad, 137'!N117</f>
        <v>140.5</v>
      </c>
      <c r="D25" s="14">
        <f>'Lokaalkütte omahinnad, 137'!O117</f>
        <v>175.46524727764694</v>
      </c>
      <c r="E25" s="27">
        <f t="shared" si="2"/>
        <v>0.1</v>
      </c>
      <c r="F25" s="13">
        <f>'Lokaalkütte omahinnad, 137'!R131</f>
        <v>9444.4508303011808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4"/>
  <sheetViews>
    <sheetView topLeftCell="A329" workbookViewId="0">
      <selection activeCell="S351" sqref="S351"/>
    </sheetView>
  </sheetViews>
  <sheetFormatPr defaultRowHeight="14.4" x14ac:dyDescent="0.3"/>
  <sheetData>
    <row r="1" spans="1:17" x14ac:dyDescent="0.3">
      <c r="A1" s="28" t="s">
        <v>0</v>
      </c>
      <c r="B1" s="28"/>
      <c r="C1" s="28"/>
      <c r="D1" s="28"/>
      <c r="E1" s="28"/>
    </row>
    <row r="2" spans="1:17" ht="15" thickBot="1" x14ac:dyDescent="0.35"/>
    <row r="3" spans="1:17" x14ac:dyDescent="0.3">
      <c r="A3" s="3"/>
      <c r="B3" s="4"/>
      <c r="C3" s="4"/>
      <c r="D3" s="24"/>
      <c r="E3" s="5"/>
      <c r="F3" s="24" t="s">
        <v>439</v>
      </c>
      <c r="G3" s="5"/>
      <c r="H3" s="24" t="s">
        <v>6</v>
      </c>
      <c r="I3" s="5"/>
      <c r="J3" s="37" t="s">
        <v>557</v>
      </c>
      <c r="K3" s="37" t="s">
        <v>558</v>
      </c>
      <c r="L3" s="24" t="s">
        <v>560</v>
      </c>
      <c r="M3" s="5"/>
      <c r="N3" s="24" t="s">
        <v>445</v>
      </c>
      <c r="O3" s="5"/>
      <c r="P3" s="36" t="s">
        <v>593</v>
      </c>
      <c r="Q3" s="5"/>
    </row>
    <row r="4" spans="1:17" ht="15" thickBot="1" x14ac:dyDescent="0.35">
      <c r="A4" s="34" t="s">
        <v>3</v>
      </c>
      <c r="B4" s="35"/>
      <c r="C4" s="35"/>
      <c r="D4" s="6" t="s">
        <v>4</v>
      </c>
      <c r="E4" s="7"/>
      <c r="F4" s="6" t="s">
        <v>970</v>
      </c>
      <c r="G4" s="7" t="s">
        <v>5</v>
      </c>
      <c r="H4" s="6"/>
      <c r="I4" s="7"/>
      <c r="J4" s="38" t="s">
        <v>563</v>
      </c>
      <c r="K4" s="38" t="s">
        <v>559</v>
      </c>
      <c r="L4" s="6" t="s">
        <v>561</v>
      </c>
      <c r="M4" s="7"/>
      <c r="N4" s="6" t="s">
        <v>567</v>
      </c>
      <c r="O4" s="7"/>
      <c r="P4" s="6"/>
      <c r="Q4" s="7"/>
    </row>
    <row r="5" spans="1:17" x14ac:dyDescent="0.3">
      <c r="A5" s="78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3">
      <c r="A6" t="s">
        <v>2</v>
      </c>
      <c r="D6" s="1" t="s">
        <v>7</v>
      </c>
    </row>
    <row r="7" spans="1:17" x14ac:dyDescent="0.3">
      <c r="A7" t="s">
        <v>8</v>
      </c>
      <c r="D7" t="s">
        <v>9</v>
      </c>
      <c r="F7">
        <v>50.49</v>
      </c>
      <c r="G7">
        <v>17273</v>
      </c>
      <c r="H7" t="s">
        <v>628</v>
      </c>
      <c r="J7">
        <v>5897</v>
      </c>
      <c r="K7" s="9">
        <f t="shared" ref="K7:K12" si="0">G7/J7</f>
        <v>2.9291164999152111</v>
      </c>
      <c r="L7" s="9">
        <f t="shared" ref="L7:L12" si="1">K7*0.63</f>
        <v>1.8453433949465829</v>
      </c>
    </row>
    <row r="8" spans="1:17" x14ac:dyDescent="0.3">
      <c r="D8" t="s">
        <v>10</v>
      </c>
      <c r="F8">
        <v>74.459999999999994</v>
      </c>
      <c r="G8">
        <v>628</v>
      </c>
      <c r="H8" t="s">
        <v>628</v>
      </c>
      <c r="J8">
        <v>422</v>
      </c>
      <c r="K8" s="9">
        <f t="shared" si="0"/>
        <v>1.4881516587677726</v>
      </c>
      <c r="L8" s="9">
        <f t="shared" si="1"/>
        <v>0.93753554502369674</v>
      </c>
    </row>
    <row r="9" spans="1:17" x14ac:dyDescent="0.3">
      <c r="A9" t="s">
        <v>11</v>
      </c>
      <c r="D9" t="s">
        <v>12</v>
      </c>
      <c r="F9">
        <v>87.88</v>
      </c>
      <c r="G9">
        <v>9360</v>
      </c>
      <c r="H9" t="s">
        <v>629</v>
      </c>
      <c r="J9">
        <v>3000</v>
      </c>
      <c r="K9">
        <f t="shared" si="0"/>
        <v>3.12</v>
      </c>
      <c r="L9" s="9">
        <f t="shared" si="1"/>
        <v>1.9656</v>
      </c>
    </row>
    <row r="10" spans="1:17" x14ac:dyDescent="0.3">
      <c r="D10" t="s">
        <v>387</v>
      </c>
      <c r="F10">
        <v>74.94</v>
      </c>
      <c r="G10">
        <v>2611</v>
      </c>
      <c r="H10" t="s">
        <v>494</v>
      </c>
      <c r="J10">
        <v>470</v>
      </c>
      <c r="K10" s="14">
        <f t="shared" si="0"/>
        <v>5.55531914893617</v>
      </c>
      <c r="L10" s="14">
        <f t="shared" si="1"/>
        <v>3.4998510638297873</v>
      </c>
      <c r="N10">
        <v>74.94</v>
      </c>
      <c r="Q10" t="s">
        <v>406</v>
      </c>
    </row>
    <row r="11" spans="1:17" x14ac:dyDescent="0.3">
      <c r="D11" t="s">
        <v>13</v>
      </c>
      <c r="F11">
        <v>66.92</v>
      </c>
      <c r="G11">
        <v>1383</v>
      </c>
      <c r="H11" t="s">
        <v>722</v>
      </c>
      <c r="J11">
        <v>1110</v>
      </c>
      <c r="K11" s="9">
        <f t="shared" si="0"/>
        <v>1.2459459459459459</v>
      </c>
      <c r="L11" s="9">
        <f t="shared" si="1"/>
        <v>0.78494594594594591</v>
      </c>
    </row>
    <row r="12" spans="1:17" x14ac:dyDescent="0.3">
      <c r="D12" t="s">
        <v>11</v>
      </c>
      <c r="F12">
        <v>61</v>
      </c>
      <c r="G12">
        <v>2316</v>
      </c>
      <c r="H12" t="s">
        <v>892</v>
      </c>
      <c r="J12">
        <v>1643</v>
      </c>
      <c r="K12" s="9">
        <f t="shared" si="0"/>
        <v>1.4096165550821669</v>
      </c>
      <c r="L12" s="9">
        <f t="shared" si="1"/>
        <v>0.88805842970176518</v>
      </c>
    </row>
    <row r="13" spans="1:17" x14ac:dyDescent="0.3">
      <c r="A13" t="s">
        <v>14</v>
      </c>
      <c r="D13" t="s">
        <v>15</v>
      </c>
      <c r="F13">
        <v>82.14</v>
      </c>
      <c r="G13">
        <v>13000</v>
      </c>
      <c r="H13" t="s">
        <v>496</v>
      </c>
      <c r="J13">
        <v>6500</v>
      </c>
      <c r="K13" s="9">
        <f t="shared" ref="K13:K24" si="2">G13/J13</f>
        <v>2</v>
      </c>
      <c r="L13" s="9">
        <f t="shared" ref="L13:L24" si="3">K13*0.63</f>
        <v>1.26</v>
      </c>
      <c r="N13">
        <v>82.14</v>
      </c>
    </row>
    <row r="14" spans="1:17" x14ac:dyDescent="0.3">
      <c r="D14" t="s">
        <v>16</v>
      </c>
      <c r="F14">
        <v>75.33</v>
      </c>
      <c r="G14">
        <v>3300</v>
      </c>
      <c r="H14" t="s">
        <v>496</v>
      </c>
      <c r="J14">
        <v>1800</v>
      </c>
      <c r="K14" s="9">
        <f t="shared" si="2"/>
        <v>1.8333333333333333</v>
      </c>
      <c r="L14" s="9">
        <f t="shared" si="3"/>
        <v>1.155</v>
      </c>
      <c r="N14">
        <v>75.33</v>
      </c>
    </row>
    <row r="15" spans="1:17" x14ac:dyDescent="0.3">
      <c r="A15" t="s">
        <v>17</v>
      </c>
      <c r="D15" t="s">
        <v>388</v>
      </c>
      <c r="F15">
        <v>52.32</v>
      </c>
      <c r="G15">
        <v>44805</v>
      </c>
      <c r="H15" t="s">
        <v>494</v>
      </c>
      <c r="J15">
        <v>12385</v>
      </c>
      <c r="K15" s="9">
        <f t="shared" si="2"/>
        <v>3.6176826806620914</v>
      </c>
      <c r="L15" s="9">
        <f t="shared" si="3"/>
        <v>2.2791400888171176</v>
      </c>
      <c r="N15">
        <v>52.32</v>
      </c>
    </row>
    <row r="16" spans="1:17" x14ac:dyDescent="0.3">
      <c r="A16" t="s">
        <v>18</v>
      </c>
      <c r="D16" t="s">
        <v>19</v>
      </c>
      <c r="F16">
        <v>83.5</v>
      </c>
      <c r="G16">
        <v>1639</v>
      </c>
      <c r="H16" t="s">
        <v>355</v>
      </c>
      <c r="J16">
        <v>400</v>
      </c>
      <c r="K16" s="9">
        <f t="shared" si="2"/>
        <v>4.0975000000000001</v>
      </c>
      <c r="L16" s="9">
        <f t="shared" si="3"/>
        <v>2.5814250000000003</v>
      </c>
      <c r="N16">
        <v>83.5</v>
      </c>
    </row>
    <row r="17" spans="1:16" x14ac:dyDescent="0.3">
      <c r="D17" t="s">
        <v>437</v>
      </c>
      <c r="F17">
        <v>85.48</v>
      </c>
      <c r="G17">
        <v>530</v>
      </c>
      <c r="H17" t="s">
        <v>355</v>
      </c>
      <c r="J17">
        <v>210</v>
      </c>
      <c r="K17" s="9">
        <f t="shared" si="2"/>
        <v>2.5238095238095237</v>
      </c>
      <c r="L17" s="9">
        <f t="shared" si="3"/>
        <v>1.5899999999999999</v>
      </c>
      <c r="N17">
        <v>85.48</v>
      </c>
    </row>
    <row r="18" spans="1:16" x14ac:dyDescent="0.3">
      <c r="D18" t="s">
        <v>438</v>
      </c>
      <c r="F18">
        <v>68.23</v>
      </c>
      <c r="G18">
        <v>1187</v>
      </c>
      <c r="H18" t="s">
        <v>493</v>
      </c>
      <c r="J18">
        <v>240</v>
      </c>
      <c r="K18" s="9">
        <f t="shared" si="2"/>
        <v>4.9458333333333337</v>
      </c>
      <c r="L18" s="9">
        <f t="shared" si="3"/>
        <v>3.1158750000000004</v>
      </c>
      <c r="N18">
        <v>68.23</v>
      </c>
    </row>
    <row r="19" spans="1:16" x14ac:dyDescent="0.3">
      <c r="A19" t="s">
        <v>20</v>
      </c>
      <c r="D19" t="s">
        <v>21</v>
      </c>
      <c r="F19">
        <v>52.15</v>
      </c>
      <c r="G19">
        <v>1075</v>
      </c>
      <c r="H19" t="s">
        <v>564</v>
      </c>
      <c r="J19">
        <v>650</v>
      </c>
      <c r="K19" s="9">
        <f t="shared" si="2"/>
        <v>1.6538461538461537</v>
      </c>
      <c r="L19" s="9">
        <f t="shared" si="3"/>
        <v>1.041923076923077</v>
      </c>
    </row>
    <row r="20" spans="1:16" x14ac:dyDescent="0.3">
      <c r="A20" t="s">
        <v>22</v>
      </c>
      <c r="D20" t="s">
        <v>22</v>
      </c>
      <c r="F20">
        <v>90.2</v>
      </c>
      <c r="G20">
        <v>2405</v>
      </c>
      <c r="H20" t="s">
        <v>355</v>
      </c>
      <c r="J20">
        <v>1900</v>
      </c>
      <c r="K20" s="9">
        <f t="shared" si="2"/>
        <v>1.2657894736842106</v>
      </c>
      <c r="L20" s="9">
        <f t="shared" si="3"/>
        <v>0.79744736842105268</v>
      </c>
      <c r="N20">
        <v>90.2</v>
      </c>
    </row>
    <row r="21" spans="1:16" x14ac:dyDescent="0.3">
      <c r="A21" t="s">
        <v>23</v>
      </c>
      <c r="D21" t="s">
        <v>23</v>
      </c>
      <c r="F21">
        <v>84.07</v>
      </c>
      <c r="G21">
        <v>6105</v>
      </c>
      <c r="H21" t="s">
        <v>598</v>
      </c>
      <c r="J21">
        <v>2385</v>
      </c>
      <c r="K21" s="9">
        <f t="shared" si="2"/>
        <v>2.5597484276729561</v>
      </c>
      <c r="L21" s="9">
        <f t="shared" si="3"/>
        <v>1.6126415094339623</v>
      </c>
      <c r="N21">
        <v>84.07</v>
      </c>
    </row>
    <row r="22" spans="1:16" x14ac:dyDescent="0.3">
      <c r="D22" t="s">
        <v>24</v>
      </c>
      <c r="F22">
        <v>84.07</v>
      </c>
      <c r="G22">
        <v>4284</v>
      </c>
      <c r="H22" t="s">
        <v>598</v>
      </c>
      <c r="J22">
        <v>2294</v>
      </c>
      <c r="K22" s="9">
        <f t="shared" si="2"/>
        <v>1.8674803836094158</v>
      </c>
      <c r="L22" s="9">
        <f t="shared" si="3"/>
        <v>1.176512641673932</v>
      </c>
      <c r="N22">
        <v>84.07</v>
      </c>
    </row>
    <row r="23" spans="1:16" x14ac:dyDescent="0.3">
      <c r="D23" t="s">
        <v>25</v>
      </c>
      <c r="F23">
        <v>84.07</v>
      </c>
      <c r="G23">
        <v>1790</v>
      </c>
      <c r="H23" t="s">
        <v>598</v>
      </c>
      <c r="J23">
        <v>462</v>
      </c>
      <c r="K23" s="9">
        <f t="shared" si="2"/>
        <v>3.8744588744588744</v>
      </c>
      <c r="L23" s="9">
        <f t="shared" si="3"/>
        <v>2.4409090909090909</v>
      </c>
      <c r="N23">
        <v>84.07</v>
      </c>
    </row>
    <row r="24" spans="1:16" x14ac:dyDescent="0.3">
      <c r="A24" t="s">
        <v>26</v>
      </c>
      <c r="D24" t="s">
        <v>27</v>
      </c>
      <c r="F24">
        <v>71.58</v>
      </c>
      <c r="G24">
        <v>3011</v>
      </c>
      <c r="H24" t="s">
        <v>630</v>
      </c>
      <c r="J24">
        <v>962</v>
      </c>
      <c r="K24" s="9">
        <f t="shared" si="2"/>
        <v>3.12993762993763</v>
      </c>
      <c r="L24" s="9">
        <f t="shared" si="3"/>
        <v>1.971860706860707</v>
      </c>
    </row>
    <row r="25" spans="1:16" x14ac:dyDescent="0.3">
      <c r="A25" t="s">
        <v>28</v>
      </c>
      <c r="D25" t="s">
        <v>28</v>
      </c>
      <c r="F25">
        <v>82.57</v>
      </c>
      <c r="G25">
        <v>5000</v>
      </c>
      <c r="H25" t="s">
        <v>631</v>
      </c>
      <c r="J25">
        <v>1620</v>
      </c>
      <c r="K25" s="9">
        <f>G25/J25</f>
        <v>3.0864197530864197</v>
      </c>
      <c r="L25" s="9">
        <f>K25*0.63</f>
        <v>1.9444444444444444</v>
      </c>
      <c r="P25" t="s">
        <v>223</v>
      </c>
    </row>
    <row r="26" spans="1:16" x14ac:dyDescent="0.3">
      <c r="D26" t="s">
        <v>632</v>
      </c>
      <c r="F26">
        <v>82.57</v>
      </c>
      <c r="G26">
        <v>1500</v>
      </c>
      <c r="H26" t="s">
        <v>631</v>
      </c>
      <c r="J26">
        <v>1588</v>
      </c>
      <c r="K26" s="9">
        <f>G26/J26</f>
        <v>0.94458438287153657</v>
      </c>
      <c r="L26" s="9">
        <f>K26*0.63</f>
        <v>0.59508816120906805</v>
      </c>
    </row>
    <row r="27" spans="1:16" x14ac:dyDescent="0.3">
      <c r="D27" t="s">
        <v>29</v>
      </c>
      <c r="F27">
        <v>54.32</v>
      </c>
      <c r="G27">
        <v>4100</v>
      </c>
      <c r="H27" t="s">
        <v>631</v>
      </c>
      <c r="J27">
        <v>1620</v>
      </c>
      <c r="K27" s="9">
        <f>G27/J27</f>
        <v>2.5308641975308643</v>
      </c>
      <c r="L27" s="9">
        <f>K27*0.63</f>
        <v>1.5944444444444446</v>
      </c>
    </row>
    <row r="28" spans="1:16" x14ac:dyDescent="0.3">
      <c r="A28" t="s">
        <v>30</v>
      </c>
      <c r="D28" t="s">
        <v>93</v>
      </c>
      <c r="F28">
        <v>69.37</v>
      </c>
      <c r="G28">
        <v>14176</v>
      </c>
      <c r="H28" t="s">
        <v>355</v>
      </c>
      <c r="J28">
        <v>4700</v>
      </c>
      <c r="K28" s="9">
        <f>G28/J28</f>
        <v>3.0161702127659575</v>
      </c>
      <c r="L28" s="9">
        <f>K28*0.63</f>
        <v>1.9001872340425532</v>
      </c>
      <c r="N28">
        <v>69.37</v>
      </c>
    </row>
    <row r="29" spans="1:16" x14ac:dyDescent="0.3">
      <c r="A29" t="s">
        <v>31</v>
      </c>
      <c r="D29" t="s">
        <v>432</v>
      </c>
      <c r="G29" t="s">
        <v>433</v>
      </c>
    </row>
    <row r="30" spans="1:16" x14ac:dyDescent="0.3">
      <c r="A30" t="s">
        <v>33</v>
      </c>
      <c r="D30" t="s">
        <v>34</v>
      </c>
      <c r="F30">
        <v>77.010000000000005</v>
      </c>
      <c r="G30">
        <v>3079</v>
      </c>
      <c r="H30" t="s">
        <v>569</v>
      </c>
      <c r="J30">
        <v>1830</v>
      </c>
      <c r="K30" s="9">
        <f>G30/J30</f>
        <v>1.6825136612021858</v>
      </c>
      <c r="L30" s="9">
        <f>K30*0.63</f>
        <v>1.0599836065573771</v>
      </c>
      <c r="N30">
        <v>77.010000000000005</v>
      </c>
    </row>
    <row r="31" spans="1:16" x14ac:dyDescent="0.3">
      <c r="D31" t="s">
        <v>35</v>
      </c>
      <c r="F31">
        <v>85.98</v>
      </c>
      <c r="G31">
        <v>3795</v>
      </c>
      <c r="H31" t="s">
        <v>355</v>
      </c>
      <c r="J31">
        <v>2500</v>
      </c>
      <c r="K31" s="9">
        <f>G31/J31</f>
        <v>1.518</v>
      </c>
      <c r="L31" s="9">
        <f>K31*0.63</f>
        <v>0.95633999999999997</v>
      </c>
      <c r="N31">
        <v>85.98</v>
      </c>
    </row>
    <row r="32" spans="1:16" x14ac:dyDescent="0.3">
      <c r="A32" t="s">
        <v>36</v>
      </c>
      <c r="D32" t="s">
        <v>36</v>
      </c>
      <c r="F32">
        <v>48.57</v>
      </c>
      <c r="G32">
        <v>3848</v>
      </c>
      <c r="H32" t="s">
        <v>634</v>
      </c>
      <c r="J32">
        <v>1780</v>
      </c>
      <c r="K32" s="9">
        <f>G32/J32</f>
        <v>2.1617977528089889</v>
      </c>
      <c r="L32" s="9">
        <f>K32*0.63</f>
        <v>1.361932584269663</v>
      </c>
      <c r="N32" t="s">
        <v>635</v>
      </c>
      <c r="P32" t="s">
        <v>633</v>
      </c>
    </row>
    <row r="33" spans="1:19" x14ac:dyDescent="0.3">
      <c r="A33" t="s">
        <v>37</v>
      </c>
      <c r="D33" t="s">
        <v>369</v>
      </c>
      <c r="F33">
        <v>51.65</v>
      </c>
      <c r="G33">
        <v>21081</v>
      </c>
      <c r="H33" t="s">
        <v>570</v>
      </c>
      <c r="J33">
        <v>5320</v>
      </c>
      <c r="K33" s="9">
        <f>G33/J33</f>
        <v>3.9625939849624059</v>
      </c>
      <c r="L33" s="9">
        <f>K33*0.63</f>
        <v>2.4964342105263158</v>
      </c>
      <c r="N33">
        <v>51.65</v>
      </c>
    </row>
    <row r="34" spans="1:19" x14ac:dyDescent="0.3">
      <c r="A34" t="s">
        <v>38</v>
      </c>
      <c r="D34" t="s">
        <v>38</v>
      </c>
      <c r="F34">
        <v>75.650000000000006</v>
      </c>
      <c r="G34">
        <v>825</v>
      </c>
      <c r="H34" t="s">
        <v>495</v>
      </c>
      <c r="J34">
        <v>4000</v>
      </c>
      <c r="N34">
        <v>75.36</v>
      </c>
      <c r="P34" t="s">
        <v>642</v>
      </c>
    </row>
    <row r="35" spans="1:19" x14ac:dyDescent="0.3">
      <c r="D35" t="s">
        <v>39</v>
      </c>
      <c r="F35">
        <v>72.2</v>
      </c>
      <c r="G35">
        <v>3607</v>
      </c>
      <c r="H35" t="s">
        <v>636</v>
      </c>
      <c r="J35">
        <v>1400</v>
      </c>
      <c r="K35" s="9">
        <f>G35/J35</f>
        <v>2.5764285714285715</v>
      </c>
      <c r="L35" s="9">
        <f>K35*0.63</f>
        <v>1.6231500000000001</v>
      </c>
      <c r="N35">
        <v>72.2</v>
      </c>
    </row>
    <row r="36" spans="1:19" x14ac:dyDescent="0.3">
      <c r="A36" t="s">
        <v>40</v>
      </c>
      <c r="D36" t="s">
        <v>41</v>
      </c>
      <c r="F36">
        <v>53.95</v>
      </c>
      <c r="G36">
        <v>18130</v>
      </c>
      <c r="H36" t="s">
        <v>511</v>
      </c>
      <c r="J36">
        <v>8430</v>
      </c>
      <c r="K36" s="9">
        <f>G36/J36</f>
        <v>2.1506524317912219</v>
      </c>
      <c r="L36" s="9">
        <f>K36*0.63</f>
        <v>1.3549110320284699</v>
      </c>
      <c r="N36">
        <v>53.95</v>
      </c>
      <c r="P36" t="s">
        <v>79</v>
      </c>
    </row>
    <row r="37" spans="1:19" x14ac:dyDescent="0.3">
      <c r="P37" t="s">
        <v>80</v>
      </c>
    </row>
    <row r="38" spans="1:19" x14ac:dyDescent="0.3">
      <c r="D38" t="s">
        <v>42</v>
      </c>
      <c r="F38">
        <v>53.95</v>
      </c>
      <c r="G38">
        <v>2450</v>
      </c>
      <c r="H38" t="s">
        <v>511</v>
      </c>
      <c r="J38">
        <v>1720</v>
      </c>
      <c r="K38" s="9">
        <f>G38/J38</f>
        <v>1.4244186046511629</v>
      </c>
      <c r="L38" s="9">
        <f>K38*0.63</f>
        <v>0.89738372093023266</v>
      </c>
      <c r="N38">
        <v>53.95</v>
      </c>
    </row>
    <row r="39" spans="1:19" x14ac:dyDescent="0.3">
      <c r="D39" t="s">
        <v>43</v>
      </c>
      <c r="F39">
        <v>71.19</v>
      </c>
      <c r="G39">
        <v>4495</v>
      </c>
      <c r="H39" t="s">
        <v>510</v>
      </c>
      <c r="J39">
        <v>1300</v>
      </c>
      <c r="K39" s="9">
        <f>G39/J39</f>
        <v>3.4576923076923078</v>
      </c>
      <c r="L39" s="9">
        <f>K39*0.63</f>
        <v>2.1783461538461539</v>
      </c>
      <c r="N39">
        <v>71.19</v>
      </c>
    </row>
    <row r="40" spans="1:19" x14ac:dyDescent="0.3">
      <c r="D40" t="s">
        <v>44</v>
      </c>
      <c r="F40">
        <v>81</v>
      </c>
      <c r="G40">
        <v>4500</v>
      </c>
      <c r="H40" t="s">
        <v>637</v>
      </c>
      <c r="J40">
        <v>5000</v>
      </c>
      <c r="K40">
        <f>G40/J40</f>
        <v>0.9</v>
      </c>
      <c r="L40">
        <v>0.9</v>
      </c>
      <c r="N40">
        <v>81</v>
      </c>
      <c r="P40" t="s">
        <v>638</v>
      </c>
    </row>
    <row r="41" spans="1:19" x14ac:dyDescent="0.3">
      <c r="A41" t="s">
        <v>45</v>
      </c>
      <c r="D41" t="s">
        <v>46</v>
      </c>
      <c r="F41">
        <v>60.78</v>
      </c>
      <c r="G41">
        <v>1660</v>
      </c>
      <c r="H41" t="s">
        <v>568</v>
      </c>
      <c r="J41">
        <v>574</v>
      </c>
      <c r="K41" s="9">
        <f>G41/J41</f>
        <v>2.8919860627177703</v>
      </c>
      <c r="L41" s="9">
        <f>K41*0.63</f>
        <v>1.8219512195121952</v>
      </c>
      <c r="N41">
        <v>60.78</v>
      </c>
    </row>
    <row r="42" spans="1:19" x14ac:dyDescent="0.3">
      <c r="D42" t="s">
        <v>45</v>
      </c>
      <c r="F42">
        <v>69.13</v>
      </c>
      <c r="G42">
        <v>17481</v>
      </c>
      <c r="H42" t="s">
        <v>568</v>
      </c>
      <c r="J42">
        <v>7475</v>
      </c>
      <c r="K42" s="9">
        <f>G42/J42</f>
        <v>2.3385953177257526</v>
      </c>
      <c r="L42" s="9">
        <f>K42*0.63</f>
        <v>1.4733150501672241</v>
      </c>
      <c r="N42">
        <v>69.13</v>
      </c>
    </row>
    <row r="43" spans="1:19" x14ac:dyDescent="0.3">
      <c r="A43" t="s">
        <v>47</v>
      </c>
      <c r="D43" t="s">
        <v>370</v>
      </c>
      <c r="F43">
        <v>76.33</v>
      </c>
      <c r="G43">
        <v>17300</v>
      </c>
      <c r="H43" t="s">
        <v>496</v>
      </c>
      <c r="J43">
        <v>8600</v>
      </c>
      <c r="K43" s="9">
        <f t="shared" ref="K43:K65" si="4">G43/J43</f>
        <v>2.0116279069767442</v>
      </c>
      <c r="L43" s="9">
        <f t="shared" ref="L43:L65" si="5">K43*0.63</f>
        <v>1.2673255813953488</v>
      </c>
      <c r="N43">
        <v>76.33</v>
      </c>
    </row>
    <row r="44" spans="1:19" x14ac:dyDescent="0.3">
      <c r="A44" t="s">
        <v>48</v>
      </c>
      <c r="D44" t="s">
        <v>49</v>
      </c>
      <c r="F44">
        <v>75.12</v>
      </c>
      <c r="G44">
        <v>17871</v>
      </c>
      <c r="H44" t="s">
        <v>496</v>
      </c>
      <c r="J44">
        <v>6500</v>
      </c>
      <c r="K44" s="9">
        <f t="shared" si="4"/>
        <v>2.7493846153846153</v>
      </c>
      <c r="L44" s="9">
        <f t="shared" si="5"/>
        <v>1.7321123076923077</v>
      </c>
      <c r="N44">
        <v>75.12</v>
      </c>
    </row>
    <row r="45" spans="1:19" x14ac:dyDescent="0.3">
      <c r="A45" t="s">
        <v>50</v>
      </c>
      <c r="D45" t="s">
        <v>51</v>
      </c>
      <c r="F45">
        <v>81.37</v>
      </c>
      <c r="G45">
        <v>6964</v>
      </c>
      <c r="H45" t="s">
        <v>355</v>
      </c>
      <c r="J45">
        <v>1900</v>
      </c>
      <c r="K45" s="9">
        <f t="shared" si="4"/>
        <v>3.6652631578947368</v>
      </c>
      <c r="L45" s="9">
        <f t="shared" si="5"/>
        <v>2.309115789473684</v>
      </c>
      <c r="N45">
        <v>81.37</v>
      </c>
      <c r="P45" t="s">
        <v>566</v>
      </c>
    </row>
    <row r="46" spans="1:19" x14ac:dyDescent="0.3">
      <c r="A46" t="s">
        <v>52</v>
      </c>
      <c r="D46" t="s">
        <v>52</v>
      </c>
      <c r="F46">
        <v>75.349999999999994</v>
      </c>
      <c r="G46">
        <v>7124</v>
      </c>
      <c r="H46" t="s">
        <v>496</v>
      </c>
      <c r="J46">
        <v>3100</v>
      </c>
      <c r="K46" s="9">
        <f t="shared" si="4"/>
        <v>2.2980645161290321</v>
      </c>
      <c r="L46" s="9">
        <f t="shared" si="5"/>
        <v>1.4477806451612902</v>
      </c>
      <c r="N46">
        <v>75.349999999999994</v>
      </c>
    </row>
    <row r="47" spans="1:19" x14ac:dyDescent="0.3">
      <c r="D47" t="s">
        <v>53</v>
      </c>
      <c r="F47">
        <v>70.62</v>
      </c>
      <c r="G47">
        <v>21781</v>
      </c>
      <c r="H47" t="s">
        <v>496</v>
      </c>
      <c r="J47">
        <v>8100</v>
      </c>
      <c r="K47" s="9">
        <f t="shared" si="4"/>
        <v>2.6890123456790125</v>
      </c>
      <c r="L47" s="9">
        <f t="shared" si="5"/>
        <v>1.6940777777777778</v>
      </c>
      <c r="N47">
        <v>70.62</v>
      </c>
    </row>
    <row r="48" spans="1:19" x14ac:dyDescent="0.3">
      <c r="A48" t="s">
        <v>54</v>
      </c>
      <c r="D48" t="s">
        <v>55</v>
      </c>
      <c r="F48">
        <v>66.760000000000005</v>
      </c>
      <c r="G48">
        <v>1707000</v>
      </c>
      <c r="H48" t="s">
        <v>565</v>
      </c>
      <c r="J48">
        <v>421000</v>
      </c>
      <c r="K48" s="9">
        <f t="shared" si="4"/>
        <v>4.0546318289786223</v>
      </c>
      <c r="L48" s="9">
        <f t="shared" si="5"/>
        <v>2.5544180522565321</v>
      </c>
      <c r="N48">
        <v>66.760000000000005</v>
      </c>
      <c r="R48">
        <f>SUM(G48:G67)</f>
        <v>1784800</v>
      </c>
      <c r="S48" t="s">
        <v>713</v>
      </c>
    </row>
    <row r="49" spans="3:14" x14ac:dyDescent="0.3">
      <c r="C49" t="s">
        <v>56</v>
      </c>
      <c r="D49" t="s">
        <v>500</v>
      </c>
      <c r="F49">
        <v>66.209999999999994</v>
      </c>
      <c r="G49">
        <v>8410</v>
      </c>
      <c r="H49" t="s">
        <v>496</v>
      </c>
      <c r="J49">
        <v>2600</v>
      </c>
      <c r="K49" s="9">
        <f t="shared" si="4"/>
        <v>3.2346153846153847</v>
      </c>
      <c r="L49" s="9">
        <f t="shared" si="5"/>
        <v>2.0378076923076924</v>
      </c>
      <c r="N49">
        <v>66.209999999999994</v>
      </c>
    </row>
    <row r="50" spans="3:14" x14ac:dyDescent="0.3">
      <c r="D50" t="s">
        <v>571</v>
      </c>
      <c r="F50">
        <v>66.209999999999994</v>
      </c>
      <c r="G50">
        <v>2391</v>
      </c>
      <c r="H50" t="s">
        <v>496</v>
      </c>
      <c r="J50">
        <v>900</v>
      </c>
      <c r="K50" s="9">
        <f t="shared" si="4"/>
        <v>2.6566666666666667</v>
      </c>
      <c r="L50" s="9">
        <f t="shared" si="5"/>
        <v>1.6737</v>
      </c>
      <c r="N50">
        <v>66.209999999999994</v>
      </c>
    </row>
    <row r="51" spans="3:14" x14ac:dyDescent="0.3">
      <c r="D51" t="s">
        <v>501</v>
      </c>
      <c r="F51">
        <v>66.209999999999994</v>
      </c>
      <c r="G51">
        <v>845</v>
      </c>
      <c r="H51" t="s">
        <v>496</v>
      </c>
      <c r="J51">
        <v>300</v>
      </c>
      <c r="K51" s="9">
        <f t="shared" si="4"/>
        <v>2.8166666666666669</v>
      </c>
      <c r="L51" s="9">
        <f t="shared" si="5"/>
        <v>1.7745000000000002</v>
      </c>
      <c r="N51">
        <v>66.209999999999994</v>
      </c>
    </row>
    <row r="52" spans="3:14" x14ac:dyDescent="0.3">
      <c r="D52" t="s">
        <v>572</v>
      </c>
      <c r="F52">
        <v>66.209999999999994</v>
      </c>
      <c r="G52">
        <v>7826</v>
      </c>
      <c r="H52" t="s">
        <v>496</v>
      </c>
      <c r="J52">
        <v>2800</v>
      </c>
      <c r="K52" s="9">
        <f t="shared" si="4"/>
        <v>2.7949999999999999</v>
      </c>
      <c r="L52" s="9">
        <f t="shared" si="5"/>
        <v>1.76085</v>
      </c>
      <c r="N52">
        <v>66.209999999999994</v>
      </c>
    </row>
    <row r="53" spans="3:14" x14ac:dyDescent="0.3">
      <c r="D53" t="s">
        <v>502</v>
      </c>
      <c r="F53">
        <v>66.209999999999994</v>
      </c>
      <c r="G53">
        <v>1565</v>
      </c>
      <c r="H53" t="s">
        <v>496</v>
      </c>
      <c r="J53">
        <v>400</v>
      </c>
      <c r="K53" s="9">
        <f t="shared" si="4"/>
        <v>3.9125000000000001</v>
      </c>
      <c r="L53" s="9">
        <f t="shared" si="5"/>
        <v>2.4648750000000001</v>
      </c>
      <c r="N53">
        <v>66.209999999999994</v>
      </c>
    </row>
    <row r="54" spans="3:14" x14ac:dyDescent="0.3">
      <c r="D54" t="s">
        <v>573</v>
      </c>
      <c r="F54">
        <v>66.209999999999994</v>
      </c>
      <c r="G54">
        <v>5835</v>
      </c>
      <c r="H54" t="s">
        <v>496</v>
      </c>
      <c r="J54">
        <v>2600</v>
      </c>
      <c r="K54" s="9">
        <f t="shared" si="4"/>
        <v>2.2442307692307693</v>
      </c>
      <c r="L54" s="9">
        <f t="shared" si="5"/>
        <v>1.4138653846153846</v>
      </c>
      <c r="N54">
        <v>66.209999999999994</v>
      </c>
    </row>
    <row r="55" spans="3:14" x14ac:dyDescent="0.3">
      <c r="C55" t="s">
        <v>574</v>
      </c>
      <c r="D55" t="s">
        <v>497</v>
      </c>
      <c r="F55">
        <v>68.7</v>
      </c>
      <c r="G55">
        <v>1438</v>
      </c>
      <c r="H55" t="s">
        <v>496</v>
      </c>
      <c r="J55">
        <v>300</v>
      </c>
      <c r="K55" s="9">
        <f t="shared" si="4"/>
        <v>4.793333333333333</v>
      </c>
      <c r="L55" s="9">
        <f t="shared" si="5"/>
        <v>3.0197999999999996</v>
      </c>
      <c r="N55">
        <v>68.7</v>
      </c>
    </row>
    <row r="56" spans="3:14" x14ac:dyDescent="0.3">
      <c r="D56" t="s">
        <v>575</v>
      </c>
      <c r="F56">
        <v>68.7</v>
      </c>
      <c r="G56">
        <v>1600</v>
      </c>
      <c r="H56" t="s">
        <v>496</v>
      </c>
      <c r="J56">
        <v>300</v>
      </c>
      <c r="K56" s="9">
        <f t="shared" si="4"/>
        <v>5.333333333333333</v>
      </c>
      <c r="L56" s="9">
        <f t="shared" si="5"/>
        <v>3.36</v>
      </c>
      <c r="N56">
        <v>68.7</v>
      </c>
    </row>
    <row r="57" spans="3:14" x14ac:dyDescent="0.3">
      <c r="D57" t="s">
        <v>576</v>
      </c>
      <c r="F57">
        <v>68.7</v>
      </c>
      <c r="G57">
        <v>872</v>
      </c>
      <c r="H57" t="s">
        <v>496</v>
      </c>
      <c r="J57">
        <v>200</v>
      </c>
      <c r="K57" s="9">
        <f t="shared" si="4"/>
        <v>4.3600000000000003</v>
      </c>
      <c r="L57" s="9">
        <f t="shared" si="5"/>
        <v>2.7468000000000004</v>
      </c>
      <c r="N57">
        <v>68.7</v>
      </c>
    </row>
    <row r="58" spans="3:14" x14ac:dyDescent="0.3">
      <c r="D58" t="s">
        <v>498</v>
      </c>
      <c r="F58">
        <v>68.7</v>
      </c>
      <c r="G58">
        <v>1010</v>
      </c>
      <c r="H58" t="s">
        <v>496</v>
      </c>
      <c r="J58">
        <v>100</v>
      </c>
      <c r="K58" s="9">
        <f t="shared" si="4"/>
        <v>10.1</v>
      </c>
      <c r="L58" s="9">
        <f t="shared" si="5"/>
        <v>6.3629999999999995</v>
      </c>
      <c r="N58">
        <v>68.7</v>
      </c>
    </row>
    <row r="59" spans="3:14" x14ac:dyDescent="0.3">
      <c r="D59" t="s">
        <v>577</v>
      </c>
      <c r="F59">
        <v>68.7</v>
      </c>
      <c r="G59">
        <v>5034</v>
      </c>
      <c r="H59" t="s">
        <v>496</v>
      </c>
      <c r="J59">
        <v>800</v>
      </c>
      <c r="K59" s="9">
        <f t="shared" si="4"/>
        <v>6.2925000000000004</v>
      </c>
      <c r="L59" s="9">
        <f t="shared" si="5"/>
        <v>3.9642750000000002</v>
      </c>
      <c r="N59">
        <v>68.7</v>
      </c>
    </row>
    <row r="60" spans="3:14" x14ac:dyDescent="0.3">
      <c r="D60" t="s">
        <v>499</v>
      </c>
      <c r="F60">
        <v>68.7</v>
      </c>
      <c r="G60">
        <v>5323</v>
      </c>
      <c r="H60" t="s">
        <v>496</v>
      </c>
      <c r="J60">
        <v>2800</v>
      </c>
      <c r="K60" s="9">
        <f t="shared" si="4"/>
        <v>1.9010714285714285</v>
      </c>
      <c r="L60" s="9">
        <f t="shared" si="5"/>
        <v>1.197675</v>
      </c>
      <c r="N60">
        <v>68.7</v>
      </c>
    </row>
    <row r="61" spans="3:14" x14ac:dyDescent="0.3">
      <c r="C61" t="s">
        <v>578</v>
      </c>
      <c r="D61" t="s">
        <v>503</v>
      </c>
      <c r="F61">
        <v>70.14</v>
      </c>
      <c r="G61">
        <v>12120</v>
      </c>
      <c r="H61" t="s">
        <v>496</v>
      </c>
      <c r="J61">
        <v>3600</v>
      </c>
      <c r="K61" s="9">
        <f t="shared" si="4"/>
        <v>3.3666666666666667</v>
      </c>
      <c r="L61" s="9">
        <f t="shared" si="5"/>
        <v>2.121</v>
      </c>
      <c r="N61">
        <v>70.14</v>
      </c>
    </row>
    <row r="62" spans="3:14" x14ac:dyDescent="0.3">
      <c r="D62" t="s">
        <v>504</v>
      </c>
      <c r="F62">
        <v>70.14</v>
      </c>
      <c r="G62">
        <v>609</v>
      </c>
      <c r="H62" t="s">
        <v>496</v>
      </c>
      <c r="J62">
        <v>300</v>
      </c>
      <c r="K62" s="9">
        <f t="shared" si="4"/>
        <v>2.0299999999999998</v>
      </c>
      <c r="L62" s="9">
        <f t="shared" si="5"/>
        <v>1.2788999999999999</v>
      </c>
      <c r="N62">
        <v>70.14</v>
      </c>
    </row>
    <row r="63" spans="3:14" x14ac:dyDescent="0.3">
      <c r="D63" t="s">
        <v>505</v>
      </c>
      <c r="F63">
        <v>70.14</v>
      </c>
      <c r="G63">
        <v>1631</v>
      </c>
      <c r="H63" t="s">
        <v>496</v>
      </c>
      <c r="J63">
        <v>600</v>
      </c>
      <c r="K63" s="9">
        <f t="shared" si="4"/>
        <v>2.7183333333333333</v>
      </c>
      <c r="L63" s="9">
        <f t="shared" si="5"/>
        <v>1.71255</v>
      </c>
      <c r="N63">
        <v>70.14</v>
      </c>
    </row>
    <row r="64" spans="3:14" x14ac:dyDescent="0.3">
      <c r="D64" t="s">
        <v>513</v>
      </c>
      <c r="F64">
        <v>81.739999999999995</v>
      </c>
      <c r="G64">
        <v>3345</v>
      </c>
      <c r="H64" t="s">
        <v>583</v>
      </c>
      <c r="J64">
        <v>2050</v>
      </c>
      <c r="K64" s="9">
        <f t="shared" si="4"/>
        <v>1.6317073170731706</v>
      </c>
      <c r="L64" s="9">
        <f t="shared" si="5"/>
        <v>1.0279756097560975</v>
      </c>
      <c r="N64">
        <v>81.739999999999995</v>
      </c>
    </row>
    <row r="65" spans="1:16" x14ac:dyDescent="0.3">
      <c r="D65" t="s">
        <v>579</v>
      </c>
      <c r="F65">
        <v>70.430000000000007</v>
      </c>
      <c r="G65">
        <v>2092</v>
      </c>
      <c r="H65" t="s">
        <v>584</v>
      </c>
      <c r="J65">
        <v>300</v>
      </c>
      <c r="K65" s="9">
        <f t="shared" si="4"/>
        <v>6.9733333333333336</v>
      </c>
      <c r="L65" s="9">
        <f t="shared" si="5"/>
        <v>4.3932000000000002</v>
      </c>
      <c r="N65">
        <v>70.430000000000007</v>
      </c>
    </row>
    <row r="66" spans="1:16" x14ac:dyDescent="0.3">
      <c r="D66" t="s">
        <v>580</v>
      </c>
      <c r="F66">
        <v>65.790000000000006</v>
      </c>
      <c r="G66">
        <v>9154</v>
      </c>
      <c r="H66" t="s">
        <v>585</v>
      </c>
      <c r="J66">
        <v>1200</v>
      </c>
      <c r="K66" s="9">
        <f>G66/J66</f>
        <v>7.628333333333333</v>
      </c>
      <c r="L66" s="9">
        <f>K66*0.63</f>
        <v>4.8058499999999995</v>
      </c>
      <c r="N66">
        <v>65.790000000000006</v>
      </c>
    </row>
    <row r="67" spans="1:16" x14ac:dyDescent="0.3">
      <c r="D67" t="s">
        <v>581</v>
      </c>
      <c r="F67">
        <v>73.13</v>
      </c>
      <c r="G67">
        <v>6700</v>
      </c>
      <c r="H67" t="s">
        <v>582</v>
      </c>
      <c r="J67">
        <v>1200</v>
      </c>
      <c r="K67" s="9">
        <f>G67/J67</f>
        <v>5.583333333333333</v>
      </c>
      <c r="L67" s="9">
        <f>K67*0.63</f>
        <v>3.5174999999999996</v>
      </c>
      <c r="N67">
        <v>73.13</v>
      </c>
    </row>
    <row r="68" spans="1:16" x14ac:dyDescent="0.3">
      <c r="A68" s="1" t="s">
        <v>57</v>
      </c>
    </row>
    <row r="69" spans="1:16" x14ac:dyDescent="0.3">
      <c r="A69" t="s">
        <v>58</v>
      </c>
      <c r="D69" t="s">
        <v>407</v>
      </c>
      <c r="F69">
        <v>55.45</v>
      </c>
      <c r="G69">
        <v>7344</v>
      </c>
      <c r="H69" t="s">
        <v>494</v>
      </c>
      <c r="J69">
        <v>5854</v>
      </c>
      <c r="K69" s="9">
        <f>G69/J69</f>
        <v>1.2545268192688759</v>
      </c>
      <c r="L69" s="9">
        <f>K69*0.63</f>
        <v>0.79035189613939183</v>
      </c>
      <c r="N69">
        <v>55.45</v>
      </c>
    </row>
    <row r="70" spans="1:16" x14ac:dyDescent="0.3">
      <c r="A70" t="s">
        <v>59</v>
      </c>
      <c r="D70" s="1" t="s">
        <v>7</v>
      </c>
    </row>
    <row r="71" spans="1:16" x14ac:dyDescent="0.3">
      <c r="A71" t="s">
        <v>60</v>
      </c>
      <c r="D71" s="1" t="s">
        <v>7</v>
      </c>
    </row>
    <row r="72" spans="1:16" x14ac:dyDescent="0.3">
      <c r="A72" t="s">
        <v>61</v>
      </c>
      <c r="D72" s="1" t="s">
        <v>7</v>
      </c>
    </row>
    <row r="73" spans="1:16" x14ac:dyDescent="0.3">
      <c r="A73" t="s">
        <v>62</v>
      </c>
      <c r="D73" t="s">
        <v>63</v>
      </c>
      <c r="F73">
        <v>56.56</v>
      </c>
      <c r="G73">
        <v>1126</v>
      </c>
      <c r="H73" t="s">
        <v>599</v>
      </c>
      <c r="J73">
        <v>200</v>
      </c>
      <c r="K73">
        <f>G73/J73</f>
        <v>5.63</v>
      </c>
      <c r="L73" s="9">
        <f>K73*0.63</f>
        <v>3.5468999999999999</v>
      </c>
    </row>
    <row r="74" spans="1:16" x14ac:dyDescent="0.3">
      <c r="A74" s="1" t="s">
        <v>64</v>
      </c>
    </row>
    <row r="75" spans="1:16" x14ac:dyDescent="0.3">
      <c r="A75" t="s">
        <v>65</v>
      </c>
      <c r="D75" s="1" t="s">
        <v>263</v>
      </c>
      <c r="P75" t="s">
        <v>362</v>
      </c>
    </row>
    <row r="76" spans="1:16" x14ac:dyDescent="0.3">
      <c r="A76" t="s">
        <v>66</v>
      </c>
      <c r="D76" t="s">
        <v>66</v>
      </c>
      <c r="F76">
        <v>69.239999999999995</v>
      </c>
      <c r="G76">
        <v>7233</v>
      </c>
      <c r="H76" t="s">
        <v>626</v>
      </c>
      <c r="J76">
        <v>3970</v>
      </c>
      <c r="K76" s="9">
        <f>G76/J76</f>
        <v>1.8219143576826196</v>
      </c>
      <c r="L76" s="9">
        <f>K76*0.63</f>
        <v>1.1478060453400503</v>
      </c>
      <c r="N76">
        <v>69.239999999999995</v>
      </c>
    </row>
    <row r="77" spans="1:16" x14ac:dyDescent="0.3">
      <c r="A77" t="s">
        <v>67</v>
      </c>
      <c r="D77" t="s">
        <v>67</v>
      </c>
      <c r="F77">
        <v>58.28</v>
      </c>
      <c r="G77">
        <v>2820</v>
      </c>
      <c r="H77" t="s">
        <v>627</v>
      </c>
      <c r="J77">
        <v>1200</v>
      </c>
      <c r="K77">
        <f>G77/J77</f>
        <v>2.35</v>
      </c>
      <c r="L77" s="9">
        <f>K77*0.63</f>
        <v>1.4805000000000001</v>
      </c>
      <c r="N77">
        <v>58.28</v>
      </c>
    </row>
    <row r="78" spans="1:16" x14ac:dyDescent="0.3">
      <c r="A78" t="s">
        <v>68</v>
      </c>
      <c r="D78" t="s">
        <v>68</v>
      </c>
      <c r="F78">
        <v>75.010000000000005</v>
      </c>
      <c r="G78">
        <v>963</v>
      </c>
      <c r="H78" t="s">
        <v>586</v>
      </c>
      <c r="J78">
        <v>300</v>
      </c>
      <c r="K78">
        <f>G78/J78</f>
        <v>3.21</v>
      </c>
      <c r="L78" s="9">
        <f>K78*0.63</f>
        <v>2.0223</v>
      </c>
      <c r="N78">
        <v>75.010000000000005</v>
      </c>
    </row>
    <row r="79" spans="1:16" x14ac:dyDescent="0.3">
      <c r="D79" t="s">
        <v>640</v>
      </c>
      <c r="F79">
        <v>75.010000000000005</v>
      </c>
      <c r="G79">
        <v>963</v>
      </c>
      <c r="H79" t="s">
        <v>586</v>
      </c>
      <c r="J79">
        <v>100</v>
      </c>
      <c r="K79">
        <f>G79/J79</f>
        <v>9.6300000000000008</v>
      </c>
      <c r="L79" s="9">
        <f>K79*0.63</f>
        <v>6.0669000000000004</v>
      </c>
    </row>
    <row r="80" spans="1:16" x14ac:dyDescent="0.3">
      <c r="D80" t="s">
        <v>639</v>
      </c>
      <c r="F80">
        <v>75.010000000000005</v>
      </c>
      <c r="G80">
        <v>749</v>
      </c>
      <c r="H80" t="s">
        <v>586</v>
      </c>
      <c r="J80">
        <v>1700</v>
      </c>
      <c r="K80" s="9">
        <f>G80/J80</f>
        <v>0.44058823529411767</v>
      </c>
      <c r="L80" s="9">
        <f>K80*0.63</f>
        <v>0.27757058823529412</v>
      </c>
    </row>
    <row r="81" spans="1:16" x14ac:dyDescent="0.3">
      <c r="A81" t="s">
        <v>69</v>
      </c>
      <c r="D81" s="1" t="s">
        <v>7</v>
      </c>
      <c r="P81" t="s">
        <v>362</v>
      </c>
    </row>
    <row r="82" spans="1:16" x14ac:dyDescent="0.3">
      <c r="A82" t="s">
        <v>74</v>
      </c>
      <c r="D82" t="s">
        <v>73</v>
      </c>
      <c r="F82">
        <v>55.52</v>
      </c>
      <c r="G82">
        <v>294258</v>
      </c>
      <c r="H82" t="s">
        <v>600</v>
      </c>
      <c r="J82">
        <v>74000</v>
      </c>
      <c r="K82" s="9">
        <f>G82/J82</f>
        <v>3.9764594594594596</v>
      </c>
      <c r="L82" s="9">
        <f>K82*0.63</f>
        <v>2.5051694594594593</v>
      </c>
      <c r="N82">
        <v>55.52</v>
      </c>
    </row>
    <row r="83" spans="1:16" x14ac:dyDescent="0.3">
      <c r="A83" t="s">
        <v>70</v>
      </c>
      <c r="D83" t="s">
        <v>71</v>
      </c>
      <c r="F83">
        <v>58.11</v>
      </c>
      <c r="G83">
        <v>34495</v>
      </c>
      <c r="H83" t="s">
        <v>587</v>
      </c>
      <c r="J83">
        <v>12770</v>
      </c>
      <c r="K83" s="9">
        <f>G83/J83</f>
        <v>2.7012529365700861</v>
      </c>
      <c r="L83" s="9">
        <f>K83*0.63</f>
        <v>1.7017893500391543</v>
      </c>
      <c r="N83">
        <v>58.11</v>
      </c>
    </row>
    <row r="84" spans="1:16" x14ac:dyDescent="0.3">
      <c r="A84" t="s">
        <v>72</v>
      </c>
      <c r="D84" s="1" t="s">
        <v>7</v>
      </c>
      <c r="P84" t="s">
        <v>362</v>
      </c>
    </row>
    <row r="85" spans="1:16" x14ac:dyDescent="0.3">
      <c r="A85" t="s">
        <v>75</v>
      </c>
      <c r="D85" s="1" t="s">
        <v>7</v>
      </c>
      <c r="P85" t="s">
        <v>362</v>
      </c>
    </row>
    <row r="86" spans="1:16" x14ac:dyDescent="0.3">
      <c r="A86" t="s">
        <v>76</v>
      </c>
      <c r="D86" s="1" t="s">
        <v>7</v>
      </c>
    </row>
    <row r="87" spans="1:16" x14ac:dyDescent="0.3">
      <c r="A87" t="s">
        <v>77</v>
      </c>
      <c r="D87" s="1" t="s">
        <v>7</v>
      </c>
      <c r="P87" t="s">
        <v>78</v>
      </c>
    </row>
    <row r="88" spans="1:16" x14ac:dyDescent="0.3">
      <c r="A88" t="s">
        <v>81</v>
      </c>
      <c r="D88" s="1" t="s">
        <v>7</v>
      </c>
    </row>
    <row r="89" spans="1:16" x14ac:dyDescent="0.3">
      <c r="A89" t="s">
        <v>82</v>
      </c>
      <c r="D89" t="s">
        <v>82</v>
      </c>
      <c r="F89">
        <v>74.31</v>
      </c>
      <c r="G89">
        <v>3829</v>
      </c>
      <c r="H89" t="s">
        <v>588</v>
      </c>
      <c r="J89">
        <v>2044</v>
      </c>
      <c r="K89" s="9">
        <f>G89/J89</f>
        <v>1.8732876712328768</v>
      </c>
      <c r="L89" s="9">
        <f>K89*0.63</f>
        <v>1.1801712328767124</v>
      </c>
      <c r="N89">
        <v>74.31</v>
      </c>
    </row>
    <row r="90" spans="1:16" x14ac:dyDescent="0.3">
      <c r="D90" t="s">
        <v>391</v>
      </c>
      <c r="F90">
        <v>55.35</v>
      </c>
      <c r="G90">
        <v>751</v>
      </c>
      <c r="H90" t="s">
        <v>588</v>
      </c>
      <c r="J90">
        <v>253</v>
      </c>
      <c r="K90" s="9">
        <f>G90/J90</f>
        <v>2.9683794466403164</v>
      </c>
      <c r="L90" s="9">
        <f>K90*0.63</f>
        <v>1.8700790513833994</v>
      </c>
      <c r="N90">
        <v>55.35</v>
      </c>
    </row>
    <row r="91" spans="1:16" x14ac:dyDescent="0.3">
      <c r="A91" t="s">
        <v>83</v>
      </c>
      <c r="D91" t="s">
        <v>91</v>
      </c>
      <c r="F91">
        <v>78.56</v>
      </c>
      <c r="G91">
        <v>12703</v>
      </c>
      <c r="H91" t="s">
        <v>496</v>
      </c>
      <c r="J91">
        <v>5200</v>
      </c>
      <c r="K91" s="9">
        <f>G91/J91</f>
        <v>2.4428846153846155</v>
      </c>
      <c r="L91" s="9">
        <f>K91*0.63</f>
        <v>1.5390173076923077</v>
      </c>
      <c r="N91">
        <v>78.56</v>
      </c>
    </row>
    <row r="92" spans="1:16" x14ac:dyDescent="0.3">
      <c r="A92" t="s">
        <v>84</v>
      </c>
      <c r="D92" t="s">
        <v>90</v>
      </c>
      <c r="F92">
        <v>82.4</v>
      </c>
      <c r="G92">
        <v>3295</v>
      </c>
      <c r="H92" t="s">
        <v>496</v>
      </c>
      <c r="J92">
        <v>2600</v>
      </c>
      <c r="K92" s="9">
        <f>G92/J92</f>
        <v>1.2673076923076922</v>
      </c>
      <c r="L92" s="9">
        <f>K92*0.63</f>
        <v>0.79840384615384608</v>
      </c>
      <c r="N92">
        <v>82.4</v>
      </c>
    </row>
    <row r="93" spans="1:16" x14ac:dyDescent="0.3">
      <c r="A93" t="s">
        <v>85</v>
      </c>
      <c r="D93" t="s">
        <v>92</v>
      </c>
      <c r="F93">
        <v>47.95</v>
      </c>
      <c r="G93">
        <v>182204</v>
      </c>
      <c r="H93" t="s">
        <v>589</v>
      </c>
      <c r="J93">
        <v>78500</v>
      </c>
      <c r="K93" s="9">
        <f>G93/J93</f>
        <v>2.3210700636942674</v>
      </c>
      <c r="L93" s="9">
        <f>K93*0.63</f>
        <v>1.4622741401273884</v>
      </c>
      <c r="N93">
        <v>47.95</v>
      </c>
    </row>
    <row r="94" spans="1:16" x14ac:dyDescent="0.3">
      <c r="A94" t="s">
        <v>643</v>
      </c>
      <c r="D94" t="s">
        <v>389</v>
      </c>
      <c r="G94">
        <v>6375</v>
      </c>
      <c r="H94" t="s">
        <v>893</v>
      </c>
      <c r="P94" t="s">
        <v>702</v>
      </c>
    </row>
    <row r="95" spans="1:16" x14ac:dyDescent="0.3">
      <c r="A95" t="s">
        <v>86</v>
      </c>
      <c r="D95" s="1" t="s">
        <v>263</v>
      </c>
      <c r="P95" t="s">
        <v>408</v>
      </c>
    </row>
    <row r="96" spans="1:16" x14ac:dyDescent="0.3">
      <c r="A96" t="s">
        <v>87</v>
      </c>
      <c r="D96" t="s">
        <v>87</v>
      </c>
      <c r="F96">
        <v>63.91</v>
      </c>
      <c r="G96">
        <v>1268</v>
      </c>
      <c r="H96" t="s">
        <v>645</v>
      </c>
      <c r="J96">
        <v>800</v>
      </c>
      <c r="K96" s="9">
        <f>G96/J96</f>
        <v>1.585</v>
      </c>
      <c r="L96" s="9">
        <f>K96*0.63</f>
        <v>0.99854999999999994</v>
      </c>
    </row>
    <row r="97" spans="1:16" x14ac:dyDescent="0.3">
      <c r="A97" t="s">
        <v>88</v>
      </c>
      <c r="D97" t="s">
        <v>409</v>
      </c>
      <c r="F97">
        <v>82.38</v>
      </c>
      <c r="G97">
        <v>1934</v>
      </c>
      <c r="H97" t="s">
        <v>512</v>
      </c>
      <c r="J97">
        <v>709</v>
      </c>
      <c r="K97" s="9">
        <f>G97/J97</f>
        <v>2.7277856135401977</v>
      </c>
      <c r="L97" s="9">
        <f>K97*0.63</f>
        <v>1.7185049365303244</v>
      </c>
    </row>
    <row r="98" spans="1:16" x14ac:dyDescent="0.3">
      <c r="D98" t="s">
        <v>410</v>
      </c>
      <c r="F98">
        <v>82.38</v>
      </c>
      <c r="G98">
        <v>1650</v>
      </c>
      <c r="H98" t="s">
        <v>512</v>
      </c>
      <c r="J98">
        <v>912</v>
      </c>
      <c r="K98" s="9">
        <f>G98/J98</f>
        <v>1.8092105263157894</v>
      </c>
      <c r="L98" s="9">
        <f>K98*0.63</f>
        <v>1.1398026315789473</v>
      </c>
    </row>
    <row r="99" spans="1:16" x14ac:dyDescent="0.3">
      <c r="A99" t="s">
        <v>89</v>
      </c>
      <c r="D99" t="s">
        <v>392</v>
      </c>
      <c r="F99">
        <v>27.48</v>
      </c>
      <c r="G99">
        <v>436000</v>
      </c>
      <c r="H99" t="s">
        <v>590</v>
      </c>
      <c r="J99">
        <v>70000</v>
      </c>
      <c r="K99" s="9">
        <f>G99/J99</f>
        <v>6.2285714285714286</v>
      </c>
      <c r="L99" s="9">
        <f>K99*0.63</f>
        <v>3.9239999999999999</v>
      </c>
      <c r="N99">
        <v>27.48</v>
      </c>
    </row>
    <row r="100" spans="1:16" x14ac:dyDescent="0.3">
      <c r="A100" t="s">
        <v>655</v>
      </c>
      <c r="D100" t="s">
        <v>390</v>
      </c>
      <c r="F100">
        <v>55.69</v>
      </c>
      <c r="G100">
        <v>2211</v>
      </c>
      <c r="H100" t="s">
        <v>656</v>
      </c>
      <c r="J100">
        <v>3712</v>
      </c>
      <c r="K100" s="9">
        <f>G100/J100</f>
        <v>0.59563577586206895</v>
      </c>
      <c r="L100" s="9">
        <f>K100*0.63</f>
        <v>0.37525053879310344</v>
      </c>
    </row>
    <row r="101" spans="1:16" x14ac:dyDescent="0.3">
      <c r="A101" s="1" t="s">
        <v>94</v>
      </c>
    </row>
    <row r="102" spans="1:16" x14ac:dyDescent="0.3">
      <c r="A102" t="s">
        <v>95</v>
      </c>
      <c r="D102" t="s">
        <v>96</v>
      </c>
      <c r="F102">
        <v>69.599999999999994</v>
      </c>
      <c r="G102">
        <v>24170</v>
      </c>
      <c r="H102" t="s">
        <v>494</v>
      </c>
      <c r="J102">
        <v>8389</v>
      </c>
      <c r="K102" s="9">
        <f>G102/J102</f>
        <v>2.8811538920014303</v>
      </c>
      <c r="L102" s="9">
        <f>K102*0.63</f>
        <v>1.8151269519609012</v>
      </c>
      <c r="N102">
        <v>69.599999999999994</v>
      </c>
    </row>
    <row r="103" spans="1:16" x14ac:dyDescent="0.3">
      <c r="A103" t="s">
        <v>97</v>
      </c>
      <c r="D103" s="1" t="s">
        <v>7</v>
      </c>
    </row>
    <row r="104" spans="1:16" x14ac:dyDescent="0.3">
      <c r="A104" t="s">
        <v>98</v>
      </c>
      <c r="D104" s="1" t="s">
        <v>7</v>
      </c>
    </row>
    <row r="105" spans="1:16" x14ac:dyDescent="0.3">
      <c r="A105" t="s">
        <v>99</v>
      </c>
      <c r="D105" t="s">
        <v>112</v>
      </c>
      <c r="F105">
        <v>66</v>
      </c>
      <c r="G105">
        <v>2162</v>
      </c>
      <c r="H105" t="s">
        <v>644</v>
      </c>
      <c r="J105">
        <v>3000</v>
      </c>
      <c r="K105" s="9">
        <f>G105/J105</f>
        <v>0.72066666666666668</v>
      </c>
      <c r="L105" s="9">
        <f>K105*0.63</f>
        <v>0.45402000000000003</v>
      </c>
    </row>
    <row r="106" spans="1:16" x14ac:dyDescent="0.3">
      <c r="A106" t="s">
        <v>100</v>
      </c>
      <c r="D106" s="1" t="s">
        <v>7</v>
      </c>
      <c r="P106" t="s">
        <v>411</v>
      </c>
    </row>
    <row r="107" spans="1:16" x14ac:dyDescent="0.3">
      <c r="A107" t="s">
        <v>101</v>
      </c>
      <c r="D107" s="1" t="s">
        <v>7</v>
      </c>
    </row>
    <row r="108" spans="1:16" x14ac:dyDescent="0.3">
      <c r="A108" t="s">
        <v>102</v>
      </c>
      <c r="D108" t="s">
        <v>102</v>
      </c>
      <c r="F108">
        <v>38.35</v>
      </c>
      <c r="G108">
        <v>1216</v>
      </c>
      <c r="H108" t="s">
        <v>624</v>
      </c>
      <c r="J108">
        <v>900</v>
      </c>
      <c r="K108" s="9">
        <f t="shared" ref="K108:K116" si="6">G108/J108</f>
        <v>1.3511111111111112</v>
      </c>
      <c r="L108" s="9">
        <f t="shared" ref="L108:L116" si="7">K108*0.63</f>
        <v>0.85120000000000007</v>
      </c>
      <c r="P108" t="s">
        <v>431</v>
      </c>
    </row>
    <row r="109" spans="1:16" x14ac:dyDescent="0.3">
      <c r="D109" t="s">
        <v>103</v>
      </c>
      <c r="F109">
        <v>75.739999999999995</v>
      </c>
      <c r="G109">
        <v>122</v>
      </c>
      <c r="H109" t="s">
        <v>624</v>
      </c>
      <c r="J109">
        <v>600</v>
      </c>
      <c r="K109" s="9">
        <f t="shared" si="6"/>
        <v>0.20333333333333334</v>
      </c>
      <c r="L109" s="9">
        <f t="shared" si="7"/>
        <v>0.12809999999999999</v>
      </c>
    </row>
    <row r="110" spans="1:16" x14ac:dyDescent="0.3">
      <c r="D110" t="s">
        <v>104</v>
      </c>
      <c r="F110">
        <v>86.54</v>
      </c>
      <c r="G110">
        <v>712</v>
      </c>
      <c r="H110" t="s">
        <v>624</v>
      </c>
      <c r="J110">
        <v>1480</v>
      </c>
      <c r="K110" s="9">
        <f t="shared" si="6"/>
        <v>0.48108108108108111</v>
      </c>
      <c r="L110" s="9">
        <f t="shared" si="7"/>
        <v>0.30308108108108112</v>
      </c>
    </row>
    <row r="111" spans="1:16" x14ac:dyDescent="0.3">
      <c r="D111" t="s">
        <v>430</v>
      </c>
      <c r="F111">
        <v>90.82</v>
      </c>
      <c r="G111">
        <v>534</v>
      </c>
      <c r="H111" t="s">
        <v>624</v>
      </c>
      <c r="J111">
        <v>380</v>
      </c>
      <c r="K111" s="9">
        <f t="shared" si="6"/>
        <v>1.4052631578947368</v>
      </c>
      <c r="L111" s="9">
        <f t="shared" si="7"/>
        <v>0.88531578947368417</v>
      </c>
    </row>
    <row r="112" spans="1:16" x14ac:dyDescent="0.3">
      <c r="A112" t="s">
        <v>105</v>
      </c>
      <c r="D112" t="s">
        <v>506</v>
      </c>
      <c r="F112">
        <v>62.85</v>
      </c>
      <c r="G112">
        <v>6876</v>
      </c>
      <c r="H112" t="s">
        <v>496</v>
      </c>
      <c r="J112">
        <v>3200</v>
      </c>
      <c r="K112" s="9">
        <f t="shared" si="6"/>
        <v>2.1487500000000002</v>
      </c>
      <c r="L112" s="9">
        <f t="shared" si="7"/>
        <v>1.3537125000000001</v>
      </c>
      <c r="N112">
        <v>62.85</v>
      </c>
    </row>
    <row r="113" spans="1:17" x14ac:dyDescent="0.3">
      <c r="D113" t="s">
        <v>507</v>
      </c>
      <c r="F113">
        <v>62.85</v>
      </c>
      <c r="G113">
        <v>1187</v>
      </c>
      <c r="H113" t="s">
        <v>496</v>
      </c>
      <c r="J113">
        <v>700</v>
      </c>
      <c r="K113" s="9">
        <f t="shared" si="6"/>
        <v>1.6957142857142857</v>
      </c>
      <c r="L113" s="9">
        <f t="shared" si="7"/>
        <v>1.0683</v>
      </c>
      <c r="N113">
        <v>62.85</v>
      </c>
    </row>
    <row r="114" spans="1:17" x14ac:dyDescent="0.3">
      <c r="D114" t="s">
        <v>508</v>
      </c>
      <c r="F114">
        <v>62.85</v>
      </c>
      <c r="G114">
        <v>1375</v>
      </c>
      <c r="H114" t="s">
        <v>496</v>
      </c>
      <c r="J114">
        <v>1100</v>
      </c>
      <c r="K114">
        <f t="shared" si="6"/>
        <v>1.25</v>
      </c>
      <c r="L114" s="9">
        <f t="shared" si="7"/>
        <v>0.78749999999999998</v>
      </c>
      <c r="N114">
        <v>62.85</v>
      </c>
    </row>
    <row r="115" spans="1:17" x14ac:dyDescent="0.3">
      <c r="A115" t="s">
        <v>106</v>
      </c>
      <c r="D115" t="s">
        <v>113</v>
      </c>
      <c r="F115">
        <v>66.760000000000005</v>
      </c>
      <c r="G115">
        <v>2076</v>
      </c>
      <c r="H115" t="s">
        <v>496</v>
      </c>
      <c r="J115">
        <v>2000</v>
      </c>
      <c r="K115" s="9">
        <f t="shared" si="6"/>
        <v>1.038</v>
      </c>
      <c r="L115" s="9">
        <f t="shared" si="7"/>
        <v>0.65394000000000008</v>
      </c>
      <c r="N115">
        <v>66.760000000000005</v>
      </c>
    </row>
    <row r="116" spans="1:17" x14ac:dyDescent="0.3">
      <c r="A116" t="s">
        <v>107</v>
      </c>
      <c r="D116" t="s">
        <v>107</v>
      </c>
      <c r="G116">
        <v>850</v>
      </c>
      <c r="H116" t="s">
        <v>656</v>
      </c>
      <c r="J116">
        <v>650</v>
      </c>
      <c r="K116" s="9">
        <f t="shared" si="6"/>
        <v>1.3076923076923077</v>
      </c>
      <c r="L116" s="9">
        <f t="shared" si="7"/>
        <v>0.82384615384615389</v>
      </c>
      <c r="P116">
        <v>7737104</v>
      </c>
      <c r="Q116" t="s">
        <v>720</v>
      </c>
    </row>
    <row r="117" spans="1:17" x14ac:dyDescent="0.3">
      <c r="A117" t="s">
        <v>108</v>
      </c>
      <c r="D117" t="s">
        <v>412</v>
      </c>
      <c r="F117">
        <v>47.71</v>
      </c>
      <c r="G117">
        <v>1199</v>
      </c>
      <c r="H117" t="s">
        <v>612</v>
      </c>
      <c r="J117">
        <v>865</v>
      </c>
      <c r="K117" s="9">
        <f t="shared" ref="K117:K122" si="8">G117/J117</f>
        <v>1.3861271676300577</v>
      </c>
      <c r="L117" s="9">
        <f t="shared" ref="L117:L122" si="9">K117*0.63</f>
        <v>0.87326011560693639</v>
      </c>
    </row>
    <row r="118" spans="1:17" x14ac:dyDescent="0.3">
      <c r="D118" t="s">
        <v>109</v>
      </c>
      <c r="F118">
        <v>76.8</v>
      </c>
      <c r="G118">
        <v>496</v>
      </c>
      <c r="H118" t="s">
        <v>612</v>
      </c>
      <c r="J118">
        <v>72</v>
      </c>
      <c r="K118" s="9">
        <f t="shared" si="8"/>
        <v>6.8888888888888893</v>
      </c>
      <c r="L118" s="9">
        <f t="shared" si="9"/>
        <v>4.34</v>
      </c>
    </row>
    <row r="119" spans="1:17" x14ac:dyDescent="0.3">
      <c r="A119" t="s">
        <v>110</v>
      </c>
      <c r="D119" t="s">
        <v>110</v>
      </c>
      <c r="F119">
        <v>58.19</v>
      </c>
      <c r="G119">
        <v>1886</v>
      </c>
      <c r="H119" t="s">
        <v>444</v>
      </c>
      <c r="J119">
        <v>2031</v>
      </c>
      <c r="K119" s="9">
        <f t="shared" si="8"/>
        <v>0.9286065977351059</v>
      </c>
      <c r="L119" s="9">
        <f t="shared" si="9"/>
        <v>0.58502215657311674</v>
      </c>
      <c r="P119" t="s">
        <v>649</v>
      </c>
    </row>
    <row r="120" spans="1:17" x14ac:dyDescent="0.3">
      <c r="A120" t="s">
        <v>111</v>
      </c>
      <c r="D120" t="s">
        <v>111</v>
      </c>
      <c r="F120">
        <v>63.59</v>
      </c>
      <c r="G120">
        <v>695</v>
      </c>
      <c r="H120" t="s">
        <v>650</v>
      </c>
      <c r="J120">
        <v>800</v>
      </c>
      <c r="K120" s="9">
        <f t="shared" si="8"/>
        <v>0.86875000000000002</v>
      </c>
      <c r="L120" s="9">
        <f t="shared" si="9"/>
        <v>0.54731249999999998</v>
      </c>
      <c r="P120" t="s">
        <v>653</v>
      </c>
    </row>
    <row r="121" spans="1:17" x14ac:dyDescent="0.3">
      <c r="A121" t="s">
        <v>106</v>
      </c>
      <c r="D121" t="s">
        <v>114</v>
      </c>
      <c r="G121">
        <v>860</v>
      </c>
      <c r="H121" t="s">
        <v>651</v>
      </c>
      <c r="J121">
        <v>210</v>
      </c>
      <c r="K121" s="9">
        <f t="shared" si="8"/>
        <v>4.0952380952380949</v>
      </c>
      <c r="L121">
        <f t="shared" si="9"/>
        <v>2.5799999999999996</v>
      </c>
      <c r="P121" t="s">
        <v>413</v>
      </c>
    </row>
    <row r="122" spans="1:17" x14ac:dyDescent="0.3">
      <c r="D122" t="s">
        <v>115</v>
      </c>
      <c r="G122">
        <v>700</v>
      </c>
      <c r="H122" t="s">
        <v>652</v>
      </c>
      <c r="J122">
        <v>100</v>
      </c>
      <c r="K122" s="9">
        <f t="shared" si="8"/>
        <v>7</v>
      </c>
      <c r="L122" s="9">
        <f t="shared" si="9"/>
        <v>4.41</v>
      </c>
    </row>
    <row r="123" spans="1:17" x14ac:dyDescent="0.3">
      <c r="A123" s="1" t="s">
        <v>116</v>
      </c>
    </row>
    <row r="124" spans="1:17" x14ac:dyDescent="0.3">
      <c r="A124" t="s">
        <v>117</v>
      </c>
      <c r="D124" s="1" t="s">
        <v>7</v>
      </c>
    </row>
    <row r="125" spans="1:17" x14ac:dyDescent="0.3">
      <c r="A125" t="s">
        <v>118</v>
      </c>
      <c r="D125" t="s">
        <v>119</v>
      </c>
      <c r="F125">
        <v>79.73</v>
      </c>
      <c r="G125">
        <v>2967</v>
      </c>
      <c r="H125" t="s">
        <v>355</v>
      </c>
      <c r="J125">
        <v>1800</v>
      </c>
      <c r="K125" s="9">
        <f>G125/J125</f>
        <v>1.6483333333333334</v>
      </c>
      <c r="L125" s="9">
        <f>K125*0.63</f>
        <v>1.0384500000000001</v>
      </c>
      <c r="N125">
        <v>79.73</v>
      </c>
      <c r="P125" t="s">
        <v>654</v>
      </c>
    </row>
    <row r="126" spans="1:17" x14ac:dyDescent="0.3">
      <c r="A126" t="s">
        <v>120</v>
      </c>
      <c r="D126" t="s">
        <v>120</v>
      </c>
      <c r="F126">
        <v>53.67</v>
      </c>
      <c r="G126">
        <v>2800</v>
      </c>
      <c r="H126" t="s">
        <v>641</v>
      </c>
      <c r="J126">
        <v>1400</v>
      </c>
      <c r="K126">
        <f>G126/J126</f>
        <v>2</v>
      </c>
      <c r="L126">
        <f>K126*0.63</f>
        <v>1.26</v>
      </c>
      <c r="N126">
        <v>53.67</v>
      </c>
      <c r="P126" t="s">
        <v>692</v>
      </c>
      <c r="Q126">
        <v>3897587</v>
      </c>
    </row>
    <row r="127" spans="1:17" x14ac:dyDescent="0.3">
      <c r="A127" t="s">
        <v>121</v>
      </c>
      <c r="D127" t="s">
        <v>122</v>
      </c>
      <c r="F127">
        <v>78.97</v>
      </c>
      <c r="G127">
        <v>1230</v>
      </c>
      <c r="H127" t="s">
        <v>355</v>
      </c>
      <c r="J127">
        <v>640</v>
      </c>
      <c r="K127" s="9">
        <f>G127/J127</f>
        <v>1.921875</v>
      </c>
      <c r="L127" s="9">
        <f>K127*0.63</f>
        <v>1.2107812499999999</v>
      </c>
      <c r="N127">
        <v>78.97</v>
      </c>
    </row>
    <row r="128" spans="1:17" x14ac:dyDescent="0.3">
      <c r="D128" t="s">
        <v>393</v>
      </c>
      <c r="F128">
        <v>57.46</v>
      </c>
      <c r="G128">
        <v>1009</v>
      </c>
      <c r="H128" t="s">
        <v>697</v>
      </c>
      <c r="J128">
        <v>150</v>
      </c>
      <c r="K128" s="9">
        <f>G128/J128</f>
        <v>6.7266666666666666</v>
      </c>
      <c r="L128" s="9">
        <f>K128*0.63</f>
        <v>4.2378</v>
      </c>
      <c r="P128" t="s">
        <v>698</v>
      </c>
    </row>
    <row r="129" spans="1:17" x14ac:dyDescent="0.3">
      <c r="A129" t="s">
        <v>123</v>
      </c>
      <c r="D129" s="1" t="s">
        <v>263</v>
      </c>
    </row>
    <row r="130" spans="1:17" x14ac:dyDescent="0.3">
      <c r="A130" t="s">
        <v>124</v>
      </c>
      <c r="D130" t="s">
        <v>124</v>
      </c>
      <c r="F130">
        <v>57.41</v>
      </c>
      <c r="G130">
        <v>5170</v>
      </c>
      <c r="H130" t="s">
        <v>375</v>
      </c>
      <c r="J130">
        <v>2900</v>
      </c>
      <c r="K130" s="9">
        <f>G130/J130</f>
        <v>1.7827586206896551</v>
      </c>
      <c r="L130" s="9">
        <f>K130*0.63</f>
        <v>1.1231379310344827</v>
      </c>
      <c r="N130">
        <v>57.41</v>
      </c>
    </row>
    <row r="131" spans="1:17" x14ac:dyDescent="0.3">
      <c r="A131" t="s">
        <v>126</v>
      </c>
      <c r="D131" t="s">
        <v>126</v>
      </c>
      <c r="F131">
        <v>55.5</v>
      </c>
      <c r="G131">
        <v>1265</v>
      </c>
      <c r="H131" t="s">
        <v>355</v>
      </c>
      <c r="J131">
        <v>1300</v>
      </c>
      <c r="K131" s="9">
        <f>G131/J131</f>
        <v>0.97307692307692306</v>
      </c>
      <c r="L131" s="9">
        <f>K131*0.63</f>
        <v>0.61303846153846153</v>
      </c>
      <c r="N131">
        <v>55.5</v>
      </c>
    </row>
    <row r="132" spans="1:17" x14ac:dyDescent="0.3">
      <c r="D132" t="s">
        <v>127</v>
      </c>
      <c r="F132">
        <v>86.96</v>
      </c>
      <c r="G132">
        <v>277</v>
      </c>
      <c r="H132" t="s">
        <v>355</v>
      </c>
      <c r="J132">
        <v>165</v>
      </c>
      <c r="K132" s="9">
        <f>G132/J132</f>
        <v>1.6787878787878787</v>
      </c>
      <c r="L132" s="9">
        <f>K132*0.63</f>
        <v>1.0576363636363637</v>
      </c>
      <c r="N132">
        <v>86.96</v>
      </c>
    </row>
    <row r="133" spans="1:17" x14ac:dyDescent="0.3">
      <c r="A133" t="s">
        <v>128</v>
      </c>
      <c r="D133" t="s">
        <v>129</v>
      </c>
      <c r="F133">
        <v>47.45</v>
      </c>
      <c r="G133">
        <v>50620</v>
      </c>
      <c r="H133" t="s">
        <v>594</v>
      </c>
      <c r="J133">
        <v>15000</v>
      </c>
      <c r="K133" s="9">
        <f>G133/J133</f>
        <v>3.3746666666666667</v>
      </c>
      <c r="L133" s="9">
        <f>K133*0.63</f>
        <v>2.1260400000000002</v>
      </c>
      <c r="N133">
        <v>47.45</v>
      </c>
    </row>
    <row r="134" spans="1:17" x14ac:dyDescent="0.3">
      <c r="A134" t="s">
        <v>130</v>
      </c>
      <c r="D134" t="s">
        <v>131</v>
      </c>
      <c r="F134">
        <v>83.35</v>
      </c>
      <c r="G134">
        <v>1775</v>
      </c>
      <c r="H134" t="s">
        <v>355</v>
      </c>
      <c r="J134">
        <v>1000</v>
      </c>
      <c r="K134" s="9">
        <f t="shared" ref="K134:K139" si="10">G134/J134</f>
        <v>1.7749999999999999</v>
      </c>
      <c r="L134" s="9">
        <f t="shared" ref="L134:L139" si="11">K134*0.63</f>
        <v>1.11825</v>
      </c>
      <c r="N134">
        <v>83.35</v>
      </c>
    </row>
    <row r="135" spans="1:17" x14ac:dyDescent="0.3">
      <c r="A135" t="s">
        <v>132</v>
      </c>
      <c r="D135" t="s">
        <v>139</v>
      </c>
      <c r="F135">
        <v>82.99</v>
      </c>
      <c r="G135">
        <v>867</v>
      </c>
      <c r="H135" t="s">
        <v>355</v>
      </c>
      <c r="J135">
        <v>610</v>
      </c>
      <c r="K135" s="9">
        <f t="shared" si="10"/>
        <v>1.4213114754098362</v>
      </c>
      <c r="L135" s="9">
        <f t="shared" si="11"/>
        <v>0.89542622950819684</v>
      </c>
      <c r="N135">
        <v>82.99</v>
      </c>
    </row>
    <row r="136" spans="1:17" x14ac:dyDescent="0.3">
      <c r="A136" t="s">
        <v>133</v>
      </c>
      <c r="D136" t="s">
        <v>134</v>
      </c>
      <c r="F136">
        <v>84.81</v>
      </c>
      <c r="G136">
        <v>2140</v>
      </c>
      <c r="H136" t="s">
        <v>355</v>
      </c>
      <c r="J136">
        <v>1200</v>
      </c>
      <c r="K136" s="9">
        <f t="shared" si="10"/>
        <v>1.7833333333333334</v>
      </c>
      <c r="L136" s="9">
        <f t="shared" si="11"/>
        <v>1.1235000000000002</v>
      </c>
      <c r="N136">
        <v>84.81</v>
      </c>
      <c r="Q136" t="s">
        <v>414</v>
      </c>
    </row>
    <row r="137" spans="1:17" x14ac:dyDescent="0.3">
      <c r="D137" t="s">
        <v>135</v>
      </c>
      <c r="F137">
        <v>83.46</v>
      </c>
      <c r="G137">
        <v>747</v>
      </c>
      <c r="H137" t="s">
        <v>355</v>
      </c>
      <c r="J137">
        <v>375</v>
      </c>
      <c r="K137" s="9">
        <f t="shared" si="10"/>
        <v>1.992</v>
      </c>
      <c r="L137" s="9">
        <f t="shared" si="11"/>
        <v>1.2549600000000001</v>
      </c>
      <c r="N137">
        <v>83.46</v>
      </c>
    </row>
    <row r="138" spans="1:17" x14ac:dyDescent="0.3">
      <c r="D138" t="s">
        <v>136</v>
      </c>
      <c r="F138">
        <v>50.15</v>
      </c>
      <c r="G138">
        <v>17271</v>
      </c>
      <c r="H138" t="s">
        <v>493</v>
      </c>
      <c r="J138">
        <v>9000</v>
      </c>
      <c r="K138" s="9">
        <f t="shared" si="10"/>
        <v>1.919</v>
      </c>
      <c r="L138" s="9">
        <f t="shared" si="11"/>
        <v>1.2089700000000001</v>
      </c>
      <c r="N138">
        <v>50.15</v>
      </c>
    </row>
    <row r="139" spans="1:17" x14ac:dyDescent="0.3">
      <c r="D139" t="s">
        <v>137</v>
      </c>
      <c r="F139">
        <v>57.78</v>
      </c>
      <c r="G139">
        <v>3300</v>
      </c>
      <c r="H139" t="s">
        <v>680</v>
      </c>
      <c r="J139">
        <v>800</v>
      </c>
      <c r="K139" s="9">
        <f t="shared" si="10"/>
        <v>4.125</v>
      </c>
      <c r="L139" s="9">
        <f t="shared" si="11"/>
        <v>2.5987499999999999</v>
      </c>
    </row>
    <row r="140" spans="1:17" x14ac:dyDescent="0.3">
      <c r="A140" t="s">
        <v>138</v>
      </c>
      <c r="D140" t="s">
        <v>138</v>
      </c>
      <c r="F140">
        <v>60.72</v>
      </c>
      <c r="G140">
        <v>2985</v>
      </c>
      <c r="H140" t="s">
        <v>591</v>
      </c>
      <c r="J140">
        <v>1630</v>
      </c>
      <c r="K140" s="9">
        <f>G140/J140</f>
        <v>1.8312883435582823</v>
      </c>
      <c r="L140" s="9">
        <f>K140*0.63</f>
        <v>1.1537116564417178</v>
      </c>
    </row>
    <row r="141" spans="1:17" x14ac:dyDescent="0.3">
      <c r="A141" s="1" t="s">
        <v>140</v>
      </c>
    </row>
    <row r="142" spans="1:17" x14ac:dyDescent="0.3">
      <c r="A142" t="s">
        <v>141</v>
      </c>
      <c r="D142" t="s">
        <v>142</v>
      </c>
      <c r="F142">
        <v>58.42</v>
      </c>
      <c r="G142">
        <v>54243</v>
      </c>
      <c r="H142" t="s">
        <v>494</v>
      </c>
      <c r="J142">
        <v>18839</v>
      </c>
      <c r="K142" s="9">
        <f>G142/J142</f>
        <v>2.879292956101704</v>
      </c>
      <c r="L142" s="9">
        <f>K142*0.63</f>
        <v>1.8139545623440736</v>
      </c>
      <c r="N142">
        <v>58.42</v>
      </c>
    </row>
    <row r="143" spans="1:17" x14ac:dyDescent="0.3">
      <c r="A143" t="s">
        <v>143</v>
      </c>
      <c r="D143" s="1" t="s">
        <v>7</v>
      </c>
      <c r="P143" t="s">
        <v>149</v>
      </c>
    </row>
    <row r="144" spans="1:17" x14ac:dyDescent="0.3">
      <c r="A144" t="s">
        <v>144</v>
      </c>
      <c r="D144" s="1" t="s">
        <v>7</v>
      </c>
      <c r="P144" t="s">
        <v>78</v>
      </c>
      <c r="Q144" t="s">
        <v>155</v>
      </c>
    </row>
    <row r="145" spans="1:16" x14ac:dyDescent="0.3">
      <c r="A145" t="s">
        <v>145</v>
      </c>
      <c r="D145" t="s">
        <v>145</v>
      </c>
      <c r="F145">
        <v>57.71</v>
      </c>
      <c r="G145">
        <v>3400</v>
      </c>
      <c r="H145" t="s">
        <v>592</v>
      </c>
      <c r="J145">
        <v>2990</v>
      </c>
      <c r="K145" s="9">
        <f>G145/J145</f>
        <v>1.1371237458193979</v>
      </c>
      <c r="L145" s="9">
        <f>K145*0.63</f>
        <v>0.71638795986622072</v>
      </c>
    </row>
    <row r="146" spans="1:16" x14ac:dyDescent="0.3">
      <c r="A146" t="s">
        <v>146</v>
      </c>
      <c r="D146" s="1" t="s">
        <v>7</v>
      </c>
    </row>
    <row r="147" spans="1:16" x14ac:dyDescent="0.3">
      <c r="A147" t="s">
        <v>147</v>
      </c>
      <c r="D147" t="s">
        <v>147</v>
      </c>
      <c r="F147">
        <v>47.58</v>
      </c>
      <c r="G147">
        <v>2000</v>
      </c>
      <c r="H147" t="s">
        <v>595</v>
      </c>
      <c r="J147">
        <v>612</v>
      </c>
      <c r="K147" s="9">
        <f>G147/J147</f>
        <v>3.2679738562091503</v>
      </c>
      <c r="L147" s="9">
        <f>K147*0.63</f>
        <v>2.0588235294117645</v>
      </c>
    </row>
    <row r="148" spans="1:16" x14ac:dyDescent="0.3">
      <c r="A148" t="s">
        <v>148</v>
      </c>
      <c r="D148" t="s">
        <v>148</v>
      </c>
      <c r="F148">
        <v>47.93</v>
      </c>
      <c r="G148">
        <v>1105</v>
      </c>
      <c r="H148" t="s">
        <v>373</v>
      </c>
      <c r="J148">
        <v>478</v>
      </c>
      <c r="K148" s="9">
        <f>G148/J148</f>
        <v>2.3117154811715479</v>
      </c>
      <c r="L148" s="9">
        <f>K148*0.63</f>
        <v>1.4563807531380752</v>
      </c>
    </row>
    <row r="149" spans="1:16" x14ac:dyDescent="0.3">
      <c r="A149" t="s">
        <v>150</v>
      </c>
      <c r="D149" t="s">
        <v>151</v>
      </c>
      <c r="F149">
        <v>61.36</v>
      </c>
      <c r="G149">
        <v>1400</v>
      </c>
      <c r="H149" t="s">
        <v>394</v>
      </c>
      <c r="J149">
        <v>1100</v>
      </c>
      <c r="K149" s="9">
        <f>G149/J149</f>
        <v>1.2727272727272727</v>
      </c>
      <c r="L149" s="9">
        <f>K149*0.63</f>
        <v>0.80181818181818176</v>
      </c>
      <c r="N149">
        <v>61.36</v>
      </c>
    </row>
    <row r="150" spans="1:16" x14ac:dyDescent="0.3">
      <c r="A150" t="s">
        <v>152</v>
      </c>
      <c r="D150" t="s">
        <v>153</v>
      </c>
      <c r="G150">
        <v>6752</v>
      </c>
      <c r="H150" t="s">
        <v>597</v>
      </c>
      <c r="J150">
        <v>3660</v>
      </c>
      <c r="K150" s="9">
        <f>G150/J150</f>
        <v>1.8448087431693989</v>
      </c>
      <c r="L150" s="9">
        <f>K150*0.63</f>
        <v>1.1622295081967213</v>
      </c>
      <c r="P150" t="s">
        <v>160</v>
      </c>
    </row>
    <row r="151" spans="1:16" x14ac:dyDescent="0.3">
      <c r="A151" t="s">
        <v>154</v>
      </c>
      <c r="D151" s="1" t="s">
        <v>7</v>
      </c>
    </row>
    <row r="152" spans="1:16" x14ac:dyDescent="0.3">
      <c r="A152" t="s">
        <v>156</v>
      </c>
      <c r="D152" t="s">
        <v>156</v>
      </c>
      <c r="F152">
        <v>70.94</v>
      </c>
      <c r="G152">
        <v>4593</v>
      </c>
      <c r="H152" t="s">
        <v>596</v>
      </c>
      <c r="J152">
        <v>3720</v>
      </c>
      <c r="K152" s="9">
        <f>G152/J152</f>
        <v>1.2346774193548387</v>
      </c>
      <c r="L152" s="9">
        <f>K152*0.63</f>
        <v>0.77784677419354831</v>
      </c>
    </row>
    <row r="153" spans="1:16" x14ac:dyDescent="0.3">
      <c r="D153" t="s">
        <v>157</v>
      </c>
      <c r="F153">
        <v>70.94</v>
      </c>
      <c r="G153">
        <v>2241</v>
      </c>
      <c r="H153" t="s">
        <v>596</v>
      </c>
      <c r="J153">
        <v>2624</v>
      </c>
      <c r="K153" s="9">
        <f>G153/J153</f>
        <v>0.85403963414634143</v>
      </c>
      <c r="L153" s="9">
        <f>K153*0.63</f>
        <v>0.53804496951219516</v>
      </c>
    </row>
    <row r="154" spans="1:16" x14ac:dyDescent="0.3">
      <c r="A154" t="s">
        <v>264</v>
      </c>
      <c r="D154" s="1" t="s">
        <v>7</v>
      </c>
    </row>
    <row r="155" spans="1:16" x14ac:dyDescent="0.3">
      <c r="A155" s="1" t="s">
        <v>158</v>
      </c>
    </row>
    <row r="156" spans="1:16" x14ac:dyDescent="0.3">
      <c r="A156" t="s">
        <v>159</v>
      </c>
      <c r="D156" t="s">
        <v>159</v>
      </c>
      <c r="F156">
        <v>83.09</v>
      </c>
      <c r="G156">
        <v>3955</v>
      </c>
      <c r="H156" t="s">
        <v>601</v>
      </c>
      <c r="J156">
        <v>2311</v>
      </c>
      <c r="K156" s="9">
        <f t="shared" ref="K156:K162" si="12">G156/J156</f>
        <v>1.7113803548247513</v>
      </c>
      <c r="L156" s="9">
        <f t="shared" ref="L156:L162" si="13">K156*0.63</f>
        <v>1.0781696235395932</v>
      </c>
    </row>
    <row r="157" spans="1:16" x14ac:dyDescent="0.3">
      <c r="A157" t="s">
        <v>161</v>
      </c>
      <c r="D157" t="s">
        <v>162</v>
      </c>
      <c r="F157">
        <v>76.69</v>
      </c>
      <c r="G157">
        <v>1360</v>
      </c>
      <c r="H157" t="s">
        <v>416</v>
      </c>
      <c r="J157">
        <v>474</v>
      </c>
      <c r="K157" s="9">
        <f t="shared" si="12"/>
        <v>2.869198312236287</v>
      </c>
      <c r="L157" s="9">
        <f t="shared" si="13"/>
        <v>1.8075949367088608</v>
      </c>
    </row>
    <row r="158" spans="1:16" x14ac:dyDescent="0.3">
      <c r="D158" t="s">
        <v>161</v>
      </c>
      <c r="G158">
        <v>13667</v>
      </c>
      <c r="H158" t="s">
        <v>416</v>
      </c>
      <c r="J158">
        <v>3400</v>
      </c>
      <c r="K158" s="9">
        <f t="shared" si="12"/>
        <v>4.019705882352941</v>
      </c>
      <c r="L158" s="9">
        <f t="shared" si="13"/>
        <v>2.5324147058823527</v>
      </c>
      <c r="P158" t="s">
        <v>415</v>
      </c>
    </row>
    <row r="159" spans="1:16" x14ac:dyDescent="0.3">
      <c r="A159" t="s">
        <v>163</v>
      </c>
      <c r="D159" t="s">
        <v>164</v>
      </c>
      <c r="F159">
        <v>81.290000000000006</v>
      </c>
      <c r="G159">
        <v>16403</v>
      </c>
      <c r="H159" t="s">
        <v>496</v>
      </c>
      <c r="J159">
        <v>7800</v>
      </c>
      <c r="K159" s="9">
        <f t="shared" si="12"/>
        <v>2.1029487179487178</v>
      </c>
      <c r="L159" s="9">
        <f t="shared" si="13"/>
        <v>1.3248576923076922</v>
      </c>
      <c r="N159">
        <v>81.290000000000006</v>
      </c>
    </row>
    <row r="160" spans="1:16" x14ac:dyDescent="0.3">
      <c r="A160" t="s">
        <v>165</v>
      </c>
      <c r="D160" t="s">
        <v>165</v>
      </c>
      <c r="F160">
        <v>72.680000000000007</v>
      </c>
      <c r="G160">
        <v>1550</v>
      </c>
      <c r="H160" t="s">
        <v>355</v>
      </c>
      <c r="J160">
        <v>620</v>
      </c>
      <c r="K160">
        <f t="shared" si="12"/>
        <v>2.5</v>
      </c>
      <c r="L160" s="9">
        <f t="shared" si="13"/>
        <v>1.575</v>
      </c>
      <c r="N160">
        <v>72.680000000000007</v>
      </c>
    </row>
    <row r="161" spans="1:19" x14ac:dyDescent="0.3">
      <c r="A161" t="s">
        <v>166</v>
      </c>
      <c r="D161" t="s">
        <v>166</v>
      </c>
      <c r="F161">
        <v>38.35</v>
      </c>
      <c r="G161">
        <v>4930</v>
      </c>
      <c r="H161" t="s">
        <v>656</v>
      </c>
      <c r="J161">
        <v>1060</v>
      </c>
      <c r="K161" s="9">
        <f t="shared" si="12"/>
        <v>4.6509433962264151</v>
      </c>
      <c r="L161" s="9">
        <f t="shared" si="13"/>
        <v>2.9300943396226415</v>
      </c>
    </row>
    <row r="162" spans="1:19" x14ac:dyDescent="0.3">
      <c r="A162" t="s">
        <v>167</v>
      </c>
      <c r="D162" t="s">
        <v>168</v>
      </c>
      <c r="F162">
        <v>71.430000000000007</v>
      </c>
      <c r="G162">
        <v>44098</v>
      </c>
      <c r="H162" t="s">
        <v>602</v>
      </c>
      <c r="J162">
        <v>19000</v>
      </c>
      <c r="K162" s="9">
        <f t="shared" si="12"/>
        <v>2.3209473684210526</v>
      </c>
      <c r="L162" s="9">
        <f t="shared" si="13"/>
        <v>1.4621968421052631</v>
      </c>
      <c r="N162">
        <v>71.430000000000007</v>
      </c>
    </row>
    <row r="163" spans="1:19" x14ac:dyDescent="0.3">
      <c r="A163" t="s">
        <v>169</v>
      </c>
      <c r="D163" s="1" t="s">
        <v>7</v>
      </c>
    </row>
    <row r="164" spans="1:19" x14ac:dyDescent="0.3">
      <c r="A164" t="s">
        <v>170</v>
      </c>
      <c r="D164" s="1" t="s">
        <v>7</v>
      </c>
      <c r="P164" t="s">
        <v>171</v>
      </c>
    </row>
    <row r="165" spans="1:19" x14ac:dyDescent="0.3">
      <c r="A165" t="s">
        <v>172</v>
      </c>
      <c r="D165" t="s">
        <v>172</v>
      </c>
      <c r="F165">
        <v>83.83</v>
      </c>
      <c r="G165">
        <v>3074</v>
      </c>
      <c r="H165" t="s">
        <v>496</v>
      </c>
      <c r="J165">
        <v>2100</v>
      </c>
      <c r="K165" s="9">
        <f>G165/J165</f>
        <v>1.4638095238095239</v>
      </c>
      <c r="L165" s="9">
        <f>K165*0.63</f>
        <v>0.92220000000000002</v>
      </c>
      <c r="N165">
        <v>83.83</v>
      </c>
      <c r="P165" t="s">
        <v>174</v>
      </c>
    </row>
    <row r="166" spans="1:19" x14ac:dyDescent="0.3">
      <c r="D166" t="s">
        <v>173</v>
      </c>
      <c r="F166">
        <v>72.88</v>
      </c>
      <c r="G166">
        <v>717</v>
      </c>
      <c r="H166" t="s">
        <v>602</v>
      </c>
      <c r="J166">
        <v>600</v>
      </c>
      <c r="K166" s="9">
        <f>G166/J166</f>
        <v>1.1950000000000001</v>
      </c>
      <c r="L166" s="9">
        <f>K166*0.63</f>
        <v>0.75285000000000002</v>
      </c>
      <c r="N166">
        <v>72.88</v>
      </c>
    </row>
    <row r="167" spans="1:19" x14ac:dyDescent="0.3">
      <c r="D167" t="s">
        <v>657</v>
      </c>
      <c r="F167">
        <v>51.54</v>
      </c>
      <c r="G167">
        <v>568</v>
      </c>
      <c r="H167" t="s">
        <v>493</v>
      </c>
    </row>
    <row r="168" spans="1:19" x14ac:dyDescent="0.3">
      <c r="D168" t="s">
        <v>417</v>
      </c>
      <c r="F168">
        <v>47.24</v>
      </c>
      <c r="G168">
        <v>636</v>
      </c>
      <c r="H168" t="s">
        <v>493</v>
      </c>
    </row>
    <row r="169" spans="1:19" x14ac:dyDescent="0.3">
      <c r="D169" t="s">
        <v>419</v>
      </c>
      <c r="F169">
        <v>51.54</v>
      </c>
      <c r="G169">
        <v>710</v>
      </c>
      <c r="H169" t="s">
        <v>493</v>
      </c>
    </row>
    <row r="170" spans="1:19" x14ac:dyDescent="0.3">
      <c r="D170" t="s">
        <v>418</v>
      </c>
      <c r="G170">
        <v>720</v>
      </c>
      <c r="H170" t="s">
        <v>493</v>
      </c>
    </row>
    <row r="171" spans="1:19" x14ac:dyDescent="0.3">
      <c r="A171" t="s">
        <v>175</v>
      </c>
      <c r="D171" t="s">
        <v>175</v>
      </c>
      <c r="F171">
        <v>50.43</v>
      </c>
      <c r="G171">
        <v>12060</v>
      </c>
      <c r="H171" t="s">
        <v>376</v>
      </c>
      <c r="J171">
        <v>4400</v>
      </c>
      <c r="K171" s="9">
        <f>G171/J171</f>
        <v>2.7409090909090907</v>
      </c>
      <c r="L171" s="9">
        <f>K171*0.63</f>
        <v>1.7267727272727271</v>
      </c>
    </row>
    <row r="172" spans="1:19" x14ac:dyDescent="0.3">
      <c r="A172" t="s">
        <v>176</v>
      </c>
      <c r="D172" t="s">
        <v>177</v>
      </c>
      <c r="F172">
        <v>77.760000000000005</v>
      </c>
      <c r="G172">
        <v>19500</v>
      </c>
      <c r="H172" t="s">
        <v>603</v>
      </c>
      <c r="J172">
        <v>8608</v>
      </c>
      <c r="K172" s="9">
        <f>G172/J172</f>
        <v>2.2653345724907061</v>
      </c>
      <c r="L172" s="9">
        <f>K172*0.63</f>
        <v>1.4271607806691449</v>
      </c>
      <c r="N172">
        <v>77.760000000000005</v>
      </c>
      <c r="P172" t="s">
        <v>646</v>
      </c>
      <c r="S172" t="s">
        <v>647</v>
      </c>
    </row>
    <row r="173" spans="1:19" x14ac:dyDescent="0.3">
      <c r="D173" t="s">
        <v>395</v>
      </c>
      <c r="F173">
        <v>71.37</v>
      </c>
      <c r="N173">
        <v>71.37</v>
      </c>
    </row>
    <row r="174" spans="1:19" x14ac:dyDescent="0.3">
      <c r="A174" t="s">
        <v>178</v>
      </c>
      <c r="D174" s="1" t="s">
        <v>7</v>
      </c>
      <c r="Q174" t="s">
        <v>396</v>
      </c>
      <c r="S174" t="s">
        <v>414</v>
      </c>
    </row>
    <row r="175" spans="1:19" x14ac:dyDescent="0.3">
      <c r="A175" t="s">
        <v>179</v>
      </c>
      <c r="D175" t="s">
        <v>179</v>
      </c>
      <c r="F175">
        <v>60.72</v>
      </c>
      <c r="G175">
        <v>5800</v>
      </c>
      <c r="H175" t="s">
        <v>659</v>
      </c>
      <c r="J175">
        <v>3600</v>
      </c>
      <c r="K175" s="9">
        <f t="shared" ref="K175:K181" si="14">G175/J175</f>
        <v>1.6111111111111112</v>
      </c>
      <c r="L175" s="9">
        <f t="shared" ref="L175:L181" si="15">K175*0.63</f>
        <v>1.0150000000000001</v>
      </c>
      <c r="P175" t="s">
        <v>397</v>
      </c>
    </row>
    <row r="176" spans="1:19" x14ac:dyDescent="0.3">
      <c r="D176" t="s">
        <v>180</v>
      </c>
      <c r="F176">
        <v>60.72</v>
      </c>
      <c r="G176">
        <v>1380</v>
      </c>
      <c r="H176" t="s">
        <v>659</v>
      </c>
      <c r="J176">
        <v>1248</v>
      </c>
      <c r="K176" s="9">
        <f t="shared" si="14"/>
        <v>1.1057692307692308</v>
      </c>
      <c r="L176" s="9">
        <f t="shared" si="15"/>
        <v>0.69663461538461546</v>
      </c>
      <c r="P176" t="s">
        <v>182</v>
      </c>
    </row>
    <row r="177" spans="1:16" x14ac:dyDescent="0.3">
      <c r="D177" t="s">
        <v>181</v>
      </c>
      <c r="F177">
        <v>51.13</v>
      </c>
      <c r="G177">
        <v>1450</v>
      </c>
      <c r="H177" t="s">
        <v>658</v>
      </c>
      <c r="J177">
        <v>670</v>
      </c>
      <c r="K177" s="9">
        <f t="shared" si="14"/>
        <v>2.1641791044776117</v>
      </c>
      <c r="L177" s="9">
        <f t="shared" si="15"/>
        <v>1.3634328358208954</v>
      </c>
    </row>
    <row r="178" spans="1:16" x14ac:dyDescent="0.3">
      <c r="A178" t="s">
        <v>183</v>
      </c>
      <c r="D178" t="s">
        <v>183</v>
      </c>
      <c r="G178">
        <v>1900</v>
      </c>
      <c r="H178" t="s">
        <v>371</v>
      </c>
      <c r="J178">
        <v>2145</v>
      </c>
      <c r="K178" s="9">
        <f t="shared" si="14"/>
        <v>0.88578088578088576</v>
      </c>
      <c r="L178" s="9">
        <f t="shared" si="15"/>
        <v>0.558041958041958</v>
      </c>
      <c r="P178" t="s">
        <v>185</v>
      </c>
    </row>
    <row r="179" spans="1:16" x14ac:dyDescent="0.3">
      <c r="A179" t="s">
        <v>184</v>
      </c>
      <c r="D179" t="s">
        <v>184</v>
      </c>
      <c r="F179">
        <v>69.819999999999993</v>
      </c>
      <c r="G179">
        <v>5728</v>
      </c>
      <c r="H179" t="s">
        <v>496</v>
      </c>
      <c r="J179">
        <v>2600</v>
      </c>
      <c r="K179" s="9">
        <f t="shared" si="14"/>
        <v>2.2030769230769232</v>
      </c>
      <c r="L179" s="9">
        <f t="shared" si="15"/>
        <v>1.3879384615384616</v>
      </c>
      <c r="N179">
        <v>69.819999999999993</v>
      </c>
    </row>
    <row r="180" spans="1:16" x14ac:dyDescent="0.3">
      <c r="D180" t="s">
        <v>384</v>
      </c>
      <c r="F180">
        <v>44.35</v>
      </c>
      <c r="G180">
        <v>1900</v>
      </c>
      <c r="H180" t="s">
        <v>660</v>
      </c>
      <c r="J180">
        <v>1400</v>
      </c>
      <c r="K180" s="9">
        <f t="shared" si="14"/>
        <v>1.3571428571428572</v>
      </c>
      <c r="L180" s="9">
        <f t="shared" si="15"/>
        <v>0.85500000000000009</v>
      </c>
    </row>
    <row r="181" spans="1:16" x14ac:dyDescent="0.3">
      <c r="D181" t="s">
        <v>125</v>
      </c>
      <c r="F181">
        <v>54.32</v>
      </c>
      <c r="G181">
        <v>1330</v>
      </c>
      <c r="H181" t="s">
        <v>604</v>
      </c>
      <c r="J181">
        <v>500</v>
      </c>
      <c r="K181">
        <f t="shared" si="14"/>
        <v>2.66</v>
      </c>
      <c r="L181" s="9">
        <f t="shared" si="15"/>
        <v>1.6758000000000002</v>
      </c>
    </row>
    <row r="183" spans="1:16" x14ac:dyDescent="0.3">
      <c r="A183" s="1" t="s">
        <v>186</v>
      </c>
    </row>
    <row r="184" spans="1:16" x14ac:dyDescent="0.3">
      <c r="A184" t="s">
        <v>187</v>
      </c>
      <c r="D184" t="s">
        <v>187</v>
      </c>
      <c r="F184">
        <v>64.94</v>
      </c>
      <c r="G184">
        <v>591</v>
      </c>
      <c r="H184" t="s">
        <v>648</v>
      </c>
      <c r="J184">
        <v>200</v>
      </c>
      <c r="K184" s="9">
        <f>G184/J184</f>
        <v>2.9550000000000001</v>
      </c>
      <c r="L184" s="9">
        <f>K184*0.63</f>
        <v>1.86165</v>
      </c>
      <c r="N184">
        <v>64.94</v>
      </c>
    </row>
    <row r="185" spans="1:16" x14ac:dyDescent="0.3">
      <c r="A185" t="s">
        <v>188</v>
      </c>
      <c r="D185" s="1" t="s">
        <v>7</v>
      </c>
    </row>
    <row r="186" spans="1:16" x14ac:dyDescent="0.3">
      <c r="A186" t="s">
        <v>189</v>
      </c>
      <c r="D186" t="s">
        <v>189</v>
      </c>
      <c r="F186">
        <v>43.33</v>
      </c>
      <c r="G186">
        <v>1971</v>
      </c>
      <c r="H186" t="s">
        <v>661</v>
      </c>
      <c r="J186">
        <v>1158</v>
      </c>
      <c r="K186" s="9">
        <f>G186/J186</f>
        <v>1.7020725388601037</v>
      </c>
      <c r="L186" s="9">
        <f>K186*0.63</f>
        <v>1.0723056994818654</v>
      </c>
      <c r="P186">
        <v>5295821</v>
      </c>
    </row>
    <row r="187" spans="1:16" x14ac:dyDescent="0.3">
      <c r="A187" t="s">
        <v>190</v>
      </c>
      <c r="D187" t="s">
        <v>191</v>
      </c>
      <c r="F187">
        <v>45.8</v>
      </c>
      <c r="G187">
        <v>1600</v>
      </c>
      <c r="H187" t="s">
        <v>940</v>
      </c>
      <c r="J187">
        <v>800</v>
      </c>
      <c r="K187">
        <f>G187/J187</f>
        <v>2</v>
      </c>
      <c r="L187">
        <f>K187*0.63</f>
        <v>1.26</v>
      </c>
      <c r="P187">
        <v>5050993</v>
      </c>
    </row>
    <row r="188" spans="1:16" x14ac:dyDescent="0.3">
      <c r="A188" t="s">
        <v>192</v>
      </c>
      <c r="D188" s="1" t="s">
        <v>7</v>
      </c>
    </row>
    <row r="189" spans="1:16" x14ac:dyDescent="0.3">
      <c r="A189" t="s">
        <v>193</v>
      </c>
      <c r="D189" t="s">
        <v>193</v>
      </c>
      <c r="F189">
        <v>65.64</v>
      </c>
      <c r="G189">
        <v>1790</v>
      </c>
      <c r="H189" t="s">
        <v>492</v>
      </c>
      <c r="J189">
        <v>1100</v>
      </c>
      <c r="K189" s="9">
        <f>G189/J189</f>
        <v>1.6272727272727272</v>
      </c>
      <c r="L189" s="9">
        <f>K189*0.63</f>
        <v>1.0251818181818182</v>
      </c>
      <c r="N189">
        <v>65.64</v>
      </c>
    </row>
    <row r="190" spans="1:16" x14ac:dyDescent="0.3">
      <c r="A190" t="s">
        <v>194</v>
      </c>
      <c r="D190" s="1" t="s">
        <v>7</v>
      </c>
    </row>
    <row r="191" spans="1:16" x14ac:dyDescent="0.3">
      <c r="A191" t="s">
        <v>195</v>
      </c>
      <c r="D191" t="s">
        <v>196</v>
      </c>
      <c r="F191">
        <v>70.650000000000006</v>
      </c>
      <c r="G191">
        <v>27962</v>
      </c>
      <c r="H191" t="s">
        <v>605</v>
      </c>
      <c r="J191">
        <v>13100</v>
      </c>
      <c r="K191" s="9">
        <f t="shared" ref="K191:K200" si="16">G191/J191</f>
        <v>2.134503816793893</v>
      </c>
      <c r="L191" s="9">
        <f t="shared" ref="L191:L200" si="17">K191*0.63</f>
        <v>1.3447374045801526</v>
      </c>
      <c r="N191">
        <v>70.650000000000006</v>
      </c>
    </row>
    <row r="192" spans="1:16" x14ac:dyDescent="0.3">
      <c r="D192" s="2" t="s">
        <v>435</v>
      </c>
      <c r="F192">
        <v>58.16</v>
      </c>
      <c r="G192">
        <v>1800</v>
      </c>
      <c r="H192" t="s">
        <v>607</v>
      </c>
      <c r="J192">
        <v>400</v>
      </c>
      <c r="K192">
        <f t="shared" si="16"/>
        <v>4.5</v>
      </c>
      <c r="L192" s="9">
        <f t="shared" si="17"/>
        <v>2.835</v>
      </c>
      <c r="N192">
        <v>56.16</v>
      </c>
    </row>
    <row r="193" spans="1:16" x14ac:dyDescent="0.3">
      <c r="A193" t="s">
        <v>197</v>
      </c>
      <c r="D193" t="s">
        <v>198</v>
      </c>
      <c r="F193">
        <v>70.650000000000006</v>
      </c>
      <c r="G193">
        <v>958</v>
      </c>
      <c r="H193" t="s">
        <v>605</v>
      </c>
      <c r="J193">
        <v>900</v>
      </c>
      <c r="K193" s="9">
        <f t="shared" si="16"/>
        <v>1.0644444444444445</v>
      </c>
      <c r="L193" s="9">
        <f t="shared" si="17"/>
        <v>0.67060000000000008</v>
      </c>
    </row>
    <row r="194" spans="1:16" x14ac:dyDescent="0.3">
      <c r="D194" t="s">
        <v>199</v>
      </c>
      <c r="F194">
        <v>65</v>
      </c>
      <c r="G194">
        <v>1265</v>
      </c>
      <c r="H194" t="s">
        <v>606</v>
      </c>
      <c r="J194">
        <v>1200</v>
      </c>
      <c r="K194" s="9">
        <f t="shared" si="16"/>
        <v>1.0541666666666667</v>
      </c>
      <c r="L194" s="9">
        <f t="shared" si="17"/>
        <v>0.66412500000000008</v>
      </c>
      <c r="N194">
        <v>65</v>
      </c>
    </row>
    <row r="195" spans="1:16" x14ac:dyDescent="0.3">
      <c r="A195" t="s">
        <v>200</v>
      </c>
      <c r="D195" t="s">
        <v>663</v>
      </c>
      <c r="F195">
        <v>50</v>
      </c>
      <c r="G195">
        <v>7761</v>
      </c>
      <c r="H195" t="s">
        <v>662</v>
      </c>
      <c r="J195">
        <v>4490</v>
      </c>
      <c r="K195" s="9">
        <f t="shared" si="16"/>
        <v>1.7285077951002228</v>
      </c>
      <c r="L195" s="9">
        <f t="shared" si="17"/>
        <v>1.0889599109131403</v>
      </c>
    </row>
    <row r="196" spans="1:16" x14ac:dyDescent="0.3">
      <c r="D196" t="s">
        <v>385</v>
      </c>
      <c r="F196">
        <v>50</v>
      </c>
      <c r="G196">
        <v>422</v>
      </c>
      <c r="H196" t="s">
        <v>662</v>
      </c>
      <c r="J196">
        <v>100</v>
      </c>
      <c r="K196" s="9">
        <f t="shared" si="16"/>
        <v>4.22</v>
      </c>
      <c r="L196" s="9">
        <f t="shared" si="17"/>
        <v>2.6585999999999999</v>
      </c>
    </row>
    <row r="197" spans="1:16" x14ac:dyDescent="0.3">
      <c r="D197" t="s">
        <v>398</v>
      </c>
      <c r="F197">
        <v>50</v>
      </c>
      <c r="G197">
        <v>915</v>
      </c>
      <c r="H197" t="s">
        <v>662</v>
      </c>
      <c r="J197">
        <v>812</v>
      </c>
      <c r="K197" s="9">
        <f t="shared" si="16"/>
        <v>1.1268472906403941</v>
      </c>
      <c r="L197" s="9">
        <f t="shared" si="17"/>
        <v>0.70991379310344827</v>
      </c>
      <c r="N197">
        <v>51.55</v>
      </c>
    </row>
    <row r="198" spans="1:16" x14ac:dyDescent="0.3">
      <c r="D198" t="s">
        <v>386</v>
      </c>
      <c r="F198">
        <v>50</v>
      </c>
      <c r="G198">
        <v>1072</v>
      </c>
      <c r="H198" t="s">
        <v>662</v>
      </c>
      <c r="J198">
        <v>862</v>
      </c>
      <c r="K198" s="9">
        <f t="shared" si="16"/>
        <v>1.2436194895591648</v>
      </c>
      <c r="L198" s="9">
        <f t="shared" si="17"/>
        <v>0.78348027842227386</v>
      </c>
      <c r="N198">
        <v>51.55</v>
      </c>
    </row>
    <row r="199" spans="1:16" x14ac:dyDescent="0.3">
      <c r="A199" t="s">
        <v>201</v>
      </c>
      <c r="D199" t="s">
        <v>202</v>
      </c>
      <c r="F199">
        <v>45.4</v>
      </c>
      <c r="G199">
        <v>1750</v>
      </c>
      <c r="H199" t="s">
        <v>429</v>
      </c>
      <c r="J199">
        <v>1000</v>
      </c>
      <c r="K199">
        <f t="shared" si="16"/>
        <v>1.75</v>
      </c>
      <c r="L199" s="9">
        <f t="shared" si="17"/>
        <v>1.1025</v>
      </c>
    </row>
    <row r="200" spans="1:16" x14ac:dyDescent="0.3">
      <c r="A200" t="s">
        <v>203</v>
      </c>
      <c r="D200" t="s">
        <v>203</v>
      </c>
      <c r="F200">
        <v>77.97</v>
      </c>
      <c r="G200">
        <v>1524</v>
      </c>
      <c r="H200" t="s">
        <v>664</v>
      </c>
      <c r="J200">
        <v>930</v>
      </c>
      <c r="K200" s="9">
        <f t="shared" si="16"/>
        <v>1.6387096774193548</v>
      </c>
      <c r="L200" s="9">
        <f t="shared" si="17"/>
        <v>1.0323870967741935</v>
      </c>
      <c r="P200">
        <v>7920421</v>
      </c>
    </row>
    <row r="201" spans="1:16" x14ac:dyDescent="0.3">
      <c r="A201" t="s">
        <v>204</v>
      </c>
      <c r="D201" s="1" t="s">
        <v>7</v>
      </c>
    </row>
    <row r="202" spans="1:16" x14ac:dyDescent="0.3">
      <c r="A202" t="s">
        <v>205</v>
      </c>
      <c r="D202" t="s">
        <v>383</v>
      </c>
      <c r="G202">
        <v>760</v>
      </c>
      <c r="H202" t="s">
        <v>665</v>
      </c>
      <c r="J202">
        <v>100</v>
      </c>
      <c r="K202">
        <f>G202/J202</f>
        <v>7.6</v>
      </c>
      <c r="L202" s="9">
        <f>K202*0.63</f>
        <v>4.7879999999999994</v>
      </c>
    </row>
    <row r="203" spans="1:16" x14ac:dyDescent="0.3">
      <c r="F203" s="1"/>
    </row>
    <row r="204" spans="1:16" x14ac:dyDescent="0.3">
      <c r="A204" s="1" t="s">
        <v>206</v>
      </c>
    </row>
    <row r="205" spans="1:16" x14ac:dyDescent="0.3">
      <c r="A205" t="s">
        <v>207</v>
      </c>
      <c r="D205" t="s">
        <v>208</v>
      </c>
      <c r="F205">
        <v>53.29</v>
      </c>
      <c r="G205">
        <v>173800</v>
      </c>
      <c r="H205" t="s">
        <v>623</v>
      </c>
      <c r="J205">
        <v>60000</v>
      </c>
      <c r="K205" s="9">
        <f>G205/J205</f>
        <v>2.8966666666666665</v>
      </c>
      <c r="L205" s="9">
        <f>K205*0.63</f>
        <v>1.8249</v>
      </c>
      <c r="N205">
        <v>53.29</v>
      </c>
    </row>
    <row r="206" spans="1:16" x14ac:dyDescent="0.3">
      <c r="A206" t="s">
        <v>209</v>
      </c>
      <c r="D206" s="1" t="s">
        <v>7</v>
      </c>
      <c r="P206" t="s">
        <v>223</v>
      </c>
    </row>
    <row r="207" spans="1:16" x14ac:dyDescent="0.3">
      <c r="A207" t="s">
        <v>210</v>
      </c>
      <c r="D207" s="1" t="s">
        <v>7</v>
      </c>
      <c r="P207" t="s">
        <v>211</v>
      </c>
    </row>
    <row r="208" spans="1:16" x14ac:dyDescent="0.3">
      <c r="A208" t="s">
        <v>212</v>
      </c>
      <c r="D208" s="1" t="s">
        <v>263</v>
      </c>
      <c r="P208" t="s">
        <v>699</v>
      </c>
    </row>
    <row r="209" spans="1:16" x14ac:dyDescent="0.3">
      <c r="A209" t="s">
        <v>213</v>
      </c>
      <c r="D209" s="1" t="s">
        <v>7</v>
      </c>
    </row>
    <row r="210" spans="1:16" x14ac:dyDescent="0.3">
      <c r="A210" t="s">
        <v>214</v>
      </c>
      <c r="D210" s="1" t="s">
        <v>7</v>
      </c>
    </row>
    <row r="211" spans="1:16" x14ac:dyDescent="0.3">
      <c r="A211" t="s">
        <v>215</v>
      </c>
      <c r="D211" t="s">
        <v>215</v>
      </c>
      <c r="F211">
        <v>44.68</v>
      </c>
      <c r="G211">
        <v>4144</v>
      </c>
      <c r="H211" t="s">
        <v>514</v>
      </c>
      <c r="J211">
        <v>540</v>
      </c>
      <c r="K211" s="9">
        <f>G211/J211</f>
        <v>7.674074074074074</v>
      </c>
      <c r="L211" s="9">
        <f>K211*0.63</f>
        <v>4.8346666666666671</v>
      </c>
      <c r="N211">
        <v>44.68</v>
      </c>
    </row>
    <row r="212" spans="1:16" x14ac:dyDescent="0.3">
      <c r="A212" t="s">
        <v>216</v>
      </c>
      <c r="D212" t="s">
        <v>216</v>
      </c>
      <c r="F212">
        <v>79.28</v>
      </c>
      <c r="G212">
        <v>6179</v>
      </c>
      <c r="H212" t="s">
        <v>493</v>
      </c>
      <c r="J212">
        <v>3160</v>
      </c>
      <c r="K212" s="9">
        <f>G212/J212</f>
        <v>1.955379746835443</v>
      </c>
      <c r="L212" s="9">
        <f>K212*0.63</f>
        <v>1.2318892405063291</v>
      </c>
      <c r="N212">
        <v>79.28</v>
      </c>
    </row>
    <row r="213" spans="1:16" x14ac:dyDescent="0.3">
      <c r="D213" t="s">
        <v>217</v>
      </c>
      <c r="F213">
        <v>79.28</v>
      </c>
      <c r="G213" t="s">
        <v>443</v>
      </c>
      <c r="N213">
        <v>79.28</v>
      </c>
    </row>
    <row r="214" spans="1:16" x14ac:dyDescent="0.3">
      <c r="A214" t="s">
        <v>218</v>
      </c>
      <c r="D214" s="1" t="s">
        <v>263</v>
      </c>
      <c r="P214" t="s">
        <v>701</v>
      </c>
    </row>
    <row r="215" spans="1:16" x14ac:dyDescent="0.3">
      <c r="A215" t="s">
        <v>219</v>
      </c>
      <c r="D215" t="s">
        <v>219</v>
      </c>
      <c r="F215">
        <v>59.7</v>
      </c>
      <c r="G215">
        <v>4224</v>
      </c>
      <c r="H215" t="s">
        <v>493</v>
      </c>
      <c r="J215">
        <v>4470</v>
      </c>
      <c r="K215" s="9">
        <f>G215/J215</f>
        <v>0.94496644295302012</v>
      </c>
      <c r="L215" s="9">
        <f>K215*0.63</f>
        <v>0.59532885906040267</v>
      </c>
      <c r="N215">
        <v>59.7</v>
      </c>
    </row>
    <row r="216" spans="1:16" x14ac:dyDescent="0.3">
      <c r="A216" t="s">
        <v>220</v>
      </c>
      <c r="D216" t="s">
        <v>221</v>
      </c>
      <c r="G216">
        <v>4315</v>
      </c>
      <c r="H216" t="s">
        <v>374</v>
      </c>
      <c r="J216">
        <v>1500</v>
      </c>
      <c r="K216" s="9">
        <f>G216/J216</f>
        <v>2.8766666666666665</v>
      </c>
      <c r="L216" s="9">
        <f>K216*0.63</f>
        <v>1.8122999999999998</v>
      </c>
    </row>
    <row r="217" spans="1:16" x14ac:dyDescent="0.3">
      <c r="A217" t="s">
        <v>222</v>
      </c>
      <c r="D217" s="1" t="s">
        <v>7</v>
      </c>
      <c r="P217" t="s">
        <v>223</v>
      </c>
    </row>
    <row r="218" spans="1:16" x14ac:dyDescent="0.3">
      <c r="A218" t="s">
        <v>224</v>
      </c>
      <c r="D218" t="s">
        <v>225</v>
      </c>
      <c r="F218">
        <v>81.88</v>
      </c>
      <c r="G218">
        <v>1366</v>
      </c>
      <c r="H218" t="s">
        <v>493</v>
      </c>
      <c r="J218">
        <v>900</v>
      </c>
      <c r="K218" s="9">
        <f t="shared" ref="K218:K223" si="18">G218/J218</f>
        <v>1.5177777777777777</v>
      </c>
      <c r="L218" s="9">
        <f t="shared" ref="L218:L223" si="19">K218*0.63</f>
        <v>0.95619999999999994</v>
      </c>
      <c r="N218">
        <v>81.88</v>
      </c>
    </row>
    <row r="219" spans="1:16" x14ac:dyDescent="0.3">
      <c r="A219" t="s">
        <v>226</v>
      </c>
      <c r="D219" t="s">
        <v>226</v>
      </c>
      <c r="F219">
        <v>48.49</v>
      </c>
      <c r="G219">
        <v>9524</v>
      </c>
      <c r="H219" t="s">
        <v>492</v>
      </c>
      <c r="J219">
        <v>4700</v>
      </c>
      <c r="K219" s="9">
        <f t="shared" si="18"/>
        <v>2.0263829787234044</v>
      </c>
      <c r="L219" s="9">
        <f t="shared" si="19"/>
        <v>1.2766212765957448</v>
      </c>
      <c r="N219">
        <v>48.49</v>
      </c>
    </row>
    <row r="220" spans="1:16" x14ac:dyDescent="0.3">
      <c r="A220" t="s">
        <v>227</v>
      </c>
      <c r="D220" t="s">
        <v>227</v>
      </c>
      <c r="F220">
        <v>48.6</v>
      </c>
      <c r="G220">
        <v>1362</v>
      </c>
      <c r="H220" t="s">
        <v>666</v>
      </c>
      <c r="J220">
        <v>789</v>
      </c>
      <c r="K220" s="9">
        <f t="shared" si="18"/>
        <v>1.726235741444867</v>
      </c>
      <c r="L220" s="9">
        <f t="shared" si="19"/>
        <v>1.0875285171102662</v>
      </c>
    </row>
    <row r="221" spans="1:16" x14ac:dyDescent="0.3">
      <c r="D221" t="s">
        <v>229</v>
      </c>
      <c r="F221">
        <v>48.6</v>
      </c>
      <c r="G221">
        <v>986</v>
      </c>
      <c r="H221" t="s">
        <v>666</v>
      </c>
      <c r="J221">
        <v>560</v>
      </c>
      <c r="K221" s="9">
        <f t="shared" si="18"/>
        <v>1.7607142857142857</v>
      </c>
      <c r="L221" s="9">
        <f t="shared" si="19"/>
        <v>1.1092500000000001</v>
      </c>
    </row>
    <row r="222" spans="1:16" x14ac:dyDescent="0.3">
      <c r="D222" t="s">
        <v>228</v>
      </c>
      <c r="F222">
        <v>48.6</v>
      </c>
      <c r="G222">
        <v>883</v>
      </c>
      <c r="H222" t="s">
        <v>666</v>
      </c>
      <c r="J222">
        <v>663</v>
      </c>
      <c r="K222" s="9">
        <f t="shared" si="18"/>
        <v>1.3318250377073906</v>
      </c>
      <c r="L222" s="9">
        <f t="shared" si="19"/>
        <v>0.83904977375565604</v>
      </c>
    </row>
    <row r="223" spans="1:16" x14ac:dyDescent="0.3">
      <c r="A223" t="s">
        <v>230</v>
      </c>
      <c r="D223" t="s">
        <v>230</v>
      </c>
      <c r="F223">
        <v>48.81</v>
      </c>
      <c r="G223">
        <v>1800</v>
      </c>
      <c r="H223" t="s">
        <v>608</v>
      </c>
      <c r="I223">
        <v>1300</v>
      </c>
      <c r="J223">
        <v>600</v>
      </c>
      <c r="K223">
        <f t="shared" si="18"/>
        <v>3</v>
      </c>
      <c r="L223">
        <f t="shared" si="19"/>
        <v>1.8900000000000001</v>
      </c>
      <c r="N223">
        <v>48.81</v>
      </c>
    </row>
    <row r="224" spans="1:16" x14ac:dyDescent="0.3">
      <c r="A224" t="s">
        <v>231</v>
      </c>
      <c r="D224" s="1" t="s">
        <v>7</v>
      </c>
      <c r="P224" t="s">
        <v>232</v>
      </c>
    </row>
    <row r="225" spans="1:17" x14ac:dyDescent="0.3">
      <c r="A225" t="s">
        <v>420</v>
      </c>
      <c r="D225" t="s">
        <v>509</v>
      </c>
      <c r="F225">
        <v>76.11</v>
      </c>
      <c r="G225">
        <v>3264</v>
      </c>
      <c r="H225" t="s">
        <v>496</v>
      </c>
      <c r="J225">
        <v>2000</v>
      </c>
      <c r="K225" s="9">
        <f>G225/J225</f>
        <v>1.6319999999999999</v>
      </c>
      <c r="L225" s="9">
        <f>K225*0.63</f>
        <v>1.02816</v>
      </c>
      <c r="N225">
        <v>76.11</v>
      </c>
      <c r="P225" t="s">
        <v>233</v>
      </c>
    </row>
    <row r="226" spans="1:17" x14ac:dyDescent="0.3">
      <c r="D226" t="s">
        <v>562</v>
      </c>
      <c r="G226">
        <v>788</v>
      </c>
      <c r="J226">
        <v>400</v>
      </c>
      <c r="K226">
        <f>G226/J226</f>
        <v>1.97</v>
      </c>
      <c r="L226" s="9">
        <f>K226*0.63</f>
        <v>1.2411000000000001</v>
      </c>
    </row>
    <row r="227" spans="1:17" x14ac:dyDescent="0.3">
      <c r="A227" t="s">
        <v>399</v>
      </c>
      <c r="D227" s="1" t="s">
        <v>7</v>
      </c>
      <c r="P227" t="s">
        <v>362</v>
      </c>
    </row>
    <row r="228" spans="1:17" x14ac:dyDescent="0.3">
      <c r="A228" s="1" t="s">
        <v>234</v>
      </c>
    </row>
    <row r="229" spans="1:17" x14ac:dyDescent="0.3">
      <c r="A229" t="s">
        <v>235</v>
      </c>
      <c r="D229" t="s">
        <v>236</v>
      </c>
      <c r="F229">
        <v>75.7</v>
      </c>
      <c r="G229">
        <v>22945</v>
      </c>
      <c r="H229" t="s">
        <v>494</v>
      </c>
      <c r="J229">
        <v>10978</v>
      </c>
      <c r="K229" s="9">
        <f>G229/J229</f>
        <v>2.0900892694479869</v>
      </c>
      <c r="L229" s="9">
        <f>K229*0.63</f>
        <v>1.3167562397522317</v>
      </c>
      <c r="N229">
        <v>75.7</v>
      </c>
    </row>
    <row r="230" spans="1:17" x14ac:dyDescent="0.3">
      <c r="D230" t="s">
        <v>237</v>
      </c>
      <c r="F230">
        <v>74.52</v>
      </c>
      <c r="G230">
        <v>1668</v>
      </c>
      <c r="H230" t="s">
        <v>609</v>
      </c>
      <c r="J230">
        <v>2000</v>
      </c>
      <c r="K230" s="9">
        <f>G230/J230</f>
        <v>0.83399999999999996</v>
      </c>
      <c r="L230" s="9">
        <f>K230*0.63</f>
        <v>0.52542</v>
      </c>
      <c r="N230">
        <v>74.52</v>
      </c>
      <c r="Q230">
        <v>5073824</v>
      </c>
    </row>
    <row r="231" spans="1:17" x14ac:dyDescent="0.3">
      <c r="A231" t="s">
        <v>238</v>
      </c>
      <c r="D231" t="s">
        <v>667</v>
      </c>
      <c r="F231">
        <v>65</v>
      </c>
      <c r="G231">
        <v>498</v>
      </c>
      <c r="H231" t="s">
        <v>668</v>
      </c>
      <c r="J231">
        <v>150</v>
      </c>
      <c r="K231">
        <f>G231/J231</f>
        <v>3.32</v>
      </c>
      <c r="L231" s="9">
        <f>K231*0.63</f>
        <v>2.0916000000000001</v>
      </c>
    </row>
    <row r="232" spans="1:17" x14ac:dyDescent="0.3">
      <c r="A232" t="s">
        <v>239</v>
      </c>
      <c r="D232" t="s">
        <v>239</v>
      </c>
      <c r="F232">
        <v>83.09</v>
      </c>
      <c r="G232">
        <v>2719</v>
      </c>
      <c r="H232" t="s">
        <v>625</v>
      </c>
      <c r="J232">
        <v>2957</v>
      </c>
      <c r="K232" s="9">
        <f>G232/J232</f>
        <v>0.91951301995265466</v>
      </c>
      <c r="L232" s="9">
        <f>K232*0.63</f>
        <v>0.57929320257017247</v>
      </c>
    </row>
    <row r="233" spans="1:17" x14ac:dyDescent="0.3">
      <c r="A233" t="s">
        <v>240</v>
      </c>
      <c r="D233" s="1" t="s">
        <v>7</v>
      </c>
    </row>
    <row r="234" spans="1:17" x14ac:dyDescent="0.3">
      <c r="A234" t="s">
        <v>241</v>
      </c>
      <c r="D234" t="s">
        <v>241</v>
      </c>
      <c r="F234">
        <v>73.06</v>
      </c>
      <c r="G234">
        <v>6281</v>
      </c>
      <c r="H234" t="s">
        <v>493</v>
      </c>
      <c r="J234">
        <v>3310</v>
      </c>
      <c r="K234" s="9">
        <f>G234/J234</f>
        <v>1.8975830815709971</v>
      </c>
      <c r="L234" s="9">
        <f>K234*0.63</f>
        <v>1.1954773413897282</v>
      </c>
      <c r="N234">
        <v>76.09</v>
      </c>
    </row>
    <row r="235" spans="1:17" x14ac:dyDescent="0.3">
      <c r="D235" t="s">
        <v>242</v>
      </c>
      <c r="F235">
        <v>90.28</v>
      </c>
      <c r="G235">
        <v>2084</v>
      </c>
      <c r="H235" t="s">
        <v>355</v>
      </c>
      <c r="J235">
        <v>1900</v>
      </c>
      <c r="K235" s="9">
        <f>G235/J235</f>
        <v>1.0968421052631578</v>
      </c>
      <c r="L235" s="9">
        <f>K235*0.63</f>
        <v>0.69101052631578941</v>
      </c>
      <c r="N235">
        <v>90.89</v>
      </c>
    </row>
    <row r="236" spans="1:17" x14ac:dyDescent="0.3">
      <c r="A236" t="s">
        <v>243</v>
      </c>
      <c r="D236" t="s">
        <v>243</v>
      </c>
      <c r="F236">
        <v>70.790000000000006</v>
      </c>
      <c r="G236">
        <v>5831</v>
      </c>
      <c r="H236" t="s">
        <v>493</v>
      </c>
      <c r="J236">
        <v>3870</v>
      </c>
      <c r="K236" s="9">
        <f>G236/J236</f>
        <v>1.5067183462532299</v>
      </c>
      <c r="L236" s="9">
        <f>K236*0.63</f>
        <v>0.94923255813953478</v>
      </c>
      <c r="N236">
        <v>70.790000000000006</v>
      </c>
    </row>
    <row r="237" spans="1:17" x14ac:dyDescent="0.3">
      <c r="A237" t="s">
        <v>244</v>
      </c>
      <c r="D237" s="1" t="s">
        <v>7</v>
      </c>
    </row>
    <row r="238" spans="1:17" x14ac:dyDescent="0.3">
      <c r="A238" t="s">
        <v>245</v>
      </c>
      <c r="D238" t="s">
        <v>245</v>
      </c>
      <c r="F238">
        <v>86.69</v>
      </c>
      <c r="G238">
        <v>3060</v>
      </c>
      <c r="H238" t="s">
        <v>355</v>
      </c>
      <c r="J238">
        <v>3340</v>
      </c>
      <c r="K238" s="9">
        <f>G238/J238</f>
        <v>0.91616766467065869</v>
      </c>
      <c r="L238" s="9">
        <f>K238*0.63</f>
        <v>0.577185628742515</v>
      </c>
      <c r="N238">
        <v>86.69</v>
      </c>
    </row>
    <row r="239" spans="1:17" x14ac:dyDescent="0.3">
      <c r="D239" t="s">
        <v>400</v>
      </c>
      <c r="F239">
        <v>58.48</v>
      </c>
      <c r="G239">
        <v>2352</v>
      </c>
      <c r="H239" t="s">
        <v>669</v>
      </c>
      <c r="J239">
        <v>2200</v>
      </c>
      <c r="K239" s="9">
        <f>G239/J239</f>
        <v>1.0690909090909091</v>
      </c>
      <c r="L239" s="9">
        <f>K239*0.63</f>
        <v>0.67352727272727275</v>
      </c>
      <c r="P239" t="s">
        <v>670</v>
      </c>
    </row>
    <row r="240" spans="1:17" x14ac:dyDescent="0.3">
      <c r="A240" t="s">
        <v>246</v>
      </c>
      <c r="D240" s="1" t="s">
        <v>7</v>
      </c>
      <c r="P240" t="s">
        <v>362</v>
      </c>
    </row>
    <row r="241" spans="1:16" x14ac:dyDescent="0.3">
      <c r="A241" t="s">
        <v>247</v>
      </c>
      <c r="D241" t="s">
        <v>248</v>
      </c>
      <c r="F241">
        <v>80.17</v>
      </c>
      <c r="G241">
        <v>2809</v>
      </c>
      <c r="H241" t="s">
        <v>493</v>
      </c>
      <c r="J241">
        <v>1700</v>
      </c>
      <c r="K241" s="9">
        <f>G241/J241</f>
        <v>1.6523529411764706</v>
      </c>
      <c r="L241" s="9">
        <f>K241*0.63</f>
        <v>1.0409823529411766</v>
      </c>
      <c r="N241">
        <v>80.17</v>
      </c>
    </row>
    <row r="242" spans="1:16" x14ac:dyDescent="0.3">
      <c r="A242" t="s">
        <v>249</v>
      </c>
      <c r="D242" s="1" t="s">
        <v>7</v>
      </c>
    </row>
    <row r="244" spans="1:16" x14ac:dyDescent="0.3">
      <c r="A244" s="1" t="s">
        <v>250</v>
      </c>
    </row>
    <row r="245" spans="1:16" x14ac:dyDescent="0.3">
      <c r="A245" t="s">
        <v>251</v>
      </c>
      <c r="D245" t="s">
        <v>252</v>
      </c>
      <c r="F245">
        <v>44.49</v>
      </c>
      <c r="G245">
        <v>66342</v>
      </c>
      <c r="H245" t="s">
        <v>610</v>
      </c>
      <c r="J245">
        <v>34106</v>
      </c>
      <c r="K245" s="9">
        <f>G245/J245</f>
        <v>1.9451709376649271</v>
      </c>
      <c r="L245" s="9">
        <f>K245*0.63</f>
        <v>1.2254576907289041</v>
      </c>
      <c r="N245">
        <v>44.49</v>
      </c>
    </row>
    <row r="246" spans="1:16" x14ac:dyDescent="0.3">
      <c r="A246" t="s">
        <v>253</v>
      </c>
      <c r="D246" s="1" t="s">
        <v>7</v>
      </c>
    </row>
    <row r="247" spans="1:16" x14ac:dyDescent="0.3">
      <c r="A247" t="s">
        <v>254</v>
      </c>
      <c r="D247" s="1" t="s">
        <v>7</v>
      </c>
    </row>
    <row r="248" spans="1:16" x14ac:dyDescent="0.3">
      <c r="A248" t="s">
        <v>255</v>
      </c>
      <c r="D248" t="s">
        <v>255</v>
      </c>
      <c r="F248">
        <v>62.76</v>
      </c>
      <c r="G248">
        <v>990</v>
      </c>
      <c r="H248" t="s">
        <v>371</v>
      </c>
      <c r="J248">
        <v>215</v>
      </c>
      <c r="K248" s="9">
        <f>G248/J248</f>
        <v>4.6046511627906979</v>
      </c>
      <c r="L248" s="9">
        <f>K248*0.63</f>
        <v>2.9009302325581396</v>
      </c>
    </row>
    <row r="249" spans="1:16" x14ac:dyDescent="0.3">
      <c r="D249" t="s">
        <v>256</v>
      </c>
      <c r="F249">
        <v>80.14</v>
      </c>
      <c r="G249">
        <v>615</v>
      </c>
      <c r="H249" t="s">
        <v>493</v>
      </c>
      <c r="J249">
        <v>575</v>
      </c>
      <c r="K249" s="9">
        <f>G249/J249</f>
        <v>1.0695652173913044</v>
      </c>
      <c r="L249" s="9">
        <f>K249*0.63</f>
        <v>0.6738260869565218</v>
      </c>
      <c r="N249">
        <v>80.14</v>
      </c>
    </row>
    <row r="250" spans="1:16" x14ac:dyDescent="0.3">
      <c r="A250" t="s">
        <v>257</v>
      </c>
      <c r="D250" t="s">
        <v>422</v>
      </c>
      <c r="F250">
        <v>45</v>
      </c>
      <c r="G250">
        <v>1415</v>
      </c>
      <c r="H250" t="s">
        <v>656</v>
      </c>
      <c r="J250">
        <v>800</v>
      </c>
      <c r="K250" s="9">
        <f>G250/J250</f>
        <v>1.76875</v>
      </c>
      <c r="L250" s="9">
        <f>K250*0.63</f>
        <v>1.1143125</v>
      </c>
      <c r="P250" t="s">
        <v>421</v>
      </c>
    </row>
    <row r="251" spans="1:16" x14ac:dyDescent="0.3">
      <c r="A251" t="s">
        <v>258</v>
      </c>
      <c r="D251" s="1" t="s">
        <v>7</v>
      </c>
    </row>
    <row r="252" spans="1:16" x14ac:dyDescent="0.3">
      <c r="A252" t="s">
        <v>259</v>
      </c>
      <c r="D252" t="s">
        <v>259</v>
      </c>
      <c r="F252">
        <v>53.75</v>
      </c>
      <c r="G252">
        <v>3350</v>
      </c>
      <c r="H252" t="s">
        <v>372</v>
      </c>
      <c r="J252">
        <v>2217</v>
      </c>
      <c r="K252" s="9">
        <f>G252/J252</f>
        <v>1.5110509697789807</v>
      </c>
      <c r="L252" s="9">
        <f>K252*0.63</f>
        <v>0.95196211096075789</v>
      </c>
    </row>
    <row r="253" spans="1:16" x14ac:dyDescent="0.3">
      <c r="A253" t="s">
        <v>260</v>
      </c>
      <c r="D253" s="1" t="s">
        <v>7</v>
      </c>
    </row>
    <row r="254" spans="1:16" x14ac:dyDescent="0.3">
      <c r="A254" t="s">
        <v>261</v>
      </c>
      <c r="D254" s="1" t="s">
        <v>7</v>
      </c>
      <c r="P254" t="s">
        <v>423</v>
      </c>
    </row>
    <row r="255" spans="1:16" x14ac:dyDescent="0.3">
      <c r="A255" t="s">
        <v>262</v>
      </c>
      <c r="D255" s="1" t="s">
        <v>263</v>
      </c>
    </row>
    <row r="256" spans="1:16" x14ac:dyDescent="0.3">
      <c r="A256" t="s">
        <v>265</v>
      </c>
      <c r="D256" t="s">
        <v>265</v>
      </c>
      <c r="G256">
        <v>888</v>
      </c>
      <c r="H256" t="s">
        <v>493</v>
      </c>
      <c r="J256">
        <v>600</v>
      </c>
      <c r="K256">
        <f>G256/J256</f>
        <v>1.48</v>
      </c>
      <c r="L256" s="9">
        <f>K256*0.63</f>
        <v>0.93240000000000001</v>
      </c>
    </row>
    <row r="257" spans="1:17" x14ac:dyDescent="0.3">
      <c r="A257" t="s">
        <v>266</v>
      </c>
      <c r="D257" s="1" t="s">
        <v>7</v>
      </c>
    </row>
    <row r="258" spans="1:17" x14ac:dyDescent="0.3">
      <c r="A258" t="s">
        <v>267</v>
      </c>
      <c r="D258" s="1" t="s">
        <v>7</v>
      </c>
      <c r="P258" t="s">
        <v>362</v>
      </c>
    </row>
    <row r="259" spans="1:17" x14ac:dyDescent="0.3">
      <c r="A259" t="s">
        <v>268</v>
      </c>
      <c r="D259" s="1" t="s">
        <v>7</v>
      </c>
      <c r="Q259" t="s">
        <v>402</v>
      </c>
    </row>
    <row r="260" spans="1:17" x14ac:dyDescent="0.3">
      <c r="A260" t="s">
        <v>269</v>
      </c>
      <c r="D260" t="s">
        <v>269</v>
      </c>
      <c r="F260">
        <v>77.5</v>
      </c>
      <c r="G260">
        <v>1225</v>
      </c>
      <c r="H260" t="s">
        <v>493</v>
      </c>
      <c r="J260">
        <v>900</v>
      </c>
      <c r="K260" s="9">
        <f>G260/J260</f>
        <v>1.3611111111111112</v>
      </c>
      <c r="L260" s="9">
        <f>K260*0.63</f>
        <v>0.85750000000000004</v>
      </c>
      <c r="N260">
        <v>77.5</v>
      </c>
    </row>
    <row r="261" spans="1:17" x14ac:dyDescent="0.3">
      <c r="D261" s="2" t="s">
        <v>401</v>
      </c>
      <c r="F261">
        <v>61.16</v>
      </c>
      <c r="G261">
        <v>2500</v>
      </c>
      <c r="H261" t="s">
        <v>674</v>
      </c>
      <c r="J261">
        <v>1500</v>
      </c>
      <c r="K261" s="9">
        <f>G261/J261</f>
        <v>1.6666666666666667</v>
      </c>
      <c r="L261">
        <f>K261*0.63</f>
        <v>1.05</v>
      </c>
    </row>
    <row r="262" spans="1:17" x14ac:dyDescent="0.3">
      <c r="A262" t="s">
        <v>270</v>
      </c>
      <c r="D262" s="1" t="s">
        <v>263</v>
      </c>
    </row>
    <row r="263" spans="1:17" x14ac:dyDescent="0.3">
      <c r="A263" s="1" t="s">
        <v>271</v>
      </c>
    </row>
    <row r="264" spans="1:17" x14ac:dyDescent="0.3">
      <c r="A264" t="s">
        <v>272</v>
      </c>
      <c r="D264" s="1" t="s">
        <v>7</v>
      </c>
    </row>
    <row r="265" spans="1:17" x14ac:dyDescent="0.3">
      <c r="A265" t="s">
        <v>273</v>
      </c>
      <c r="D265" t="s">
        <v>274</v>
      </c>
      <c r="F265">
        <v>54.42</v>
      </c>
      <c r="G265">
        <v>12745</v>
      </c>
      <c r="H265" t="s">
        <v>675</v>
      </c>
      <c r="J265">
        <v>4000</v>
      </c>
      <c r="K265" s="9">
        <f>G265/J265</f>
        <v>3.1862499999999998</v>
      </c>
      <c r="L265" s="9">
        <f>K265*0.63</f>
        <v>2.0073374999999998</v>
      </c>
    </row>
    <row r="266" spans="1:17" x14ac:dyDescent="0.3">
      <c r="A266" t="s">
        <v>275</v>
      </c>
      <c r="D266" s="1" t="s">
        <v>7</v>
      </c>
    </row>
    <row r="267" spans="1:17" x14ac:dyDescent="0.3">
      <c r="A267" t="s">
        <v>276</v>
      </c>
      <c r="D267" s="1" t="s">
        <v>7</v>
      </c>
      <c r="O267" t="s">
        <v>362</v>
      </c>
    </row>
    <row r="268" spans="1:17" x14ac:dyDescent="0.3">
      <c r="A268" t="s">
        <v>277</v>
      </c>
      <c r="D268" t="s">
        <v>277</v>
      </c>
      <c r="F268">
        <v>79.09</v>
      </c>
      <c r="G268">
        <v>3500</v>
      </c>
      <c r="H268" t="s">
        <v>676</v>
      </c>
      <c r="J268">
        <v>1500</v>
      </c>
      <c r="K268" s="9">
        <f>G268/J268</f>
        <v>2.3333333333333335</v>
      </c>
      <c r="L268">
        <f>K268*0.63</f>
        <v>1.4700000000000002</v>
      </c>
      <c r="P268" t="s">
        <v>677</v>
      </c>
    </row>
    <row r="269" spans="1:17" x14ac:dyDescent="0.3">
      <c r="A269" t="s">
        <v>278</v>
      </c>
      <c r="D269" s="1" t="s">
        <v>7</v>
      </c>
    </row>
    <row r="270" spans="1:17" x14ac:dyDescent="0.3">
      <c r="A270" t="s">
        <v>279</v>
      </c>
      <c r="D270" s="1" t="s">
        <v>7</v>
      </c>
      <c r="O270" t="s">
        <v>362</v>
      </c>
    </row>
    <row r="271" spans="1:17" x14ac:dyDescent="0.3">
      <c r="A271" t="s">
        <v>280</v>
      </c>
      <c r="D271" t="s">
        <v>280</v>
      </c>
      <c r="F271">
        <v>48.89</v>
      </c>
      <c r="G271">
        <v>2320</v>
      </c>
      <c r="H271" t="s">
        <v>678</v>
      </c>
      <c r="J271">
        <v>1200</v>
      </c>
      <c r="K271" s="9">
        <f>G271/J271</f>
        <v>1.9333333333333333</v>
      </c>
      <c r="L271" s="9">
        <f>K271*0.63</f>
        <v>1.218</v>
      </c>
    </row>
    <row r="272" spans="1:17" x14ac:dyDescent="0.3">
      <c r="D272" t="s">
        <v>281</v>
      </c>
      <c r="G272" t="s">
        <v>442</v>
      </c>
    </row>
    <row r="273" spans="1:16" x14ac:dyDescent="0.3">
      <c r="A273" t="s">
        <v>282</v>
      </c>
      <c r="D273" s="1" t="s">
        <v>7</v>
      </c>
    </row>
    <row r="274" spans="1:16" x14ac:dyDescent="0.3">
      <c r="A274" t="s">
        <v>283</v>
      </c>
      <c r="D274" s="1" t="s">
        <v>7</v>
      </c>
    </row>
    <row r="275" spans="1:16" x14ac:dyDescent="0.3">
      <c r="A275" t="s">
        <v>284</v>
      </c>
      <c r="D275" t="s">
        <v>284</v>
      </c>
      <c r="F275">
        <v>76.94</v>
      </c>
      <c r="G275">
        <v>2500</v>
      </c>
      <c r="H275" t="s">
        <v>493</v>
      </c>
      <c r="J275">
        <v>1400</v>
      </c>
      <c r="K275" s="9">
        <f>G275/J275</f>
        <v>1.7857142857142858</v>
      </c>
      <c r="L275" s="9">
        <f>K275*0.63</f>
        <v>1.125</v>
      </c>
      <c r="N275">
        <v>76.94</v>
      </c>
    </row>
    <row r="276" spans="1:16" x14ac:dyDescent="0.3">
      <c r="D276" t="s">
        <v>285</v>
      </c>
      <c r="F276">
        <v>75.31</v>
      </c>
      <c r="G276">
        <v>1340</v>
      </c>
      <c r="H276" t="s">
        <v>493</v>
      </c>
      <c r="J276">
        <v>900</v>
      </c>
      <c r="K276" s="9">
        <f>G276/J276</f>
        <v>1.4888888888888889</v>
      </c>
      <c r="L276" s="9">
        <f>K276*0.63</f>
        <v>0.93800000000000006</v>
      </c>
      <c r="N276">
        <v>75.31</v>
      </c>
    </row>
    <row r="277" spans="1:16" x14ac:dyDescent="0.3">
      <c r="A277" t="s">
        <v>286</v>
      </c>
      <c r="D277" s="1" t="s">
        <v>7</v>
      </c>
    </row>
    <row r="278" spans="1:16" x14ac:dyDescent="0.3">
      <c r="A278" t="s">
        <v>287</v>
      </c>
      <c r="D278" s="1" t="s">
        <v>7</v>
      </c>
    </row>
    <row r="279" spans="1:16" x14ac:dyDescent="0.3">
      <c r="A279" t="s">
        <v>288</v>
      </c>
      <c r="D279" t="s">
        <v>288</v>
      </c>
      <c r="F279">
        <v>57.19</v>
      </c>
      <c r="G279">
        <v>5310</v>
      </c>
      <c r="H279" t="s">
        <v>679</v>
      </c>
      <c r="J279">
        <v>3500</v>
      </c>
      <c r="K279" s="9">
        <f>G279/J279</f>
        <v>1.5171428571428571</v>
      </c>
      <c r="L279" s="9">
        <f>K279*0.63</f>
        <v>0.95579999999999998</v>
      </c>
    </row>
    <row r="280" spans="1:16" x14ac:dyDescent="0.3">
      <c r="A280" t="s">
        <v>289</v>
      </c>
      <c r="D280" s="1" t="s">
        <v>7</v>
      </c>
    </row>
    <row r="281" spans="1:16" x14ac:dyDescent="0.3">
      <c r="A281" t="s">
        <v>290</v>
      </c>
      <c r="D281" t="s">
        <v>290</v>
      </c>
      <c r="F281">
        <v>83.35</v>
      </c>
      <c r="G281">
        <v>1687</v>
      </c>
      <c r="H281" t="s">
        <v>355</v>
      </c>
      <c r="J281">
        <v>1500</v>
      </c>
      <c r="K281" s="9">
        <f t="shared" ref="K281:K286" si="20">G281/J281</f>
        <v>1.1246666666666667</v>
      </c>
      <c r="L281" s="9">
        <f t="shared" ref="L281:L287" si="21">K281*0.63</f>
        <v>0.70854000000000006</v>
      </c>
      <c r="N281">
        <v>83.35</v>
      </c>
    </row>
    <row r="282" spans="1:16" x14ac:dyDescent="0.3">
      <c r="A282" t="s">
        <v>291</v>
      </c>
      <c r="D282" t="s">
        <v>440</v>
      </c>
      <c r="F282">
        <v>55.18</v>
      </c>
      <c r="G282">
        <v>91718</v>
      </c>
      <c r="H282" t="s">
        <v>494</v>
      </c>
      <c r="J282">
        <v>32756</v>
      </c>
      <c r="K282" s="9">
        <f t="shared" si="20"/>
        <v>2.8000366345097083</v>
      </c>
      <c r="L282" s="9">
        <f t="shared" si="21"/>
        <v>1.7640230797411163</v>
      </c>
      <c r="N282">
        <v>55.18</v>
      </c>
    </row>
    <row r="283" spans="1:16" x14ac:dyDescent="0.3">
      <c r="D283" t="s">
        <v>441</v>
      </c>
      <c r="F283">
        <v>53.35</v>
      </c>
      <c r="G283">
        <v>364000</v>
      </c>
      <c r="H283" t="s">
        <v>611</v>
      </c>
      <c r="J283">
        <v>117000</v>
      </c>
      <c r="K283" s="9">
        <f t="shared" si="20"/>
        <v>3.1111111111111112</v>
      </c>
      <c r="L283">
        <f t="shared" si="21"/>
        <v>1.96</v>
      </c>
      <c r="N283">
        <v>53.35</v>
      </c>
    </row>
    <row r="284" spans="1:16" x14ac:dyDescent="0.3">
      <c r="A284" t="s">
        <v>292</v>
      </c>
      <c r="D284" t="s">
        <v>293</v>
      </c>
      <c r="F284">
        <v>77.39</v>
      </c>
      <c r="G284">
        <v>2423</v>
      </c>
      <c r="H284" t="s">
        <v>612</v>
      </c>
      <c r="J284">
        <v>1732</v>
      </c>
      <c r="K284" s="9">
        <f t="shared" si="20"/>
        <v>1.3989607390300232</v>
      </c>
      <c r="L284" s="9">
        <f t="shared" si="21"/>
        <v>0.88134526558891457</v>
      </c>
      <c r="N284">
        <v>77.39</v>
      </c>
      <c r="P284" t="s">
        <v>424</v>
      </c>
    </row>
    <row r="285" spans="1:16" x14ac:dyDescent="0.3">
      <c r="A285" t="s">
        <v>294</v>
      </c>
      <c r="D285" t="s">
        <v>295</v>
      </c>
      <c r="F285">
        <v>88.66</v>
      </c>
      <c r="G285">
        <v>1729</v>
      </c>
      <c r="H285" t="s">
        <v>355</v>
      </c>
      <c r="J285">
        <v>1000</v>
      </c>
      <c r="K285" s="9">
        <f t="shared" si="20"/>
        <v>1.7290000000000001</v>
      </c>
      <c r="L285" s="9">
        <f t="shared" si="21"/>
        <v>1.08927</v>
      </c>
      <c r="N285">
        <v>88.66</v>
      </c>
    </row>
    <row r="286" spans="1:16" x14ac:dyDescent="0.3">
      <c r="D286" t="s">
        <v>363</v>
      </c>
      <c r="F286">
        <v>84.21</v>
      </c>
      <c r="G286">
        <v>2070</v>
      </c>
      <c r="H286" t="s">
        <v>493</v>
      </c>
      <c r="J286">
        <v>1400</v>
      </c>
      <c r="K286" s="9">
        <f t="shared" si="20"/>
        <v>1.4785714285714286</v>
      </c>
      <c r="L286" s="9">
        <f t="shared" si="21"/>
        <v>0.93150000000000011</v>
      </c>
      <c r="N286">
        <v>84.21</v>
      </c>
    </row>
    <row r="287" spans="1:16" x14ac:dyDescent="0.3">
      <c r="A287" t="s">
        <v>296</v>
      </c>
      <c r="D287" t="s">
        <v>296</v>
      </c>
      <c r="F287">
        <v>59.76</v>
      </c>
      <c r="G287">
        <v>1325</v>
      </c>
      <c r="H287" t="s">
        <v>681</v>
      </c>
      <c r="J287">
        <v>1076</v>
      </c>
      <c r="K287" s="9">
        <f>G287/J287</f>
        <v>1.2314126394052045</v>
      </c>
      <c r="L287" s="9">
        <f t="shared" si="21"/>
        <v>0.7757899628252789</v>
      </c>
    </row>
    <row r="288" spans="1:16" x14ac:dyDescent="0.3">
      <c r="A288" t="s">
        <v>297</v>
      </c>
      <c r="D288" t="s">
        <v>297</v>
      </c>
      <c r="F288">
        <v>57.41</v>
      </c>
      <c r="G288">
        <v>3100</v>
      </c>
      <c r="H288" t="s">
        <v>682</v>
      </c>
      <c r="J288">
        <v>2000</v>
      </c>
      <c r="K288" s="9">
        <f>G288/J288</f>
        <v>1.55</v>
      </c>
      <c r="L288" s="9">
        <f>K288*0.63</f>
        <v>0.97650000000000003</v>
      </c>
    </row>
    <row r="289" spans="1:20" x14ac:dyDescent="0.3">
      <c r="A289" t="s">
        <v>298</v>
      </c>
      <c r="D289" t="s">
        <v>725</v>
      </c>
      <c r="F289">
        <v>63.23</v>
      </c>
      <c r="G289">
        <v>13101</v>
      </c>
      <c r="H289" t="s">
        <v>613</v>
      </c>
      <c r="J289">
        <v>4525</v>
      </c>
      <c r="K289" s="9">
        <f>G289/J289</f>
        <v>2.8952486187845303</v>
      </c>
      <c r="L289" s="9">
        <f>K289*0.63</f>
        <v>1.8240066298342541</v>
      </c>
      <c r="N289">
        <v>63.23</v>
      </c>
    </row>
    <row r="290" spans="1:20" x14ac:dyDescent="0.3">
      <c r="D290" t="s">
        <v>425</v>
      </c>
      <c r="F290">
        <v>47.81</v>
      </c>
      <c r="G290">
        <v>827</v>
      </c>
      <c r="H290" t="s">
        <v>613</v>
      </c>
      <c r="J290">
        <v>315</v>
      </c>
      <c r="K290" s="9">
        <f>G290/J290</f>
        <v>2.6253968253968254</v>
      </c>
      <c r="L290" s="9">
        <f>K290*0.63</f>
        <v>1.6539999999999999</v>
      </c>
    </row>
    <row r="291" spans="1:20" x14ac:dyDescent="0.3">
      <c r="A291" t="s">
        <v>290</v>
      </c>
      <c r="D291" t="s">
        <v>364</v>
      </c>
      <c r="F291">
        <v>74.77</v>
      </c>
      <c r="G291">
        <v>1156</v>
      </c>
      <c r="H291" t="s">
        <v>493</v>
      </c>
      <c r="J291">
        <v>360</v>
      </c>
      <c r="K291" s="9">
        <f>G291/J291</f>
        <v>3.2111111111111112</v>
      </c>
      <c r="L291" s="9">
        <f>K291*0.63</f>
        <v>2.0230000000000001</v>
      </c>
      <c r="N291">
        <v>74.77</v>
      </c>
    </row>
    <row r="292" spans="1:20" x14ac:dyDescent="0.3">
      <c r="A292" s="1" t="s">
        <v>299</v>
      </c>
    </row>
    <row r="293" spans="1:20" x14ac:dyDescent="0.3">
      <c r="A293" t="s">
        <v>300</v>
      </c>
      <c r="D293" t="s">
        <v>300</v>
      </c>
      <c r="F293">
        <v>40.9</v>
      </c>
      <c r="G293">
        <v>2400</v>
      </c>
      <c r="H293" t="s">
        <v>683</v>
      </c>
      <c r="J293" t="s">
        <v>32</v>
      </c>
      <c r="P293" t="s">
        <v>223</v>
      </c>
      <c r="R293">
        <v>7635486</v>
      </c>
    </row>
    <row r="294" spans="1:20" x14ac:dyDescent="0.3">
      <c r="A294" t="s">
        <v>301</v>
      </c>
      <c r="D294" s="1" t="s">
        <v>7</v>
      </c>
    </row>
    <row r="295" spans="1:20" x14ac:dyDescent="0.3">
      <c r="A295" t="s">
        <v>302</v>
      </c>
      <c r="D295" s="1" t="s">
        <v>7</v>
      </c>
      <c r="P295" t="s">
        <v>426</v>
      </c>
    </row>
    <row r="296" spans="1:20" x14ac:dyDescent="0.3">
      <c r="A296" t="s">
        <v>303</v>
      </c>
      <c r="D296" t="s">
        <v>695</v>
      </c>
      <c r="F296">
        <v>46.66</v>
      </c>
      <c r="G296">
        <v>5250</v>
      </c>
      <c r="H296" t="s">
        <v>684</v>
      </c>
      <c r="J296">
        <v>3000</v>
      </c>
      <c r="K296">
        <f>G296/J296</f>
        <v>1.75</v>
      </c>
      <c r="L296" s="9">
        <f>K296*0.63</f>
        <v>1.1025</v>
      </c>
    </row>
    <row r="297" spans="1:20" x14ac:dyDescent="0.3">
      <c r="D297" t="s">
        <v>696</v>
      </c>
      <c r="F297">
        <v>50.8</v>
      </c>
      <c r="G297">
        <v>749</v>
      </c>
      <c r="H297" t="s">
        <v>684</v>
      </c>
      <c r="J297">
        <v>1200</v>
      </c>
      <c r="K297" s="9">
        <f>G297/J297</f>
        <v>0.62416666666666665</v>
      </c>
      <c r="L297" s="9">
        <f>K297*0.63</f>
        <v>0.39322499999999999</v>
      </c>
    </row>
    <row r="298" spans="1:20" x14ac:dyDescent="0.3">
      <c r="A298" t="s">
        <v>304</v>
      </c>
      <c r="D298" s="1" t="s">
        <v>7</v>
      </c>
    </row>
    <row r="299" spans="1:20" x14ac:dyDescent="0.3">
      <c r="A299" t="s">
        <v>305</v>
      </c>
      <c r="D299" s="1" t="s">
        <v>7</v>
      </c>
    </row>
    <row r="300" spans="1:20" x14ac:dyDescent="0.3">
      <c r="A300" t="s">
        <v>306</v>
      </c>
      <c r="D300" t="s">
        <v>307</v>
      </c>
      <c r="G300">
        <v>145</v>
      </c>
      <c r="H300" t="s">
        <v>685</v>
      </c>
      <c r="J300">
        <v>350</v>
      </c>
      <c r="K300" t="s">
        <v>948</v>
      </c>
      <c r="P300" t="s">
        <v>947</v>
      </c>
      <c r="R300">
        <v>5115408</v>
      </c>
      <c r="T300" t="s">
        <v>949</v>
      </c>
    </row>
    <row r="301" spans="1:20" x14ac:dyDescent="0.3">
      <c r="A301" t="s">
        <v>308</v>
      </c>
      <c r="D301" t="s">
        <v>403</v>
      </c>
      <c r="F301">
        <v>50.01</v>
      </c>
      <c r="G301">
        <v>1300</v>
      </c>
      <c r="H301" t="s">
        <v>614</v>
      </c>
      <c r="J301">
        <v>1700</v>
      </c>
      <c r="K301" s="9">
        <f>G301/J301</f>
        <v>0.76470588235294112</v>
      </c>
      <c r="L301" s="9">
        <f>K301*0.63</f>
        <v>0.48176470588235293</v>
      </c>
      <c r="N301">
        <v>50.01</v>
      </c>
      <c r="P301">
        <v>5160163</v>
      </c>
    </row>
    <row r="302" spans="1:20" x14ac:dyDescent="0.3">
      <c r="D302" t="s">
        <v>308</v>
      </c>
      <c r="F302">
        <v>35.79</v>
      </c>
      <c r="G302">
        <v>1200</v>
      </c>
      <c r="H302" t="s">
        <v>614</v>
      </c>
      <c r="J302">
        <v>840</v>
      </c>
      <c r="K302" s="9">
        <f>G302/J302</f>
        <v>1.4285714285714286</v>
      </c>
      <c r="L302">
        <f>K302*0.63</f>
        <v>0.9</v>
      </c>
    </row>
    <row r="303" spans="1:20" x14ac:dyDescent="0.3">
      <c r="A303" t="s">
        <v>309</v>
      </c>
      <c r="D303" s="1" t="s">
        <v>7</v>
      </c>
    </row>
    <row r="304" spans="1:20" x14ac:dyDescent="0.3">
      <c r="A304" t="s">
        <v>310</v>
      </c>
      <c r="D304" s="1" t="s">
        <v>7</v>
      </c>
    </row>
    <row r="305" spans="1:16" x14ac:dyDescent="0.3">
      <c r="A305" t="s">
        <v>311</v>
      </c>
      <c r="D305" t="s">
        <v>404</v>
      </c>
      <c r="F305">
        <v>55.48</v>
      </c>
      <c r="G305">
        <v>5066</v>
      </c>
      <c r="H305" t="s">
        <v>496</v>
      </c>
      <c r="J305">
        <v>2000</v>
      </c>
      <c r="K305" s="9">
        <f>G305/J305</f>
        <v>2.5329999999999999</v>
      </c>
      <c r="L305" s="9">
        <f>K305*0.63</f>
        <v>1.59579</v>
      </c>
      <c r="N305">
        <v>55.48</v>
      </c>
      <c r="P305" t="s">
        <v>686</v>
      </c>
    </row>
    <row r="306" spans="1:16" x14ac:dyDescent="0.3">
      <c r="A306" t="s">
        <v>312</v>
      </c>
      <c r="D306" t="s">
        <v>405</v>
      </c>
      <c r="F306">
        <v>50.78</v>
      </c>
      <c r="G306">
        <v>48109</v>
      </c>
      <c r="H306" t="s">
        <v>494</v>
      </c>
      <c r="J306">
        <v>10801</v>
      </c>
      <c r="K306" s="9">
        <f>G306/J306</f>
        <v>4.4541246180909173</v>
      </c>
      <c r="L306" s="9">
        <f>K306*0.63</f>
        <v>2.8060985093972781</v>
      </c>
      <c r="N306">
        <v>50.78</v>
      </c>
    </row>
    <row r="307" spans="1:16" x14ac:dyDescent="0.3">
      <c r="A307" t="s">
        <v>313</v>
      </c>
      <c r="D307" s="1" t="s">
        <v>7</v>
      </c>
      <c r="P307" t="s">
        <v>362</v>
      </c>
    </row>
    <row r="308" spans="1:16" x14ac:dyDescent="0.3">
      <c r="A308" t="s">
        <v>300</v>
      </c>
      <c r="D308" t="s">
        <v>365</v>
      </c>
      <c r="F308">
        <v>72.72</v>
      </c>
      <c r="G308">
        <v>370</v>
      </c>
      <c r="H308" t="s">
        <v>493</v>
      </c>
      <c r="J308">
        <v>100</v>
      </c>
      <c r="K308">
        <f>G308/J308</f>
        <v>3.7</v>
      </c>
      <c r="L308" s="9">
        <f>K308*0.63</f>
        <v>2.331</v>
      </c>
      <c r="N308">
        <v>72.72</v>
      </c>
      <c r="P308" t="s">
        <v>382</v>
      </c>
    </row>
    <row r="309" spans="1:16" x14ac:dyDescent="0.3">
      <c r="A309" s="1" t="s">
        <v>314</v>
      </c>
    </row>
    <row r="310" spans="1:16" x14ac:dyDescent="0.3">
      <c r="A310" t="s">
        <v>315</v>
      </c>
      <c r="D310" t="s">
        <v>316</v>
      </c>
      <c r="F310">
        <v>84.35</v>
      </c>
      <c r="G310">
        <v>1877</v>
      </c>
      <c r="H310" t="s">
        <v>619</v>
      </c>
      <c r="J310">
        <v>250</v>
      </c>
      <c r="K310" s="9">
        <f>G310/J310</f>
        <v>7.508</v>
      </c>
      <c r="L310" s="9">
        <f>K310*0.63</f>
        <v>4.7300399999999998</v>
      </c>
      <c r="N310">
        <v>84.35</v>
      </c>
    </row>
    <row r="311" spans="1:16" x14ac:dyDescent="0.3">
      <c r="D311" t="s">
        <v>319</v>
      </c>
      <c r="F311">
        <v>86.71</v>
      </c>
      <c r="G311">
        <v>1187</v>
      </c>
      <c r="H311" t="s">
        <v>355</v>
      </c>
      <c r="J311">
        <v>823</v>
      </c>
      <c r="K311" s="9">
        <f>G311/J311</f>
        <v>1.4422843256379101</v>
      </c>
      <c r="L311" s="9">
        <f>K311*0.63</f>
        <v>0.90863912515188339</v>
      </c>
      <c r="N311">
        <v>86.71</v>
      </c>
      <c r="P311" t="s">
        <v>354</v>
      </c>
    </row>
    <row r="312" spans="1:16" x14ac:dyDescent="0.3">
      <c r="A312" t="s">
        <v>317</v>
      </c>
      <c r="D312" t="s">
        <v>318</v>
      </c>
      <c r="F312">
        <v>54.43</v>
      </c>
      <c r="G312">
        <v>5200</v>
      </c>
      <c r="H312" t="s">
        <v>714</v>
      </c>
      <c r="J312">
        <v>1800</v>
      </c>
      <c r="K312" s="9">
        <f>G312/J312</f>
        <v>2.8888888888888888</v>
      </c>
      <c r="L312">
        <f>K312*0.63</f>
        <v>1.82</v>
      </c>
      <c r="N312">
        <v>54.43</v>
      </c>
      <c r="P312" t="s">
        <v>694</v>
      </c>
    </row>
    <row r="313" spans="1:16" x14ac:dyDescent="0.3">
      <c r="A313" t="s">
        <v>320</v>
      </c>
      <c r="D313" t="s">
        <v>377</v>
      </c>
      <c r="F313">
        <v>73.63</v>
      </c>
      <c r="G313">
        <v>1171</v>
      </c>
      <c r="H313" t="s">
        <v>493</v>
      </c>
      <c r="J313">
        <v>400</v>
      </c>
      <c r="K313" s="9">
        <f>G313/J313</f>
        <v>2.9275000000000002</v>
      </c>
      <c r="L313" s="9">
        <f>K313*0.63</f>
        <v>1.8443250000000002</v>
      </c>
      <c r="N313">
        <v>73.63</v>
      </c>
    </row>
    <row r="314" spans="1:16" x14ac:dyDescent="0.3">
      <c r="A314" t="s">
        <v>321</v>
      </c>
      <c r="D314" t="s">
        <v>368</v>
      </c>
      <c r="F314">
        <v>75.790000000000006</v>
      </c>
      <c r="G314">
        <v>876</v>
      </c>
      <c r="H314" t="s">
        <v>493</v>
      </c>
      <c r="J314">
        <v>450</v>
      </c>
      <c r="K314" s="9">
        <f>G314/J314</f>
        <v>1.9466666666666668</v>
      </c>
      <c r="L314" s="9">
        <f>K314*0.63</f>
        <v>1.2264000000000002</v>
      </c>
      <c r="N314">
        <v>75.790000000000006</v>
      </c>
    </row>
    <row r="315" spans="1:16" x14ac:dyDescent="0.3">
      <c r="A315" t="s">
        <v>322</v>
      </c>
      <c r="D315" s="1" t="s">
        <v>7</v>
      </c>
    </row>
    <row r="316" spans="1:16" x14ac:dyDescent="0.3">
      <c r="A316" t="s">
        <v>323</v>
      </c>
      <c r="D316" t="s">
        <v>361</v>
      </c>
      <c r="F316">
        <v>51.9</v>
      </c>
      <c r="G316">
        <v>2082</v>
      </c>
      <c r="H316" t="s">
        <v>493</v>
      </c>
      <c r="J316">
        <v>2050</v>
      </c>
      <c r="K316" s="9">
        <f>G316/J316</f>
        <v>1.015609756097561</v>
      </c>
      <c r="L316" s="9">
        <f>K316*0.63</f>
        <v>0.63983414634146341</v>
      </c>
    </row>
    <row r="317" spans="1:16" x14ac:dyDescent="0.3">
      <c r="A317" t="s">
        <v>324</v>
      </c>
      <c r="D317" s="1" t="s">
        <v>7</v>
      </c>
    </row>
    <row r="318" spans="1:16" x14ac:dyDescent="0.3">
      <c r="A318" t="s">
        <v>325</v>
      </c>
      <c r="D318" t="s">
        <v>326</v>
      </c>
      <c r="F318">
        <v>56.56</v>
      </c>
      <c r="G318">
        <v>3213</v>
      </c>
      <c r="H318" t="s">
        <v>693</v>
      </c>
      <c r="J318">
        <v>2900</v>
      </c>
      <c r="K318" s="9">
        <f>G318/J318</f>
        <v>1.1079310344827586</v>
      </c>
      <c r="L318" s="9">
        <f>K318*0.63</f>
        <v>0.69799655172413799</v>
      </c>
      <c r="P318" t="s">
        <v>700</v>
      </c>
    </row>
    <row r="319" spans="1:16" x14ac:dyDescent="0.3">
      <c r="D319" t="s">
        <v>367</v>
      </c>
      <c r="F319">
        <v>77.8</v>
      </c>
      <c r="G319">
        <v>959</v>
      </c>
      <c r="H319" t="s">
        <v>493</v>
      </c>
      <c r="J319">
        <v>980</v>
      </c>
      <c r="K319" s="9">
        <f>G319/J319</f>
        <v>0.97857142857142854</v>
      </c>
      <c r="L319" s="9">
        <f>K319*0.63</f>
        <v>0.61649999999999994</v>
      </c>
      <c r="N319">
        <v>77.8</v>
      </c>
      <c r="P319" t="s">
        <v>378</v>
      </c>
    </row>
    <row r="320" spans="1:16" x14ac:dyDescent="0.3">
      <c r="A320" t="s">
        <v>327</v>
      </c>
      <c r="D320" t="s">
        <v>327</v>
      </c>
      <c r="F320">
        <v>75.06</v>
      </c>
      <c r="G320">
        <v>4804</v>
      </c>
      <c r="H320" t="s">
        <v>496</v>
      </c>
      <c r="J320">
        <v>1800</v>
      </c>
      <c r="K320" s="9">
        <f>G320/J320</f>
        <v>2.6688888888888891</v>
      </c>
      <c r="L320" s="9">
        <f>K320*0.63</f>
        <v>1.6814000000000002</v>
      </c>
      <c r="N320">
        <v>75.06</v>
      </c>
      <c r="P320" t="s">
        <v>381</v>
      </c>
    </row>
    <row r="321" spans="1:20" x14ac:dyDescent="0.3">
      <c r="A321" t="s">
        <v>327</v>
      </c>
      <c r="D321" t="s">
        <v>328</v>
      </c>
      <c r="F321">
        <v>86.57</v>
      </c>
      <c r="G321">
        <v>1325</v>
      </c>
      <c r="H321" t="s">
        <v>355</v>
      </c>
      <c r="J321">
        <v>1640</v>
      </c>
      <c r="K321" s="9">
        <f>G321/J321</f>
        <v>0.80792682926829273</v>
      </c>
      <c r="L321" s="9">
        <f>K321*0.63</f>
        <v>0.50899390243902443</v>
      </c>
      <c r="N321">
        <v>86.57</v>
      </c>
    </row>
    <row r="322" spans="1:20" x14ac:dyDescent="0.3">
      <c r="A322" t="s">
        <v>329</v>
      </c>
      <c r="D322" s="1" t="s">
        <v>7</v>
      </c>
    </row>
    <row r="323" spans="1:20" x14ac:dyDescent="0.3">
      <c r="A323" t="s">
        <v>330</v>
      </c>
      <c r="D323" t="s">
        <v>331</v>
      </c>
      <c r="F323">
        <v>60.02</v>
      </c>
      <c r="G323">
        <v>82921</v>
      </c>
      <c r="H323" t="s">
        <v>615</v>
      </c>
      <c r="J323">
        <v>3760</v>
      </c>
      <c r="K323" s="9">
        <f>G323/J323</f>
        <v>22.053457446808512</v>
      </c>
      <c r="L323" s="9">
        <f>K323*0.63</f>
        <v>13.893678191489363</v>
      </c>
      <c r="N323">
        <v>60.02</v>
      </c>
    </row>
    <row r="324" spans="1:20" x14ac:dyDescent="0.3">
      <c r="A324" t="s">
        <v>332</v>
      </c>
      <c r="D324" t="s">
        <v>332</v>
      </c>
      <c r="F324">
        <v>72.040000000000006</v>
      </c>
      <c r="G324">
        <v>1435</v>
      </c>
      <c r="H324" t="s">
        <v>616</v>
      </c>
      <c r="J324">
        <v>778</v>
      </c>
      <c r="K324" s="9">
        <f>G324/J324</f>
        <v>1.8444730077120823</v>
      </c>
      <c r="L324" s="9">
        <f>K324*0.63</f>
        <v>1.1620179948586118</v>
      </c>
      <c r="N324">
        <v>72.040000000000006</v>
      </c>
    </row>
    <row r="325" spans="1:20" x14ac:dyDescent="0.3">
      <c r="D325" t="s">
        <v>379</v>
      </c>
      <c r="F325">
        <v>74.28</v>
      </c>
      <c r="G325">
        <v>2770</v>
      </c>
      <c r="H325" t="s">
        <v>616</v>
      </c>
      <c r="J325">
        <v>1121</v>
      </c>
      <c r="K325" s="9">
        <f>G325/J325</f>
        <v>2.471008028545941</v>
      </c>
      <c r="L325" s="9">
        <f>K325*0.63</f>
        <v>1.556735057983943</v>
      </c>
      <c r="N325">
        <v>74.28</v>
      </c>
      <c r="T325" t="s">
        <v>434</v>
      </c>
    </row>
    <row r="326" spans="1:20" x14ac:dyDescent="0.3">
      <c r="D326" t="s">
        <v>380</v>
      </c>
      <c r="F326">
        <v>82.02</v>
      </c>
      <c r="G326">
        <v>1430</v>
      </c>
      <c r="H326" t="s">
        <v>616</v>
      </c>
      <c r="J326">
        <v>1355</v>
      </c>
      <c r="K326" s="9">
        <f>G326/J326</f>
        <v>1.055350553505535</v>
      </c>
      <c r="L326" s="9">
        <f>K326*0.63</f>
        <v>0.66487084870848701</v>
      </c>
      <c r="N326">
        <v>82.02</v>
      </c>
    </row>
    <row r="327" spans="1:20" x14ac:dyDescent="0.3">
      <c r="A327" t="s">
        <v>333</v>
      </c>
      <c r="D327" t="s">
        <v>333</v>
      </c>
      <c r="F327">
        <v>53.69</v>
      </c>
      <c r="G327">
        <v>2400</v>
      </c>
      <c r="H327" t="s">
        <v>721</v>
      </c>
      <c r="J327">
        <v>1400</v>
      </c>
      <c r="K327" s="9">
        <f>G327/J327</f>
        <v>1.7142857142857142</v>
      </c>
      <c r="L327" s="9">
        <f>K327*0.63</f>
        <v>1.0799999999999998</v>
      </c>
    </row>
    <row r="328" spans="1:20" x14ac:dyDescent="0.3">
      <c r="A328" t="s">
        <v>334</v>
      </c>
      <c r="D328" s="1" t="s">
        <v>7</v>
      </c>
    </row>
    <row r="329" spans="1:20" x14ac:dyDescent="0.3">
      <c r="A329" t="s">
        <v>427</v>
      </c>
      <c r="D329" t="s">
        <v>428</v>
      </c>
      <c r="G329">
        <v>5400</v>
      </c>
      <c r="H329" t="s">
        <v>617</v>
      </c>
      <c r="J329">
        <v>2250</v>
      </c>
      <c r="K329">
        <f>G329/J329</f>
        <v>2.4</v>
      </c>
      <c r="L329" s="9">
        <f>K329*0.63</f>
        <v>1.512</v>
      </c>
    </row>
    <row r="330" spans="1:20" x14ac:dyDescent="0.3">
      <c r="A330" t="s">
        <v>320</v>
      </c>
      <c r="D330" t="s">
        <v>366</v>
      </c>
      <c r="F330">
        <v>81.56</v>
      </c>
      <c r="G330">
        <v>489</v>
      </c>
      <c r="H330" t="s">
        <v>493</v>
      </c>
      <c r="J330">
        <v>250</v>
      </c>
      <c r="K330" s="9">
        <f>G330/J330</f>
        <v>1.956</v>
      </c>
      <c r="L330" s="9">
        <f>K330*0.63</f>
        <v>1.23228</v>
      </c>
      <c r="N330">
        <v>81.56</v>
      </c>
    </row>
    <row r="331" spans="1:20" x14ac:dyDescent="0.3">
      <c r="A331" s="1" t="s">
        <v>335</v>
      </c>
    </row>
    <row r="332" spans="1:20" x14ac:dyDescent="0.3">
      <c r="A332" t="s">
        <v>336</v>
      </c>
      <c r="D332" t="s">
        <v>337</v>
      </c>
      <c r="G332">
        <v>1200</v>
      </c>
      <c r="H332" t="s">
        <v>493</v>
      </c>
      <c r="J332">
        <v>500</v>
      </c>
      <c r="K332">
        <f>G332/J332</f>
        <v>2.4</v>
      </c>
      <c r="L332" s="9">
        <f>K332*0.63</f>
        <v>1.512</v>
      </c>
    </row>
    <row r="333" spans="1:20" x14ac:dyDescent="0.3">
      <c r="A333" t="s">
        <v>338</v>
      </c>
      <c r="D333" s="1" t="s">
        <v>7</v>
      </c>
    </row>
    <row r="334" spans="1:20" x14ac:dyDescent="0.3">
      <c r="A334" t="s">
        <v>339</v>
      </c>
      <c r="D334" t="s">
        <v>340</v>
      </c>
      <c r="F334">
        <v>55.27</v>
      </c>
      <c r="G334">
        <v>55000</v>
      </c>
      <c r="H334" t="s">
        <v>618</v>
      </c>
      <c r="J334">
        <v>28400</v>
      </c>
      <c r="K334" s="9">
        <f>G334/J334</f>
        <v>1.9366197183098592</v>
      </c>
      <c r="L334" s="9">
        <f>K334*0.63</f>
        <v>1.2200704225352113</v>
      </c>
      <c r="N334">
        <v>55.27</v>
      </c>
    </row>
    <row r="335" spans="1:20" x14ac:dyDescent="0.3">
      <c r="A335" t="s">
        <v>341</v>
      </c>
      <c r="D335" t="s">
        <v>341</v>
      </c>
      <c r="F335">
        <v>45.38</v>
      </c>
      <c r="G335">
        <v>560</v>
      </c>
      <c r="H335" t="s">
        <v>690</v>
      </c>
      <c r="J335">
        <v>320</v>
      </c>
      <c r="K335" s="9">
        <f>G335/J335</f>
        <v>1.75</v>
      </c>
      <c r="L335" s="9">
        <f>K335*0.63</f>
        <v>1.1025</v>
      </c>
      <c r="P335" t="s">
        <v>356</v>
      </c>
      <c r="T335">
        <v>7828689</v>
      </c>
    </row>
    <row r="336" spans="1:20" x14ac:dyDescent="0.3">
      <c r="A336" t="s">
        <v>342</v>
      </c>
      <c r="D336" s="1" t="s">
        <v>7</v>
      </c>
    </row>
    <row r="337" spans="1:20" x14ac:dyDescent="0.3">
      <c r="A337" t="s">
        <v>343</v>
      </c>
      <c r="D337" s="1" t="s">
        <v>7</v>
      </c>
    </row>
    <row r="338" spans="1:20" x14ac:dyDescent="0.3">
      <c r="A338" t="s">
        <v>344</v>
      </c>
      <c r="D338" s="1" t="s">
        <v>7</v>
      </c>
    </row>
    <row r="339" spans="1:20" x14ac:dyDescent="0.3">
      <c r="A339" t="s">
        <v>345</v>
      </c>
      <c r="D339" t="s">
        <v>345</v>
      </c>
      <c r="F339">
        <v>57.76</v>
      </c>
      <c r="G339">
        <v>1373</v>
      </c>
      <c r="H339" t="s">
        <v>360</v>
      </c>
      <c r="J339">
        <v>800</v>
      </c>
      <c r="K339" s="9">
        <f>G339/J339</f>
        <v>1.7162500000000001</v>
      </c>
      <c r="L339" s="9">
        <f>K339*0.63</f>
        <v>1.0812375000000001</v>
      </c>
      <c r="N339">
        <v>57.76</v>
      </c>
    </row>
    <row r="340" spans="1:20" x14ac:dyDescent="0.3">
      <c r="D340" t="s">
        <v>346</v>
      </c>
      <c r="F340">
        <v>78.61</v>
      </c>
      <c r="G340">
        <v>357</v>
      </c>
      <c r="H340" t="s">
        <v>360</v>
      </c>
      <c r="J340">
        <v>157</v>
      </c>
      <c r="K340" s="9">
        <f>G340/J340</f>
        <v>2.2738853503184715</v>
      </c>
      <c r="L340" s="9">
        <f>K340*0.63</f>
        <v>1.4325477707006371</v>
      </c>
      <c r="N340">
        <v>78.61</v>
      </c>
    </row>
    <row r="341" spans="1:20" x14ac:dyDescent="0.3">
      <c r="A341" t="s">
        <v>347</v>
      </c>
      <c r="D341" s="1" t="s">
        <v>7</v>
      </c>
    </row>
    <row r="342" spans="1:20" x14ac:dyDescent="0.3">
      <c r="A342" t="s">
        <v>348</v>
      </c>
      <c r="D342" s="1" t="s">
        <v>7</v>
      </c>
    </row>
    <row r="343" spans="1:20" x14ac:dyDescent="0.3">
      <c r="A343" t="s">
        <v>349</v>
      </c>
      <c r="D343" s="1" t="s">
        <v>7</v>
      </c>
    </row>
    <row r="344" spans="1:20" x14ac:dyDescent="0.3">
      <c r="A344" t="s">
        <v>350</v>
      </c>
      <c r="D344" t="s">
        <v>350</v>
      </c>
      <c r="F344">
        <v>46.02</v>
      </c>
      <c r="G344">
        <v>2400</v>
      </c>
      <c r="H344" t="s">
        <v>691</v>
      </c>
      <c r="J344">
        <v>1988</v>
      </c>
      <c r="K344" s="9">
        <f>G344/J344</f>
        <v>1.2072434607645874</v>
      </c>
      <c r="L344" s="9">
        <f>K344*0.63</f>
        <v>0.76056338028169013</v>
      </c>
      <c r="P344" t="s">
        <v>357</v>
      </c>
      <c r="R344" t="s">
        <v>358</v>
      </c>
      <c r="T344" t="s">
        <v>703</v>
      </c>
    </row>
    <row r="345" spans="1:20" x14ac:dyDescent="0.3">
      <c r="A345" t="s">
        <v>351</v>
      </c>
      <c r="D345" t="s">
        <v>352</v>
      </c>
      <c r="F345">
        <v>47.69</v>
      </c>
      <c r="G345">
        <v>1572</v>
      </c>
      <c r="H345" t="s">
        <v>620</v>
      </c>
      <c r="J345">
        <v>1700</v>
      </c>
      <c r="K345" s="9">
        <f>G345/J345</f>
        <v>0.92470588235294116</v>
      </c>
      <c r="L345" s="9">
        <f>K345*0.63</f>
        <v>0.58256470588235298</v>
      </c>
      <c r="N345">
        <v>47.69</v>
      </c>
    </row>
    <row r="346" spans="1:20" x14ac:dyDescent="0.3">
      <c r="D346" t="s">
        <v>353</v>
      </c>
      <c r="F346">
        <v>77.760000000000005</v>
      </c>
      <c r="G346">
        <v>3912</v>
      </c>
      <c r="H346" t="s">
        <v>621</v>
      </c>
      <c r="J346">
        <v>1574</v>
      </c>
      <c r="K346" s="9">
        <f>G346/J346</f>
        <v>2.4853875476493013</v>
      </c>
      <c r="L346" s="9">
        <f>K346*0.63</f>
        <v>1.5657941550190597</v>
      </c>
      <c r="N346">
        <v>77.760000000000005</v>
      </c>
      <c r="R346" t="s">
        <v>692</v>
      </c>
    </row>
    <row r="347" spans="1:20" x14ac:dyDescent="0.3">
      <c r="D347" t="s">
        <v>359</v>
      </c>
      <c r="F347">
        <v>53.99</v>
      </c>
      <c r="G347">
        <v>3500</v>
      </c>
      <c r="H347" t="s">
        <v>622</v>
      </c>
      <c r="J347">
        <v>2400</v>
      </c>
      <c r="K347" s="9">
        <f>G347/J347</f>
        <v>1.4583333333333333</v>
      </c>
      <c r="L347" s="9">
        <f>K347*0.63</f>
        <v>0.91874999999999996</v>
      </c>
      <c r="N347">
        <v>53.99</v>
      </c>
    </row>
    <row r="350" spans="1:20" ht="15" thickBot="1" x14ac:dyDescent="0.35"/>
    <row r="351" spans="1:20" ht="15" thickBot="1" x14ac:dyDescent="0.35">
      <c r="H351" t="s">
        <v>952</v>
      </c>
      <c r="J351" s="68">
        <f>SUM(J7:J349)</f>
        <v>1430720</v>
      </c>
      <c r="M351" t="s">
        <v>1002</v>
      </c>
      <c r="S351">
        <f>G345+G319+G120+G119+G110+G109+G105+G100+G80+G26</f>
        <v>12568</v>
      </c>
    </row>
    <row r="352" spans="1:20" ht="15" thickBot="1" x14ac:dyDescent="0.35"/>
    <row r="353" spans="1:16" ht="15" thickBot="1" x14ac:dyDescent="0.35">
      <c r="E353" t="s">
        <v>436</v>
      </c>
      <c r="G353" s="68">
        <f>SUM(G7:G347)</f>
        <v>4602350</v>
      </c>
      <c r="I353" t="s">
        <v>950</v>
      </c>
      <c r="L353">
        <v>0</v>
      </c>
      <c r="M353" t="s">
        <v>894</v>
      </c>
      <c r="O353">
        <v>1</v>
      </c>
      <c r="P353" t="s">
        <v>895</v>
      </c>
    </row>
    <row r="354" spans="1:16" x14ac:dyDescent="0.3">
      <c r="A354" t="s">
        <v>515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workbookViewId="0">
      <selection activeCell="D46" sqref="D46"/>
    </sheetView>
  </sheetViews>
  <sheetFormatPr defaultRowHeight="14.4" x14ac:dyDescent="0.3"/>
  <cols>
    <col min="5" max="5" width="12" bestFit="1" customWidth="1"/>
    <col min="6" max="6" width="10.5546875" customWidth="1"/>
    <col min="7" max="7" width="12.88671875" customWidth="1"/>
    <col min="8" max="8" width="22" bestFit="1" customWidth="1"/>
    <col min="9" max="9" width="9.5546875" bestFit="1" customWidth="1"/>
    <col min="10" max="10" width="10.88671875" bestFit="1" customWidth="1"/>
    <col min="11" max="17" width="9.5546875" bestFit="1" customWidth="1"/>
  </cols>
  <sheetData>
    <row r="1" spans="1:16" ht="15" thickBot="1" x14ac:dyDescent="0.35"/>
    <row r="2" spans="1:16" ht="15" thickBot="1" x14ac:dyDescent="0.35">
      <c r="B2" s="11" t="s">
        <v>485</v>
      </c>
      <c r="C2" s="22"/>
      <c r="D2" s="12"/>
      <c r="E2" s="12"/>
    </row>
    <row r="4" spans="1:16" x14ac:dyDescent="0.3">
      <c r="A4" t="s">
        <v>446</v>
      </c>
      <c r="F4" t="s">
        <v>476</v>
      </c>
    </row>
    <row r="5" spans="1:16" x14ac:dyDescent="0.3">
      <c r="F5" t="s">
        <v>705</v>
      </c>
    </row>
    <row r="6" spans="1:16" x14ac:dyDescent="0.3">
      <c r="A6" t="s">
        <v>447</v>
      </c>
      <c r="F6" s="10">
        <v>400000</v>
      </c>
    </row>
    <row r="7" spans="1:16" x14ac:dyDescent="0.3">
      <c r="A7" t="s">
        <v>448</v>
      </c>
      <c r="F7" s="10">
        <v>670000</v>
      </c>
      <c r="J7" t="s">
        <v>712</v>
      </c>
      <c r="N7" s="10">
        <v>1300000</v>
      </c>
    </row>
    <row r="8" spans="1:16" x14ac:dyDescent="0.3">
      <c r="A8" t="s">
        <v>449</v>
      </c>
      <c r="F8" s="10">
        <v>100000</v>
      </c>
      <c r="N8" s="10">
        <v>300000</v>
      </c>
    </row>
    <row r="9" spans="1:16" x14ac:dyDescent="0.3">
      <c r="A9" t="s">
        <v>450</v>
      </c>
      <c r="F9" s="10">
        <v>200000</v>
      </c>
      <c r="N9" s="10">
        <v>923000</v>
      </c>
    </row>
    <row r="10" spans="1:16" x14ac:dyDescent="0.3">
      <c r="A10" t="s">
        <v>451</v>
      </c>
      <c r="F10" s="10">
        <v>463963</v>
      </c>
      <c r="J10" t="s">
        <v>715</v>
      </c>
      <c r="N10" s="10">
        <v>1333000</v>
      </c>
      <c r="P10" t="s">
        <v>716</v>
      </c>
    </row>
    <row r="11" spans="1:16" x14ac:dyDescent="0.3">
      <c r="A11" t="s">
        <v>452</v>
      </c>
      <c r="F11" s="10">
        <v>2700000</v>
      </c>
      <c r="P11" t="s">
        <v>717</v>
      </c>
    </row>
    <row r="12" spans="1:16" x14ac:dyDescent="0.3">
      <c r="A12" t="s">
        <v>453</v>
      </c>
      <c r="F12" s="10">
        <v>1500000</v>
      </c>
      <c r="P12" t="s">
        <v>718</v>
      </c>
    </row>
    <row r="13" spans="1:16" x14ac:dyDescent="0.3">
      <c r="A13" t="s">
        <v>454</v>
      </c>
      <c r="F13" s="10">
        <v>134000</v>
      </c>
      <c r="P13" t="s">
        <v>719</v>
      </c>
    </row>
    <row r="14" spans="1:16" x14ac:dyDescent="0.3">
      <c r="A14" t="s">
        <v>474</v>
      </c>
      <c r="D14">
        <v>20</v>
      </c>
    </row>
    <row r="15" spans="1:16" x14ac:dyDescent="0.3">
      <c r="A15" t="s">
        <v>455</v>
      </c>
      <c r="D15">
        <v>134</v>
      </c>
      <c r="E15" t="s">
        <v>456</v>
      </c>
      <c r="F15" s="10">
        <v>111.85</v>
      </c>
      <c r="G15" t="s">
        <v>458</v>
      </c>
      <c r="H15">
        <v>2631</v>
      </c>
      <c r="I15" t="s">
        <v>459</v>
      </c>
    </row>
    <row r="16" spans="1:16" x14ac:dyDescent="0.3">
      <c r="A16" t="s">
        <v>457</v>
      </c>
      <c r="C16" t="s">
        <v>460</v>
      </c>
      <c r="D16" s="13">
        <f>F15*H15</f>
        <v>294277.34999999998</v>
      </c>
    </row>
    <row r="17" spans="1:15" x14ac:dyDescent="0.3">
      <c r="A17" t="s">
        <v>671</v>
      </c>
      <c r="F17" s="8">
        <v>0.05</v>
      </c>
    </row>
    <row r="18" spans="1:15" ht="21" x14ac:dyDescent="0.4">
      <c r="A18" t="s">
        <v>461</v>
      </c>
      <c r="C18" t="s">
        <v>462</v>
      </c>
      <c r="E18" s="56">
        <v>0.3</v>
      </c>
    </row>
    <row r="19" spans="1:15" ht="21" x14ac:dyDescent="0.4">
      <c r="C19" t="s">
        <v>463</v>
      </c>
      <c r="E19" s="56">
        <v>0.35</v>
      </c>
    </row>
    <row r="20" spans="1:15" ht="21" x14ac:dyDescent="0.4">
      <c r="C20" t="s">
        <v>464</v>
      </c>
      <c r="E20" s="56">
        <v>0.5</v>
      </c>
    </row>
    <row r="21" spans="1:15" ht="21" x14ac:dyDescent="0.4">
      <c r="A21" t="s">
        <v>465</v>
      </c>
      <c r="C21" t="s">
        <v>466</v>
      </c>
      <c r="D21" s="46">
        <v>137</v>
      </c>
    </row>
    <row r="22" spans="1:15" x14ac:dyDescent="0.3">
      <c r="F22" t="s">
        <v>707</v>
      </c>
      <c r="G22" t="s">
        <v>706</v>
      </c>
    </row>
    <row r="23" spans="1:15" x14ac:dyDescent="0.3">
      <c r="A23" t="s">
        <v>467</v>
      </c>
      <c r="C23" t="s">
        <v>466</v>
      </c>
      <c r="E23" s="8"/>
      <c r="F23">
        <v>34</v>
      </c>
      <c r="G23" s="9">
        <v>31.5</v>
      </c>
      <c r="H23" t="s">
        <v>466</v>
      </c>
      <c r="K23" t="s">
        <v>1001</v>
      </c>
    </row>
    <row r="24" spans="1:15" x14ac:dyDescent="0.3">
      <c r="A24" t="s">
        <v>471</v>
      </c>
      <c r="D24">
        <v>4.5999999999999996</v>
      </c>
      <c r="E24" t="s">
        <v>704</v>
      </c>
    </row>
    <row r="25" spans="1:15" x14ac:dyDescent="0.3">
      <c r="A25" t="s">
        <v>468</v>
      </c>
      <c r="C25" t="s">
        <v>469</v>
      </c>
      <c r="D25">
        <v>0.85</v>
      </c>
    </row>
    <row r="26" spans="1:15" x14ac:dyDescent="0.3">
      <c r="A26" t="s">
        <v>470</v>
      </c>
      <c r="D26" s="9">
        <v>34.299999999999997</v>
      </c>
      <c r="E26" t="s">
        <v>478</v>
      </c>
    </row>
    <row r="27" spans="1:15" x14ac:dyDescent="0.3">
      <c r="A27" t="s">
        <v>688</v>
      </c>
      <c r="E27">
        <v>4000</v>
      </c>
    </row>
    <row r="28" spans="1:15" x14ac:dyDescent="0.3">
      <c r="A28" t="s">
        <v>472</v>
      </c>
      <c r="E28">
        <v>2700</v>
      </c>
      <c r="F28">
        <f>1*E27*D25*0.91</f>
        <v>3094</v>
      </c>
      <c r="I28" s="41" t="s">
        <v>728</v>
      </c>
    </row>
    <row r="29" spans="1:15" ht="15" thickBot="1" x14ac:dyDescent="0.35">
      <c r="A29" t="s">
        <v>689</v>
      </c>
      <c r="E29">
        <v>12000</v>
      </c>
    </row>
    <row r="30" spans="1:15" ht="21.6" thickBot="1" x14ac:dyDescent="0.45">
      <c r="A30" s="11" t="s">
        <v>486</v>
      </c>
      <c r="B30" s="12"/>
      <c r="J30" t="s">
        <v>757</v>
      </c>
      <c r="L30" s="48">
        <v>2.5000000000000001E-2</v>
      </c>
      <c r="M30" t="s">
        <v>754</v>
      </c>
      <c r="N30" s="50">
        <v>2014</v>
      </c>
      <c r="O30" s="50">
        <v>2023</v>
      </c>
    </row>
    <row r="31" spans="1:15" ht="21" x14ac:dyDescent="0.4">
      <c r="A31" s="1" t="s">
        <v>473</v>
      </c>
      <c r="E31" t="s">
        <v>723</v>
      </c>
      <c r="F31" t="s">
        <v>724</v>
      </c>
      <c r="I31" t="s">
        <v>487</v>
      </c>
      <c r="J31" s="46">
        <f>E28</f>
        <v>2700</v>
      </c>
      <c r="K31" t="s">
        <v>753</v>
      </c>
      <c r="N31" s="50">
        <f>H40/J31</f>
        <v>75</v>
      </c>
      <c r="O31" s="99">
        <f>Q40/J31</f>
        <v>93.664722746074872</v>
      </c>
    </row>
    <row r="32" spans="1:15" ht="21" x14ac:dyDescent="0.4">
      <c r="A32" t="s">
        <v>475</v>
      </c>
      <c r="C32" t="s">
        <v>466</v>
      </c>
      <c r="E32" s="9">
        <f>F6/D14/E28</f>
        <v>7.4074074074074074</v>
      </c>
      <c r="G32" t="s">
        <v>751</v>
      </c>
      <c r="H32" s="49">
        <f>F6*0.91</f>
        <v>364000</v>
      </c>
      <c r="I32" t="s">
        <v>749</v>
      </c>
      <c r="J32" s="46">
        <f>0.3*H32</f>
        <v>109200</v>
      </c>
      <c r="K32" t="s">
        <v>756</v>
      </c>
      <c r="L32" s="10">
        <f>H32-J32</f>
        <v>254800</v>
      </c>
    </row>
    <row r="33" spans="1:18" x14ac:dyDescent="0.3">
      <c r="A33" t="s">
        <v>477</v>
      </c>
      <c r="C33" t="s">
        <v>466</v>
      </c>
      <c r="E33" s="9">
        <f>D26</f>
        <v>34.299999999999997</v>
      </c>
      <c r="F33" s="9">
        <f>F23/D25</f>
        <v>40</v>
      </c>
      <c r="G33" t="s">
        <v>752</v>
      </c>
      <c r="H33">
        <v>2014</v>
      </c>
      <c r="I33">
        <v>2015</v>
      </c>
      <c r="J33">
        <v>2016</v>
      </c>
      <c r="K33">
        <v>2017</v>
      </c>
      <c r="L33">
        <v>2018</v>
      </c>
      <c r="M33">
        <v>2019</v>
      </c>
      <c r="N33">
        <v>2020</v>
      </c>
      <c r="O33">
        <v>2021</v>
      </c>
      <c r="P33">
        <v>2022</v>
      </c>
      <c r="Q33">
        <v>2023</v>
      </c>
    </row>
    <row r="34" spans="1:18" x14ac:dyDescent="0.3">
      <c r="A34" t="s">
        <v>479</v>
      </c>
      <c r="C34" t="s">
        <v>466</v>
      </c>
      <c r="E34" s="9">
        <f>E29/E28</f>
        <v>4.4444444444444446</v>
      </c>
      <c r="G34" t="s">
        <v>750</v>
      </c>
      <c r="H34" s="10">
        <f>0.1*$L$32</f>
        <v>25480</v>
      </c>
      <c r="I34" s="10">
        <f>0.1*$L$32</f>
        <v>25480</v>
      </c>
      <c r="J34" s="10">
        <f t="shared" ref="J34:Q34" si="0">0.1*$L$32</f>
        <v>25480</v>
      </c>
      <c r="K34" s="10">
        <f t="shared" si="0"/>
        <v>25480</v>
      </c>
      <c r="L34" s="10">
        <f t="shared" si="0"/>
        <v>25480</v>
      </c>
      <c r="M34" s="10">
        <f t="shared" si="0"/>
        <v>25480</v>
      </c>
      <c r="N34" s="10">
        <f t="shared" si="0"/>
        <v>25480</v>
      </c>
      <c r="O34" s="10">
        <f t="shared" si="0"/>
        <v>25480</v>
      </c>
      <c r="P34" s="10">
        <f t="shared" si="0"/>
        <v>25480</v>
      </c>
      <c r="Q34" s="10">
        <f t="shared" si="0"/>
        <v>25480</v>
      </c>
    </row>
    <row r="35" spans="1:18" x14ac:dyDescent="0.3">
      <c r="A35" t="s">
        <v>672</v>
      </c>
      <c r="E35" s="10"/>
      <c r="G35" t="s">
        <v>732</v>
      </c>
      <c r="H35" s="10">
        <f>L32-H34</f>
        <v>229320</v>
      </c>
      <c r="I35" s="10">
        <f>H35-I34</f>
        <v>203840</v>
      </c>
      <c r="J35" s="10">
        <f t="shared" ref="J35:Q35" si="1">I35-J34</f>
        <v>178360</v>
      </c>
      <c r="K35" s="10">
        <f t="shared" si="1"/>
        <v>152880</v>
      </c>
      <c r="L35" s="10">
        <f t="shared" si="1"/>
        <v>127400</v>
      </c>
      <c r="M35" s="10">
        <f t="shared" si="1"/>
        <v>101920</v>
      </c>
      <c r="N35" s="10">
        <f t="shared" si="1"/>
        <v>76440</v>
      </c>
      <c r="O35" s="10">
        <f>N35-O34</f>
        <v>50960</v>
      </c>
      <c r="P35" s="10">
        <f t="shared" si="1"/>
        <v>25480</v>
      </c>
      <c r="Q35" s="10">
        <f t="shared" si="1"/>
        <v>0</v>
      </c>
      <c r="R35" s="10"/>
    </row>
    <row r="36" spans="1:18" x14ac:dyDescent="0.3">
      <c r="A36" t="s">
        <v>711</v>
      </c>
      <c r="E36" s="10"/>
      <c r="G36" t="s">
        <v>733</v>
      </c>
      <c r="H36" s="10">
        <f>$F$17*H35</f>
        <v>11466</v>
      </c>
      <c r="I36" s="10">
        <f t="shared" ref="I36:Q36" si="2">$F$17*I35</f>
        <v>10192</v>
      </c>
      <c r="J36" s="10">
        <f t="shared" si="2"/>
        <v>8918</v>
      </c>
      <c r="K36" s="10">
        <f t="shared" si="2"/>
        <v>7644</v>
      </c>
      <c r="L36" s="10">
        <f t="shared" si="2"/>
        <v>6370</v>
      </c>
      <c r="M36" s="10">
        <f t="shared" si="2"/>
        <v>5096</v>
      </c>
      <c r="N36" s="10">
        <f t="shared" si="2"/>
        <v>3822</v>
      </c>
      <c r="O36" s="10">
        <f t="shared" si="2"/>
        <v>2548</v>
      </c>
      <c r="P36" s="10">
        <f t="shared" si="2"/>
        <v>1274</v>
      </c>
      <c r="Q36" s="10">
        <f t="shared" si="2"/>
        <v>0</v>
      </c>
      <c r="R36" s="10"/>
    </row>
    <row r="37" spans="1:18" x14ac:dyDescent="0.3">
      <c r="A37" t="s">
        <v>480</v>
      </c>
      <c r="C37" t="s">
        <v>466</v>
      </c>
      <c r="E37" s="9">
        <v>57330</v>
      </c>
      <c r="F37" s="9">
        <f>(E35+E36)/D14/E28</f>
        <v>0</v>
      </c>
      <c r="G37" t="s">
        <v>473</v>
      </c>
      <c r="H37" s="10">
        <f>F33*$J$31</f>
        <v>108000</v>
      </c>
      <c r="I37" s="10">
        <f>H37*($L$30+1)</f>
        <v>110699.99999999999</v>
      </c>
      <c r="J37" s="10">
        <f t="shared" ref="J37:Q37" si="3">I37*($L$30+1)</f>
        <v>113467.49999999997</v>
      </c>
      <c r="K37" s="10">
        <f t="shared" si="3"/>
        <v>116304.18749999996</v>
      </c>
      <c r="L37" s="10">
        <f t="shared" si="3"/>
        <v>119211.79218749994</v>
      </c>
      <c r="M37" s="10">
        <f t="shared" si="3"/>
        <v>122192.08699218743</v>
      </c>
      <c r="N37" s="10">
        <f t="shared" si="3"/>
        <v>125246.8891669921</v>
      </c>
      <c r="O37" s="10">
        <f t="shared" si="3"/>
        <v>128378.06139616689</v>
      </c>
      <c r="P37" s="10">
        <f t="shared" si="3"/>
        <v>131587.51293107105</v>
      </c>
      <c r="Q37" s="10">
        <f t="shared" si="3"/>
        <v>134877.20075434781</v>
      </c>
      <c r="R37" s="10"/>
    </row>
    <row r="38" spans="1:18" x14ac:dyDescent="0.3">
      <c r="E38" s="19"/>
      <c r="F38" s="19"/>
      <c r="G38" t="s">
        <v>479</v>
      </c>
      <c r="H38" s="10">
        <f>$E$34*J31</f>
        <v>12000</v>
      </c>
      <c r="I38" s="10">
        <f>(1+$L$30)*H38</f>
        <v>12299.999999999998</v>
      </c>
      <c r="J38" s="10">
        <f t="shared" ref="J38:Q38" si="4">(1+$L$30)*I38</f>
        <v>12607.499999999996</v>
      </c>
      <c r="K38" s="10">
        <f t="shared" si="4"/>
        <v>12922.687499999995</v>
      </c>
      <c r="L38" s="10">
        <f t="shared" si="4"/>
        <v>13245.754687499993</v>
      </c>
      <c r="M38" s="10">
        <f t="shared" si="4"/>
        <v>13576.898554687492</v>
      </c>
      <c r="N38" s="10">
        <f t="shared" si="4"/>
        <v>13916.321018554678</v>
      </c>
      <c r="O38" s="10">
        <f t="shared" si="4"/>
        <v>14264.229044018544</v>
      </c>
      <c r="P38" s="10">
        <f t="shared" si="4"/>
        <v>14620.834770119007</v>
      </c>
      <c r="Q38" s="10">
        <f t="shared" si="4"/>
        <v>14986.355639371981</v>
      </c>
      <c r="R38" s="10"/>
    </row>
    <row r="39" spans="1:18" x14ac:dyDescent="0.3">
      <c r="E39" s="9"/>
      <c r="G39" t="s">
        <v>547</v>
      </c>
      <c r="H39" s="10">
        <f>$H$32/20</f>
        <v>18200</v>
      </c>
      <c r="I39" s="10">
        <f t="shared" ref="I39:Q39" si="5">$H$32/20</f>
        <v>18200</v>
      </c>
      <c r="J39" s="10">
        <f t="shared" si="5"/>
        <v>18200</v>
      </c>
      <c r="K39" s="10">
        <f t="shared" si="5"/>
        <v>18200</v>
      </c>
      <c r="L39" s="10">
        <f t="shared" si="5"/>
        <v>18200</v>
      </c>
      <c r="M39" s="10">
        <f t="shared" si="5"/>
        <v>18200</v>
      </c>
      <c r="N39" s="10">
        <f t="shared" si="5"/>
        <v>18200</v>
      </c>
      <c r="O39" s="10">
        <f t="shared" si="5"/>
        <v>18200</v>
      </c>
      <c r="P39" s="10">
        <f t="shared" si="5"/>
        <v>18200</v>
      </c>
      <c r="Q39" s="10">
        <f t="shared" si="5"/>
        <v>18200</v>
      </c>
      <c r="R39" s="13"/>
    </row>
    <row r="40" spans="1:18" ht="21" x14ac:dyDescent="0.4">
      <c r="E40" s="9" t="s">
        <v>466</v>
      </c>
      <c r="F40" s="50">
        <v>75</v>
      </c>
      <c r="G40" t="s">
        <v>549</v>
      </c>
      <c r="H40" s="10">
        <f>F40*$J$31</f>
        <v>202500</v>
      </c>
      <c r="I40" s="10">
        <f>(1+$L$30)*H40</f>
        <v>207562.49999999997</v>
      </c>
      <c r="J40" s="10">
        <f t="shared" ref="J40:Q40" si="6">(1+$L$30)*I40</f>
        <v>212751.56249999994</v>
      </c>
      <c r="K40" s="10">
        <f t="shared" si="6"/>
        <v>218070.35156249991</v>
      </c>
      <c r="L40" s="10">
        <f t="shared" si="6"/>
        <v>223522.11035156238</v>
      </c>
      <c r="M40" s="10">
        <f t="shared" si="6"/>
        <v>229110.16311035142</v>
      </c>
      <c r="N40" s="10">
        <f t="shared" si="6"/>
        <v>234837.91718811018</v>
      </c>
      <c r="O40" s="10">
        <f t="shared" si="6"/>
        <v>240708.86511781291</v>
      </c>
      <c r="P40" s="10">
        <f t="shared" si="6"/>
        <v>246726.58674575822</v>
      </c>
      <c r="Q40" s="10">
        <f t="shared" si="6"/>
        <v>252894.75141440216</v>
      </c>
      <c r="R40" s="13"/>
    </row>
    <row r="41" spans="1:18" x14ac:dyDescent="0.3">
      <c r="E41" s="9"/>
      <c r="G41" t="s">
        <v>740</v>
      </c>
      <c r="H41" s="10">
        <f>H40-H36-H37-H38-H39</f>
        <v>52834</v>
      </c>
      <c r="I41" s="10">
        <f t="shared" ref="I41:Q41" si="7">I40-I36-I37-I38-I39</f>
        <v>56170.499999999985</v>
      </c>
      <c r="J41" s="10">
        <f t="shared" si="7"/>
        <v>59558.562499999971</v>
      </c>
      <c r="K41" s="10">
        <f t="shared" si="7"/>
        <v>62999.476562499956</v>
      </c>
      <c r="L41" s="10">
        <f t="shared" si="7"/>
        <v>66494.563476562442</v>
      </c>
      <c r="M41" s="10">
        <f t="shared" si="7"/>
        <v>70045.177563476507</v>
      </c>
      <c r="N41" s="10">
        <f t="shared" si="7"/>
        <v>73652.707002563402</v>
      </c>
      <c r="O41" s="10">
        <f t="shared" si="7"/>
        <v>77318.574677627475</v>
      </c>
      <c r="P41" s="10">
        <f t="shared" si="7"/>
        <v>81044.239044568167</v>
      </c>
      <c r="Q41" s="10">
        <f t="shared" si="7"/>
        <v>84831.195020682368</v>
      </c>
      <c r="R41" s="13"/>
    </row>
    <row r="42" spans="1:18" x14ac:dyDescent="0.3">
      <c r="A42" s="1"/>
      <c r="E42" s="19"/>
      <c r="F42" s="9"/>
      <c r="G42" t="s">
        <v>755</v>
      </c>
      <c r="H42" s="10">
        <f>H41+H39+L32+J32-H34-H32</f>
        <v>45554</v>
      </c>
      <c r="I42" s="10">
        <f>I41+I39-I34</f>
        <v>48890.499999999985</v>
      </c>
      <c r="J42" s="10">
        <f t="shared" ref="J42:Q42" si="8">J41+J39-J34</f>
        <v>52278.562499999971</v>
      </c>
      <c r="K42" s="10">
        <f t="shared" si="8"/>
        <v>55719.476562499956</v>
      </c>
      <c r="L42" s="10">
        <f t="shared" si="8"/>
        <v>59214.563476562442</v>
      </c>
      <c r="M42" s="10">
        <f t="shared" si="8"/>
        <v>62765.177563476507</v>
      </c>
      <c r="N42" s="10">
        <f t="shared" si="8"/>
        <v>66372.707002563402</v>
      </c>
      <c r="O42" s="10">
        <f t="shared" si="8"/>
        <v>70038.574677627475</v>
      </c>
      <c r="P42" s="10">
        <f t="shared" si="8"/>
        <v>73764.239044568167</v>
      </c>
      <c r="Q42" s="10">
        <f t="shared" si="8"/>
        <v>77551.195020682368</v>
      </c>
    </row>
    <row r="43" spans="1:18" ht="21" x14ac:dyDescent="0.4">
      <c r="A43" s="1"/>
      <c r="E43" s="19"/>
      <c r="F43" s="9"/>
      <c r="G43" t="s">
        <v>743</v>
      </c>
      <c r="H43" s="48">
        <v>0.1</v>
      </c>
      <c r="I43" s="53">
        <f>NPV(H43,H42:Q42)-J32</f>
        <v>250065.58705688635</v>
      </c>
      <c r="J43" s="10"/>
      <c r="K43" s="10"/>
      <c r="L43" s="10"/>
      <c r="M43" s="10"/>
      <c r="N43" s="10"/>
      <c r="O43" s="10"/>
      <c r="P43" s="10"/>
      <c r="Q43" s="10"/>
    </row>
    <row r="44" spans="1:18" x14ac:dyDescent="0.3">
      <c r="A44" s="1">
        <v>60</v>
      </c>
      <c r="B44" t="s">
        <v>779</v>
      </c>
      <c r="C44">
        <v>100</v>
      </c>
      <c r="D44" t="s">
        <v>780</v>
      </c>
      <c r="E44" s="19"/>
      <c r="F44" s="9"/>
      <c r="H44" s="59">
        <f>$A$44*$C$44*H40/$J$31/1000</f>
        <v>450</v>
      </c>
      <c r="I44" s="59">
        <f t="shared" ref="I44:Q44" si="9">$A$44*$C$44*I40/$J$31/1000</f>
        <v>461.24999999999989</v>
      </c>
      <c r="J44" s="59">
        <f t="shared" si="9"/>
        <v>472.78124999999989</v>
      </c>
      <c r="K44" s="59">
        <f t="shared" si="9"/>
        <v>484.60078124999984</v>
      </c>
      <c r="L44" s="59">
        <f t="shared" si="9"/>
        <v>496.7158007812497</v>
      </c>
      <c r="M44" s="59">
        <f t="shared" si="9"/>
        <v>509.13369580078091</v>
      </c>
      <c r="N44" s="59">
        <f t="shared" si="9"/>
        <v>521.86203819580044</v>
      </c>
      <c r="O44" s="59">
        <f t="shared" si="9"/>
        <v>534.90858915069532</v>
      </c>
      <c r="P44" s="59">
        <f t="shared" si="9"/>
        <v>548.2813038794626</v>
      </c>
      <c r="Q44" s="59">
        <f t="shared" si="9"/>
        <v>561.98833647644926</v>
      </c>
      <c r="R44" s="60">
        <f>SUM(H44:Q44)</f>
        <v>5041.5217955344378</v>
      </c>
    </row>
    <row r="45" spans="1:18" ht="21" x14ac:dyDescent="0.4">
      <c r="A45" s="15" t="s">
        <v>448</v>
      </c>
      <c r="E45" s="19"/>
      <c r="F45" s="9"/>
      <c r="G45" t="s">
        <v>751</v>
      </c>
      <c r="H45" s="49">
        <f>0.91*(N7+D16)</f>
        <v>1450792.3885000001</v>
      </c>
      <c r="I45" s="10" t="s">
        <v>487</v>
      </c>
      <c r="J45" s="53">
        <f>J31</f>
        <v>2700</v>
      </c>
      <c r="K45" s="10" t="s">
        <v>753</v>
      </c>
      <c r="L45" s="10"/>
      <c r="M45" s="10"/>
      <c r="N45" s="55">
        <v>2014</v>
      </c>
      <c r="O45" s="55">
        <v>2023</v>
      </c>
      <c r="P45" s="10"/>
      <c r="Q45" s="10"/>
    </row>
    <row r="46" spans="1:18" ht="21" x14ac:dyDescent="0.4">
      <c r="A46" s="15"/>
      <c r="E46" s="19"/>
      <c r="F46" s="9"/>
      <c r="G46" t="s">
        <v>756</v>
      </c>
      <c r="H46" s="49">
        <f>H45-H47</f>
        <v>1015554.6719500001</v>
      </c>
      <c r="I46" s="10"/>
      <c r="J46" s="10" t="s">
        <v>760</v>
      </c>
      <c r="K46" s="10"/>
      <c r="L46" s="51">
        <v>110.3</v>
      </c>
      <c r="M46" s="10" t="s">
        <v>466</v>
      </c>
      <c r="N46" s="55">
        <f>H56/J45</f>
        <v>110.3</v>
      </c>
      <c r="O46" s="51">
        <f>Q56/J45</f>
        <v>137.74958558522746</v>
      </c>
      <c r="P46" s="10"/>
      <c r="Q46" s="10"/>
    </row>
    <row r="47" spans="1:18" ht="21" x14ac:dyDescent="0.4">
      <c r="A47" s="15"/>
      <c r="E47" s="19"/>
      <c r="F47" s="9"/>
      <c r="G47" t="s">
        <v>749</v>
      </c>
      <c r="H47" s="49">
        <f>0.3*H45</f>
        <v>435237.71655000001</v>
      </c>
      <c r="I47" s="10"/>
      <c r="J47" t="s">
        <v>757</v>
      </c>
      <c r="L47" s="48">
        <v>2.5000000000000001E-2</v>
      </c>
      <c r="M47" t="s">
        <v>754</v>
      </c>
      <c r="N47" s="10"/>
      <c r="O47" s="10"/>
      <c r="P47" s="10"/>
      <c r="Q47" s="10"/>
    </row>
    <row r="48" spans="1:18" x14ac:dyDescent="0.3">
      <c r="A48" s="15"/>
      <c r="B48" s="15"/>
      <c r="G48" t="s">
        <v>752</v>
      </c>
      <c r="H48">
        <v>2014</v>
      </c>
      <c r="I48">
        <v>2015</v>
      </c>
      <c r="J48">
        <v>2016</v>
      </c>
      <c r="K48">
        <v>2017</v>
      </c>
      <c r="L48">
        <v>2018</v>
      </c>
      <c r="M48">
        <v>2019</v>
      </c>
      <c r="N48">
        <v>2020</v>
      </c>
      <c r="O48">
        <v>2021</v>
      </c>
      <c r="P48">
        <v>2022</v>
      </c>
      <c r="Q48">
        <v>2023</v>
      </c>
    </row>
    <row r="49" spans="1:18" x14ac:dyDescent="0.3">
      <c r="A49" t="s">
        <v>475</v>
      </c>
      <c r="C49" t="s">
        <v>466</v>
      </c>
      <c r="E49" s="9">
        <f>F7/D14/E28</f>
        <v>12.407407407407407</v>
      </c>
      <c r="F49" s="9">
        <f>N7/D14/E28</f>
        <v>24.074074074074073</v>
      </c>
      <c r="G49" t="s">
        <v>750</v>
      </c>
      <c r="H49" s="10">
        <f>$H$46/10</f>
        <v>101555.467195</v>
      </c>
      <c r="I49" s="10">
        <f t="shared" ref="I49:Q49" si="10">$H$46/10</f>
        <v>101555.467195</v>
      </c>
      <c r="J49" s="10">
        <f>$H$46/10</f>
        <v>101555.467195</v>
      </c>
      <c r="K49" s="10">
        <f t="shared" si="10"/>
        <v>101555.467195</v>
      </c>
      <c r="L49" s="10">
        <f t="shared" si="10"/>
        <v>101555.467195</v>
      </c>
      <c r="M49" s="10">
        <f t="shared" si="10"/>
        <v>101555.467195</v>
      </c>
      <c r="N49" s="10">
        <f t="shared" si="10"/>
        <v>101555.467195</v>
      </c>
      <c r="O49" s="10">
        <f t="shared" si="10"/>
        <v>101555.467195</v>
      </c>
      <c r="P49" s="10">
        <f t="shared" si="10"/>
        <v>101555.467195</v>
      </c>
      <c r="Q49" s="10">
        <f t="shared" si="10"/>
        <v>101555.467195</v>
      </c>
      <c r="R49" s="10"/>
    </row>
    <row r="50" spans="1:18" x14ac:dyDescent="0.3">
      <c r="E50" s="13"/>
      <c r="F50" s="13"/>
      <c r="G50" t="s">
        <v>732</v>
      </c>
      <c r="H50" s="13">
        <f>H46-H49</f>
        <v>913999.20475500007</v>
      </c>
      <c r="I50" s="13">
        <f>H50-I49</f>
        <v>812443.73756000004</v>
      </c>
      <c r="J50" s="13">
        <f t="shared" ref="J50:Q50" si="11">I50-J49</f>
        <v>710888.270365</v>
      </c>
      <c r="K50" s="13">
        <f t="shared" si="11"/>
        <v>609332.80316999997</v>
      </c>
      <c r="L50" s="13">
        <f t="shared" si="11"/>
        <v>507777.33597499994</v>
      </c>
      <c r="M50" s="13">
        <f t="shared" si="11"/>
        <v>406221.8687799999</v>
      </c>
      <c r="N50" s="13">
        <f t="shared" si="11"/>
        <v>304666.40158499987</v>
      </c>
      <c r="O50" s="13">
        <f t="shared" si="11"/>
        <v>203110.93438999986</v>
      </c>
      <c r="P50" s="13">
        <f t="shared" si="11"/>
        <v>101555.46719499986</v>
      </c>
      <c r="Q50" s="13">
        <f t="shared" si="11"/>
        <v>-1.4551915228366852E-10</v>
      </c>
      <c r="R50" s="13"/>
    </row>
    <row r="51" spans="1:18" x14ac:dyDescent="0.3">
      <c r="E51" s="13"/>
      <c r="F51" s="13"/>
      <c r="G51" t="s">
        <v>733</v>
      </c>
      <c r="H51" s="13">
        <f>$F$17*H50</f>
        <v>45699.960237750005</v>
      </c>
      <c r="I51" s="13">
        <f>$F$17*I50</f>
        <v>40622.186878000008</v>
      </c>
      <c r="J51" s="13">
        <f t="shared" ref="J51:P51" si="12">$F$17*J50</f>
        <v>35544.413518250003</v>
      </c>
      <c r="K51" s="13">
        <f t="shared" si="12"/>
        <v>30466.640158499999</v>
      </c>
      <c r="L51" s="13">
        <f t="shared" si="12"/>
        <v>25388.866798749998</v>
      </c>
      <c r="M51" s="13">
        <f t="shared" si="12"/>
        <v>20311.093438999997</v>
      </c>
      <c r="N51" s="13">
        <f t="shared" si="12"/>
        <v>15233.320079249994</v>
      </c>
      <c r="O51" s="13">
        <f t="shared" si="12"/>
        <v>10155.546719499995</v>
      </c>
      <c r="P51" s="13">
        <f t="shared" si="12"/>
        <v>5077.7733597499937</v>
      </c>
      <c r="Q51" s="13">
        <v>0</v>
      </c>
      <c r="R51" s="13"/>
    </row>
    <row r="52" spans="1:18" x14ac:dyDescent="0.3">
      <c r="E52" s="9"/>
      <c r="F52" s="9"/>
      <c r="G52" t="s">
        <v>454</v>
      </c>
      <c r="H52" s="13">
        <f>$E$53*$J$45</f>
        <v>110970</v>
      </c>
      <c r="I52" s="13">
        <f>(1+$L$47)*H52</f>
        <v>113744.24999999999</v>
      </c>
      <c r="J52" s="13">
        <f t="shared" ref="J52:Q52" si="13">(1+$L$47)*I52</f>
        <v>116587.85624999997</v>
      </c>
      <c r="K52" s="13">
        <f t="shared" si="13"/>
        <v>119502.55265624996</v>
      </c>
      <c r="L52" s="13">
        <f t="shared" si="13"/>
        <v>122490.1164726562</v>
      </c>
      <c r="M52" s="13">
        <f t="shared" si="13"/>
        <v>125552.36938447259</v>
      </c>
      <c r="N52" s="13">
        <f t="shared" si="13"/>
        <v>128691.1786190844</v>
      </c>
      <c r="O52" s="13">
        <f t="shared" si="13"/>
        <v>131908.45808456148</v>
      </c>
      <c r="P52" s="13">
        <f t="shared" si="13"/>
        <v>135206.1695366755</v>
      </c>
      <c r="Q52" s="13">
        <f t="shared" si="13"/>
        <v>138586.32377509237</v>
      </c>
      <c r="R52" s="13"/>
    </row>
    <row r="53" spans="1:18" x14ac:dyDescent="0.3">
      <c r="A53" t="s">
        <v>454</v>
      </c>
      <c r="C53" t="s">
        <v>466</v>
      </c>
      <c r="E53">
        <f>D21*E18</f>
        <v>41.1</v>
      </c>
      <c r="G53" t="s">
        <v>482</v>
      </c>
      <c r="H53" s="13">
        <f>E55*J31</f>
        <v>5400</v>
      </c>
      <c r="I53" s="13">
        <f>(1+$L$47)*H53</f>
        <v>5534.9999999999991</v>
      </c>
      <c r="J53" s="13">
        <f t="shared" ref="J53:Q53" si="14">(1+$L$47)*I53</f>
        <v>5673.3749999999982</v>
      </c>
      <c r="K53" s="13">
        <f t="shared" si="14"/>
        <v>5815.2093749999976</v>
      </c>
      <c r="L53" s="13">
        <f t="shared" si="14"/>
        <v>5960.5896093749971</v>
      </c>
      <c r="M53" s="13">
        <f t="shared" si="14"/>
        <v>6109.6043496093716</v>
      </c>
      <c r="N53" s="13">
        <f t="shared" si="14"/>
        <v>6262.3444583496057</v>
      </c>
      <c r="O53" s="13">
        <f t="shared" si="14"/>
        <v>6418.9030698083452</v>
      </c>
      <c r="P53" s="13">
        <f t="shared" si="14"/>
        <v>6579.3756465535535</v>
      </c>
      <c r="Q53" s="13">
        <f t="shared" si="14"/>
        <v>6743.8600377173916</v>
      </c>
    </row>
    <row r="54" spans="1:18" x14ac:dyDescent="0.3">
      <c r="A54" t="s">
        <v>481</v>
      </c>
      <c r="C54" t="s">
        <v>466</v>
      </c>
      <c r="E54" s="9">
        <f>D16/15/E28</f>
        <v>7.2661074074074063</v>
      </c>
      <c r="G54" t="s">
        <v>759</v>
      </c>
      <c r="H54" s="13">
        <f>$H$45/20</f>
        <v>72539.619425000012</v>
      </c>
      <c r="I54" s="13">
        <f t="shared" ref="I54:Q54" si="15">$H$45/20</f>
        <v>72539.619425000012</v>
      </c>
      <c r="J54" s="13">
        <f t="shared" si="15"/>
        <v>72539.619425000012</v>
      </c>
      <c r="K54" s="13">
        <f t="shared" si="15"/>
        <v>72539.619425000012</v>
      </c>
      <c r="L54" s="13">
        <f t="shared" si="15"/>
        <v>72539.619425000012</v>
      </c>
      <c r="M54" s="13">
        <f t="shared" si="15"/>
        <v>72539.619425000012</v>
      </c>
      <c r="N54" s="13">
        <f t="shared" si="15"/>
        <v>72539.619425000012</v>
      </c>
      <c r="O54" s="13">
        <f t="shared" si="15"/>
        <v>72539.619425000012</v>
      </c>
      <c r="P54" s="13">
        <f t="shared" si="15"/>
        <v>72539.619425000012</v>
      </c>
      <c r="Q54" s="13">
        <f t="shared" si="15"/>
        <v>72539.619425000012</v>
      </c>
    </row>
    <row r="55" spans="1:18" x14ac:dyDescent="0.3">
      <c r="A55" t="s">
        <v>482</v>
      </c>
      <c r="C55" t="s">
        <v>466</v>
      </c>
      <c r="E55" s="9">
        <v>2</v>
      </c>
      <c r="G55" t="s">
        <v>758</v>
      </c>
      <c r="H55" s="13">
        <f>H51+H52+H53+H54</f>
        <v>234609.57966275001</v>
      </c>
      <c r="I55" s="13">
        <f t="shared" ref="I55:Q55" si="16">I51+I52+I53+I54</f>
        <v>232441.05630299999</v>
      </c>
      <c r="J55" s="13">
        <f t="shared" si="16"/>
        <v>230345.26419324998</v>
      </c>
      <c r="K55" s="13">
        <f t="shared" si="16"/>
        <v>228324.02161474997</v>
      </c>
      <c r="L55" s="13">
        <f t="shared" si="16"/>
        <v>226379.19230578121</v>
      </c>
      <c r="M55" s="13">
        <f t="shared" si="16"/>
        <v>224512.68659808199</v>
      </c>
      <c r="N55" s="13">
        <f t="shared" si="16"/>
        <v>222726.462581684</v>
      </c>
      <c r="O55" s="13">
        <f t="shared" si="16"/>
        <v>221022.52729886986</v>
      </c>
      <c r="P55" s="13">
        <f t="shared" si="16"/>
        <v>219402.93796797906</v>
      </c>
      <c r="Q55" s="13">
        <f t="shared" si="16"/>
        <v>217869.80323780977</v>
      </c>
    </row>
    <row r="56" spans="1:18" x14ac:dyDescent="0.3">
      <c r="E56" s="19"/>
      <c r="F56" s="19"/>
      <c r="G56" t="s">
        <v>549</v>
      </c>
      <c r="H56" s="13">
        <f>$J$45*$L$46</f>
        <v>297810</v>
      </c>
      <c r="I56" s="13">
        <f>H56*(1+$L$47)</f>
        <v>305255.25</v>
      </c>
      <c r="J56" s="13">
        <f t="shared" ref="J56:Q56" si="17">I56*(1+$L$47)</f>
        <v>312886.63124999998</v>
      </c>
      <c r="K56" s="13">
        <f t="shared" si="17"/>
        <v>320708.79703124997</v>
      </c>
      <c r="L56" s="13">
        <f t="shared" si="17"/>
        <v>328726.51695703121</v>
      </c>
      <c r="M56" s="13">
        <f t="shared" si="17"/>
        <v>336944.67988095694</v>
      </c>
      <c r="N56" s="13">
        <f t="shared" si="17"/>
        <v>345368.29687798081</v>
      </c>
      <c r="O56" s="13">
        <f t="shared" si="17"/>
        <v>354002.5042999303</v>
      </c>
      <c r="P56" s="13">
        <f t="shared" si="17"/>
        <v>362852.5669074285</v>
      </c>
      <c r="Q56" s="13">
        <f t="shared" si="17"/>
        <v>371923.88108011417</v>
      </c>
      <c r="R56" s="13"/>
    </row>
    <row r="57" spans="1:18" x14ac:dyDescent="0.3">
      <c r="G57" t="s">
        <v>740</v>
      </c>
      <c r="H57" s="10">
        <f>H56-H55</f>
        <v>63200.420337249991</v>
      </c>
      <c r="I57" s="10">
        <f t="shared" ref="I57:Q57" si="18">I56-I55</f>
        <v>72814.19369700001</v>
      </c>
      <c r="J57" s="10">
        <f t="shared" si="18"/>
        <v>82541.367056749994</v>
      </c>
      <c r="K57" s="10">
        <f t="shared" si="18"/>
        <v>92384.775416499993</v>
      </c>
      <c r="L57" s="10">
        <f t="shared" si="18"/>
        <v>102347.32465125</v>
      </c>
      <c r="M57" s="10">
        <f t="shared" si="18"/>
        <v>112431.99328287496</v>
      </c>
      <c r="N57" s="10">
        <f t="shared" si="18"/>
        <v>122641.83429629682</v>
      </c>
      <c r="O57" s="10">
        <f t="shared" si="18"/>
        <v>132979.97700106044</v>
      </c>
      <c r="P57" s="10">
        <f t="shared" si="18"/>
        <v>143449.62893944944</v>
      </c>
      <c r="Q57" s="10">
        <f t="shared" si="18"/>
        <v>154054.0778423044</v>
      </c>
    </row>
    <row r="58" spans="1:18" x14ac:dyDescent="0.3">
      <c r="A58" s="15"/>
      <c r="B58" s="15"/>
      <c r="C58" s="15"/>
      <c r="E58" s="18"/>
      <c r="G58" t="s">
        <v>755</v>
      </c>
      <c r="H58" s="10">
        <f>H57+H54-H45+H46+H47-H49</f>
        <v>34184.57256724991</v>
      </c>
      <c r="I58" s="10">
        <f>I57+I54-I49</f>
        <v>43798.345927000017</v>
      </c>
      <c r="J58" s="10">
        <f t="shared" ref="J58:Q58" si="19">J57+J54-J49</f>
        <v>53525.519286750001</v>
      </c>
      <c r="K58" s="10">
        <f t="shared" si="19"/>
        <v>63368.9276465</v>
      </c>
      <c r="L58" s="10">
        <f t="shared" si="19"/>
        <v>73331.476881250012</v>
      </c>
      <c r="M58" s="10">
        <f t="shared" si="19"/>
        <v>83416.145512874966</v>
      </c>
      <c r="N58" s="10">
        <f t="shared" si="19"/>
        <v>93625.986526296823</v>
      </c>
      <c r="O58" s="10">
        <f t="shared" si="19"/>
        <v>103964.12923106045</v>
      </c>
      <c r="P58" s="10">
        <f t="shared" si="19"/>
        <v>114433.78116944944</v>
      </c>
      <c r="Q58" s="10">
        <f t="shared" si="19"/>
        <v>125038.2300723044</v>
      </c>
    </row>
    <row r="59" spans="1:18" x14ac:dyDescent="0.3">
      <c r="A59" s="15"/>
      <c r="B59" s="15"/>
      <c r="C59" s="15"/>
      <c r="E59" s="18"/>
      <c r="G59" t="s">
        <v>743</v>
      </c>
      <c r="H59" s="45">
        <v>0.1</v>
      </c>
      <c r="I59" s="54">
        <f>NPV(H59,H58:Q58)-H47</f>
        <v>1435.5231508155703</v>
      </c>
      <c r="J59" s="10"/>
      <c r="K59" s="10"/>
      <c r="L59" s="10"/>
      <c r="M59" s="10"/>
      <c r="N59" s="10"/>
      <c r="O59" s="10"/>
      <c r="P59" s="10"/>
      <c r="Q59" s="10"/>
    </row>
    <row r="60" spans="1:18" x14ac:dyDescent="0.3">
      <c r="A60" s="15"/>
      <c r="B60" s="15"/>
      <c r="C60" s="15"/>
      <c r="E60" s="18"/>
      <c r="H60" s="59">
        <f>$A$44*$C$44*H56/$J$31/1000</f>
        <v>661.8</v>
      </c>
      <c r="I60" s="59">
        <f>$A$44*$C$44*I56/$J$31/1000</f>
        <v>678.34500000000003</v>
      </c>
      <c r="J60" s="59">
        <f t="shared" ref="J60:Q60" si="20">$A$44*$C$44*J56/$J$31/1000</f>
        <v>695.3036249999999</v>
      </c>
      <c r="K60" s="59">
        <f t="shared" si="20"/>
        <v>712.68621562499993</v>
      </c>
      <c r="L60" s="59">
        <f t="shared" si="20"/>
        <v>730.50337101562491</v>
      </c>
      <c r="M60" s="59">
        <f t="shared" si="20"/>
        <v>748.76595529101542</v>
      </c>
      <c r="N60" s="59">
        <f t="shared" si="20"/>
        <v>767.48510417329078</v>
      </c>
      <c r="O60" s="59">
        <f t="shared" si="20"/>
        <v>786.67223177762287</v>
      </c>
      <c r="P60" s="59">
        <f t="shared" si="20"/>
        <v>806.33903757206338</v>
      </c>
      <c r="Q60" s="59">
        <f t="shared" si="20"/>
        <v>826.4975135113649</v>
      </c>
      <c r="R60" s="60">
        <f>SUM(H60:Q60)</f>
        <v>7414.3980539659824</v>
      </c>
    </row>
    <row r="61" spans="1:18" x14ac:dyDescent="0.3">
      <c r="A61" s="15"/>
      <c r="B61" s="15"/>
      <c r="C61" s="15"/>
      <c r="E61" s="18"/>
      <c r="H61" s="27"/>
      <c r="I61" s="10"/>
      <c r="J61" s="10"/>
      <c r="K61" s="10"/>
      <c r="L61" s="10"/>
      <c r="M61" s="10"/>
      <c r="N61" s="10"/>
      <c r="O61" s="10"/>
      <c r="P61" s="10"/>
      <c r="Q61" s="10"/>
    </row>
    <row r="62" spans="1:18" x14ac:dyDescent="0.3">
      <c r="A62" s="15"/>
      <c r="B62" s="15"/>
      <c r="C62" s="15"/>
      <c r="E62" s="18"/>
      <c r="H62" s="27"/>
      <c r="I62" s="10"/>
      <c r="J62" s="10"/>
      <c r="K62" s="10"/>
      <c r="L62" s="10"/>
      <c r="M62" s="10"/>
      <c r="N62" s="10"/>
      <c r="O62" s="10"/>
      <c r="P62" s="10"/>
      <c r="Q62" s="10"/>
    </row>
    <row r="63" spans="1:18" x14ac:dyDescent="0.3">
      <c r="A63" s="15"/>
      <c r="B63" s="15"/>
      <c r="C63" s="15"/>
      <c r="E63" s="18"/>
      <c r="H63" s="27"/>
      <c r="I63" s="10"/>
      <c r="J63" s="10"/>
      <c r="K63" s="10"/>
      <c r="L63" s="10"/>
      <c r="M63" s="10"/>
      <c r="N63" s="10"/>
      <c r="O63" s="10"/>
      <c r="P63" s="10"/>
      <c r="Q63" s="10"/>
    </row>
    <row r="64" spans="1:18" x14ac:dyDescent="0.3">
      <c r="A64" s="15"/>
      <c r="B64" s="15"/>
      <c r="C64" s="15"/>
      <c r="E64" s="18"/>
      <c r="H64" s="27"/>
      <c r="I64" s="10"/>
      <c r="J64" s="10"/>
      <c r="K64" s="10"/>
      <c r="L64" s="10"/>
      <c r="M64" s="10"/>
      <c r="N64" s="10"/>
      <c r="O64" s="10"/>
      <c r="P64" s="10"/>
      <c r="Q64" s="10"/>
    </row>
    <row r="65" spans="1:18" x14ac:dyDescent="0.3">
      <c r="A65" s="15"/>
      <c r="B65" s="15"/>
      <c r="C65" s="15"/>
      <c r="E65" s="18"/>
      <c r="H65" s="27"/>
      <c r="I65" s="10"/>
      <c r="J65" s="10"/>
      <c r="K65" s="10"/>
      <c r="L65" s="10"/>
      <c r="M65" s="10"/>
      <c r="N65" s="10"/>
      <c r="O65" s="10"/>
      <c r="P65" s="10"/>
      <c r="Q65" s="10"/>
    </row>
    <row r="66" spans="1:18" ht="21" x14ac:dyDescent="0.4">
      <c r="A66" s="16" t="s">
        <v>450</v>
      </c>
      <c r="G66" t="s">
        <v>751</v>
      </c>
      <c r="H66" s="49">
        <f>0.91*(N9+D16)</f>
        <v>1107722.3885000001</v>
      </c>
      <c r="I66" s="10" t="s">
        <v>487</v>
      </c>
      <c r="J66" s="10">
        <v>2700</v>
      </c>
      <c r="K66" s="10" t="s">
        <v>753</v>
      </c>
      <c r="L66" s="10"/>
      <c r="M66" s="10"/>
      <c r="N66" s="55">
        <v>2014</v>
      </c>
      <c r="O66" s="55">
        <v>2023</v>
      </c>
      <c r="P66" s="10"/>
      <c r="Q66" s="10"/>
    </row>
    <row r="67" spans="1:18" ht="21" x14ac:dyDescent="0.4">
      <c r="A67" t="s">
        <v>475</v>
      </c>
      <c r="C67" t="s">
        <v>466</v>
      </c>
      <c r="E67" s="9">
        <f>F9/D14/E28</f>
        <v>3.7037037037037037</v>
      </c>
      <c r="F67" s="9">
        <f>N9/D14/E28</f>
        <v>17.092592592592592</v>
      </c>
      <c r="G67" t="s">
        <v>756</v>
      </c>
      <c r="H67" s="49">
        <f>H66-H68</f>
        <v>775405.67195000011</v>
      </c>
      <c r="I67" s="10"/>
      <c r="J67" s="10" t="s">
        <v>760</v>
      </c>
      <c r="K67" s="10"/>
      <c r="L67" s="51">
        <v>101.2</v>
      </c>
      <c r="M67" s="10" t="s">
        <v>466</v>
      </c>
      <c r="N67" s="55">
        <f>H77/J66</f>
        <v>101.2</v>
      </c>
      <c r="O67" s="55">
        <f>Q77/J66</f>
        <v>126.38493255870371</v>
      </c>
      <c r="P67" s="10"/>
      <c r="Q67" s="10"/>
    </row>
    <row r="68" spans="1:18" ht="21" x14ac:dyDescent="0.4">
      <c r="A68" t="s">
        <v>481</v>
      </c>
      <c r="C68" t="s">
        <v>466</v>
      </c>
      <c r="E68" s="9">
        <f>D16/D14/E28</f>
        <v>5.4495805555555554</v>
      </c>
      <c r="G68" t="s">
        <v>749</v>
      </c>
      <c r="H68" s="49">
        <f>0.3*H66</f>
        <v>332316.71655000001</v>
      </c>
      <c r="I68" s="10"/>
      <c r="J68" t="s">
        <v>757</v>
      </c>
      <c r="L68" s="48">
        <v>2.5000000000000001E-2</v>
      </c>
      <c r="M68" t="s">
        <v>754</v>
      </c>
      <c r="N68" s="10"/>
      <c r="O68" s="10"/>
      <c r="P68" s="10"/>
      <c r="Q68" s="10"/>
    </row>
    <row r="69" spans="1:18" x14ac:dyDescent="0.3">
      <c r="E69" s="13"/>
      <c r="G69" t="s">
        <v>752</v>
      </c>
      <c r="H69">
        <v>2014</v>
      </c>
      <c r="I69">
        <v>2015</v>
      </c>
      <c r="J69">
        <v>2016</v>
      </c>
      <c r="K69">
        <v>2017</v>
      </c>
      <c r="L69">
        <v>2018</v>
      </c>
      <c r="M69">
        <v>2019</v>
      </c>
      <c r="N69">
        <v>2020</v>
      </c>
      <c r="O69">
        <v>2021</v>
      </c>
      <c r="P69">
        <v>2022</v>
      </c>
      <c r="Q69">
        <v>2023</v>
      </c>
      <c r="R69" s="10"/>
    </row>
    <row r="70" spans="1:18" x14ac:dyDescent="0.3">
      <c r="E70" s="9"/>
      <c r="F70" s="9"/>
      <c r="G70" t="s">
        <v>750</v>
      </c>
      <c r="H70" s="10">
        <f>$H$67/10</f>
        <v>77540.567195000011</v>
      </c>
      <c r="I70" s="10">
        <f t="shared" ref="I70:Q70" si="21">$H$67/10</f>
        <v>77540.567195000011</v>
      </c>
      <c r="J70" s="10">
        <f t="shared" si="21"/>
        <v>77540.567195000011</v>
      </c>
      <c r="K70" s="10">
        <f t="shared" si="21"/>
        <v>77540.567195000011</v>
      </c>
      <c r="L70" s="10">
        <f t="shared" si="21"/>
        <v>77540.567195000011</v>
      </c>
      <c r="M70" s="10">
        <f t="shared" si="21"/>
        <v>77540.567195000011</v>
      </c>
      <c r="N70" s="10">
        <f t="shared" si="21"/>
        <v>77540.567195000011</v>
      </c>
      <c r="O70" s="10">
        <f t="shared" si="21"/>
        <v>77540.567195000011</v>
      </c>
      <c r="P70" s="10">
        <f t="shared" si="21"/>
        <v>77540.567195000011</v>
      </c>
      <c r="Q70" s="10">
        <f t="shared" si="21"/>
        <v>77540.567195000011</v>
      </c>
      <c r="R70" s="13"/>
    </row>
    <row r="71" spans="1:18" x14ac:dyDescent="0.3">
      <c r="E71" s="13"/>
      <c r="G71" t="s">
        <v>732</v>
      </c>
      <c r="H71" s="13">
        <f>H67-H70</f>
        <v>697865.10475500009</v>
      </c>
      <c r="I71" s="13">
        <f>H71-I70</f>
        <v>620324.53756000008</v>
      </c>
      <c r="J71" s="13">
        <f t="shared" ref="J71" si="22">I71-J70</f>
        <v>542783.97036500007</v>
      </c>
      <c r="K71" s="13">
        <f t="shared" ref="K71" si="23">J71-K70</f>
        <v>465243.40317000006</v>
      </c>
      <c r="L71" s="13">
        <f t="shared" ref="L71" si="24">K71-L70</f>
        <v>387702.83597500005</v>
      </c>
      <c r="M71" s="13">
        <f t="shared" ref="M71" si="25">L71-M70</f>
        <v>310162.26878000004</v>
      </c>
      <c r="N71" s="13">
        <f t="shared" ref="N71" si="26">M71-N70</f>
        <v>232621.70158500003</v>
      </c>
      <c r="O71" s="13">
        <f t="shared" ref="O71" si="27">N71-O70</f>
        <v>155081.13439000002</v>
      </c>
      <c r="P71" s="13">
        <f t="shared" ref="P71" si="28">O71-P70</f>
        <v>77540.567195000011</v>
      </c>
      <c r="Q71" s="13">
        <f t="shared" ref="Q71" si="29">P71-Q70</f>
        <v>0</v>
      </c>
      <c r="R71" s="13"/>
    </row>
    <row r="72" spans="1:18" x14ac:dyDescent="0.3">
      <c r="A72" t="s">
        <v>483</v>
      </c>
      <c r="C72" t="s">
        <v>466</v>
      </c>
      <c r="E72">
        <v>2</v>
      </c>
      <c r="G72" t="s">
        <v>733</v>
      </c>
      <c r="H72" s="13">
        <f>$F$17*H71</f>
        <v>34893.255237750003</v>
      </c>
      <c r="I72" s="13">
        <f>$F$17*I71</f>
        <v>31016.226878000005</v>
      </c>
      <c r="J72" s="13">
        <f t="shared" ref="J72:P72" si="30">$F$17*J71</f>
        <v>27139.198518250007</v>
      </c>
      <c r="K72" s="13">
        <f t="shared" si="30"/>
        <v>23262.170158500005</v>
      </c>
      <c r="L72" s="13">
        <f t="shared" si="30"/>
        <v>19385.141798750003</v>
      </c>
      <c r="M72" s="13">
        <f t="shared" si="30"/>
        <v>15508.113439000002</v>
      </c>
      <c r="N72" s="13">
        <f t="shared" si="30"/>
        <v>11631.085079250002</v>
      </c>
      <c r="O72" s="13">
        <f t="shared" si="30"/>
        <v>7754.0567195000012</v>
      </c>
      <c r="P72" s="13">
        <f t="shared" si="30"/>
        <v>3877.0283597500006</v>
      </c>
      <c r="Q72" s="13">
        <v>0</v>
      </c>
      <c r="R72" s="13"/>
    </row>
    <row r="73" spans="1:18" x14ac:dyDescent="0.3">
      <c r="A73" t="s">
        <v>454</v>
      </c>
      <c r="C73" t="s">
        <v>466</v>
      </c>
      <c r="E73">
        <f>D21*E19</f>
        <v>47.949999999999996</v>
      </c>
      <c r="G73" t="s">
        <v>454</v>
      </c>
      <c r="H73" s="13">
        <f>$E$73*$J$66</f>
        <v>129464.99999999999</v>
      </c>
      <c r="I73" s="13">
        <f>(1+$L$68)*H73</f>
        <v>132701.62499999997</v>
      </c>
      <c r="J73" s="13">
        <f t="shared" ref="J73:Q73" si="31">(1+$L$68)*I73</f>
        <v>136019.16562499997</v>
      </c>
      <c r="K73" s="13">
        <f t="shared" si="31"/>
        <v>139419.64476562495</v>
      </c>
      <c r="L73" s="13">
        <f t="shared" si="31"/>
        <v>142905.13588476556</v>
      </c>
      <c r="M73" s="13">
        <f t="shared" si="31"/>
        <v>146477.76428188468</v>
      </c>
      <c r="N73" s="13">
        <f t="shared" si="31"/>
        <v>150139.70838893179</v>
      </c>
      <c r="O73" s="13">
        <f t="shared" si="31"/>
        <v>153893.20109865506</v>
      </c>
      <c r="P73" s="13">
        <f t="shared" si="31"/>
        <v>157740.53112612141</v>
      </c>
      <c r="Q73" s="13">
        <f t="shared" si="31"/>
        <v>161684.04440427443</v>
      </c>
    </row>
    <row r="74" spans="1:18" x14ac:dyDescent="0.3">
      <c r="E74" s="19"/>
      <c r="F74" s="19"/>
      <c r="G74" t="s">
        <v>482</v>
      </c>
      <c r="H74" s="13">
        <f>E72*J66</f>
        <v>5400</v>
      </c>
      <c r="I74" s="13">
        <f>(1+$L$47)*H74</f>
        <v>5534.9999999999991</v>
      </c>
      <c r="J74" s="13">
        <f t="shared" ref="J74" si="32">(1+$L$47)*I74</f>
        <v>5673.3749999999982</v>
      </c>
      <c r="K74" s="13">
        <f t="shared" ref="K74" si="33">(1+$L$47)*J74</f>
        <v>5815.2093749999976</v>
      </c>
      <c r="L74" s="13">
        <f t="shared" ref="L74" si="34">(1+$L$47)*K74</f>
        <v>5960.5896093749971</v>
      </c>
      <c r="M74" s="13">
        <f t="shared" ref="M74" si="35">(1+$L$47)*L74</f>
        <v>6109.6043496093716</v>
      </c>
      <c r="N74" s="13">
        <f t="shared" ref="N74" si="36">(1+$L$47)*M74</f>
        <v>6262.3444583496057</v>
      </c>
      <c r="O74" s="13">
        <f t="shared" ref="O74" si="37">(1+$L$47)*N74</f>
        <v>6418.9030698083452</v>
      </c>
      <c r="P74" s="13">
        <f t="shared" ref="P74" si="38">(1+$L$47)*O74</f>
        <v>6579.3756465535535</v>
      </c>
      <c r="Q74" s="13">
        <f t="shared" ref="Q74" si="39">(1+$L$47)*P74</f>
        <v>6743.8600377173916</v>
      </c>
    </row>
    <row r="75" spans="1:18" x14ac:dyDescent="0.3">
      <c r="A75" s="43" t="s">
        <v>761</v>
      </c>
      <c r="B75" s="43"/>
      <c r="C75" s="43"/>
      <c r="D75" s="43"/>
      <c r="E75" s="52">
        <v>15</v>
      </c>
      <c r="F75" s="19"/>
      <c r="G75" t="s">
        <v>759</v>
      </c>
      <c r="H75" s="13">
        <f>$H$66/$E$75</f>
        <v>73848.159233333339</v>
      </c>
      <c r="I75" s="13">
        <f t="shared" ref="I75:Q75" si="40">$H$66/$E$75</f>
        <v>73848.159233333339</v>
      </c>
      <c r="J75" s="13">
        <f t="shared" si="40"/>
        <v>73848.159233333339</v>
      </c>
      <c r="K75" s="13">
        <f t="shared" si="40"/>
        <v>73848.159233333339</v>
      </c>
      <c r="L75" s="13">
        <f t="shared" si="40"/>
        <v>73848.159233333339</v>
      </c>
      <c r="M75" s="13">
        <f t="shared" si="40"/>
        <v>73848.159233333339</v>
      </c>
      <c r="N75" s="13">
        <f t="shared" si="40"/>
        <v>73848.159233333339</v>
      </c>
      <c r="O75" s="13">
        <f t="shared" si="40"/>
        <v>73848.159233333339</v>
      </c>
      <c r="P75" s="13">
        <f t="shared" si="40"/>
        <v>73848.159233333339</v>
      </c>
      <c r="Q75" s="13">
        <f t="shared" si="40"/>
        <v>73848.159233333339</v>
      </c>
    </row>
    <row r="76" spans="1:18" x14ac:dyDescent="0.3">
      <c r="E76" s="19"/>
      <c r="F76" s="19"/>
      <c r="G76" t="s">
        <v>758</v>
      </c>
      <c r="H76" s="13">
        <f>H72+H73+H74+H75</f>
        <v>243606.41447108332</v>
      </c>
      <c r="I76" s="13">
        <f t="shared" ref="I76:Q76" si="41">I72+I73+I74+I75</f>
        <v>243101.01111133333</v>
      </c>
      <c r="J76" s="13">
        <f t="shared" si="41"/>
        <v>242679.89837658333</v>
      </c>
      <c r="K76" s="13">
        <f t="shared" si="41"/>
        <v>242345.18353245829</v>
      </c>
      <c r="L76" s="13">
        <f t="shared" si="41"/>
        <v>242099.0265262239</v>
      </c>
      <c r="M76" s="13">
        <f t="shared" si="41"/>
        <v>241943.6413038274</v>
      </c>
      <c r="N76" s="13">
        <f t="shared" si="41"/>
        <v>241881.29715986474</v>
      </c>
      <c r="O76" s="13">
        <f t="shared" si="41"/>
        <v>241914.32012129674</v>
      </c>
      <c r="P76" s="13">
        <f t="shared" si="41"/>
        <v>242045.0943657583</v>
      </c>
      <c r="Q76" s="13">
        <f t="shared" si="41"/>
        <v>242276.06367532516</v>
      </c>
    </row>
    <row r="77" spans="1:18" x14ac:dyDescent="0.3">
      <c r="E77" s="19"/>
      <c r="F77" s="19"/>
      <c r="G77" t="s">
        <v>549</v>
      </c>
      <c r="H77" s="13">
        <f>$J$66*$L$67</f>
        <v>273240</v>
      </c>
      <c r="I77" s="13">
        <f>H77*(1+$L$68)</f>
        <v>280071</v>
      </c>
      <c r="J77" s="13">
        <f t="shared" ref="J77" si="42">I77*(1+$L$47)</f>
        <v>287072.77499999997</v>
      </c>
      <c r="K77" s="13">
        <f t="shared" ref="K77" si="43">J77*(1+$L$47)</f>
        <v>294249.59437499993</v>
      </c>
      <c r="L77" s="13">
        <f t="shared" ref="L77" si="44">K77*(1+$L$47)</f>
        <v>301605.83423437492</v>
      </c>
      <c r="M77" s="13">
        <f t="shared" ref="M77" si="45">L77*(1+$L$47)</f>
        <v>309145.98009023425</v>
      </c>
      <c r="N77" s="13">
        <f t="shared" ref="N77" si="46">M77*(1+$L$47)</f>
        <v>316874.62959249009</v>
      </c>
      <c r="O77" s="13">
        <f t="shared" ref="O77" si="47">N77*(1+$L$47)</f>
        <v>324796.49533230229</v>
      </c>
      <c r="P77" s="13">
        <f t="shared" ref="P77" si="48">O77*(1+$L$47)</f>
        <v>332916.40771560982</v>
      </c>
      <c r="Q77" s="13">
        <f t="shared" ref="Q77" si="49">P77*(1+$L$47)</f>
        <v>341239.31790850003</v>
      </c>
    </row>
    <row r="78" spans="1:18" x14ac:dyDescent="0.3">
      <c r="E78" s="19"/>
      <c r="F78" s="19"/>
      <c r="G78" t="s">
        <v>740</v>
      </c>
      <c r="H78" s="10">
        <f>H77-H76</f>
        <v>29633.585528916679</v>
      </c>
      <c r="I78" s="10">
        <f t="shared" ref="I78:Q78" si="50">I77-I76</f>
        <v>36969.988888666674</v>
      </c>
      <c r="J78" s="10">
        <f t="shared" si="50"/>
        <v>44392.87662341664</v>
      </c>
      <c r="K78" s="10">
        <f t="shared" si="50"/>
        <v>51904.410842541634</v>
      </c>
      <c r="L78" s="10">
        <f t="shared" si="50"/>
        <v>59506.807708151027</v>
      </c>
      <c r="M78" s="10">
        <f t="shared" si="50"/>
        <v>67202.33878640685</v>
      </c>
      <c r="N78" s="10">
        <f t="shared" si="50"/>
        <v>74993.33243262535</v>
      </c>
      <c r="O78" s="10">
        <f t="shared" si="50"/>
        <v>82882.175211005553</v>
      </c>
      <c r="P78" s="10">
        <f t="shared" si="50"/>
        <v>90871.313349851524</v>
      </c>
      <c r="Q78" s="10">
        <f t="shared" si="50"/>
        <v>98963.25423317487</v>
      </c>
    </row>
    <row r="79" spans="1:18" x14ac:dyDescent="0.3">
      <c r="E79" s="19"/>
      <c r="F79" s="19"/>
      <c r="G79" t="s">
        <v>755</v>
      </c>
      <c r="H79" s="10">
        <f>H78+H75-H66+H67+H68-H70</f>
        <v>25941.177567249979</v>
      </c>
      <c r="I79" s="10">
        <f>I78+I75-I70</f>
        <v>33277.580927000003</v>
      </c>
      <c r="J79" s="10">
        <f t="shared" ref="J79:Q79" si="51">J78+J75-J70</f>
        <v>40700.468661749968</v>
      </c>
      <c r="K79" s="10">
        <f t="shared" si="51"/>
        <v>48212.002880874963</v>
      </c>
      <c r="L79" s="10">
        <f t="shared" si="51"/>
        <v>55814.399746484356</v>
      </c>
      <c r="M79" s="10">
        <f t="shared" si="51"/>
        <v>63509.930824740179</v>
      </c>
      <c r="N79" s="10">
        <f t="shared" si="51"/>
        <v>71300.924470958678</v>
      </c>
      <c r="O79" s="10">
        <f t="shared" si="51"/>
        <v>79189.767249338882</v>
      </c>
      <c r="P79" s="10">
        <f t="shared" si="51"/>
        <v>87178.905388184852</v>
      </c>
      <c r="Q79" s="10">
        <f t="shared" si="51"/>
        <v>95270.846271508199</v>
      </c>
    </row>
    <row r="80" spans="1:18" x14ac:dyDescent="0.3">
      <c r="E80" s="19"/>
      <c r="F80" s="19"/>
      <c r="G80" t="s">
        <v>743</v>
      </c>
      <c r="H80" s="45">
        <v>0.1</v>
      </c>
      <c r="I80" s="54">
        <f>NPV(H80,H79:Q79)-H68</f>
        <v>17.328212621912826</v>
      </c>
      <c r="J80" s="10"/>
      <c r="K80" s="10"/>
      <c r="L80" s="10"/>
      <c r="M80" s="10"/>
      <c r="N80" s="10"/>
      <c r="O80" s="10"/>
      <c r="P80" s="10"/>
      <c r="Q80" s="10"/>
    </row>
    <row r="81" spans="1:18" x14ac:dyDescent="0.3">
      <c r="H81" s="59">
        <f>$A$44*$C$44*H77/$J$31/1000</f>
        <v>607.20000000000005</v>
      </c>
      <c r="I81" s="59">
        <f t="shared" ref="I81:Q81" si="52">$A$44*$C$44*I77/$J$31/1000</f>
        <v>622.38</v>
      </c>
      <c r="J81" s="59">
        <f t="shared" si="52"/>
        <v>637.93949999999984</v>
      </c>
      <c r="K81" s="59">
        <f t="shared" si="52"/>
        <v>653.88798749999978</v>
      </c>
      <c r="L81" s="59">
        <f t="shared" si="52"/>
        <v>670.23518718749983</v>
      </c>
      <c r="M81" s="59">
        <f t="shared" si="52"/>
        <v>686.9910668671871</v>
      </c>
      <c r="N81" s="59">
        <f t="shared" si="52"/>
        <v>704.16584353886685</v>
      </c>
      <c r="O81" s="59">
        <f t="shared" si="52"/>
        <v>721.76998962733853</v>
      </c>
      <c r="P81" s="59">
        <f t="shared" si="52"/>
        <v>739.81423936802184</v>
      </c>
      <c r="Q81" s="59">
        <f t="shared" si="52"/>
        <v>758.30959535222235</v>
      </c>
      <c r="R81" s="60">
        <f>SUM(H81:Q81)</f>
        <v>6802.6934094411372</v>
      </c>
    </row>
    <row r="82" spans="1:18" x14ac:dyDescent="0.3">
      <c r="A82" s="16"/>
      <c r="E82" s="17"/>
      <c r="F82" s="9"/>
      <c r="G82" t="s">
        <v>762</v>
      </c>
    </row>
    <row r="83" spans="1:18" ht="21" x14ac:dyDescent="0.4">
      <c r="A83" s="20" t="s">
        <v>484</v>
      </c>
      <c r="G83" t="s">
        <v>751</v>
      </c>
      <c r="H83" s="49">
        <f>0.91*(N8+D16)</f>
        <v>540792.3885</v>
      </c>
      <c r="I83" s="10" t="s">
        <v>487</v>
      </c>
      <c r="J83" s="53">
        <v>2700</v>
      </c>
      <c r="K83" s="10" t="s">
        <v>753</v>
      </c>
      <c r="L83" s="10"/>
      <c r="M83" s="10"/>
      <c r="N83" s="55">
        <v>2014</v>
      </c>
      <c r="O83" s="55">
        <v>2023</v>
      </c>
      <c r="P83" s="10"/>
      <c r="Q83" s="10"/>
    </row>
    <row r="84" spans="1:18" ht="21" x14ac:dyDescent="0.4">
      <c r="A84" t="s">
        <v>475</v>
      </c>
      <c r="C84" t="s">
        <v>466</v>
      </c>
      <c r="E84" s="9">
        <f>F8/15/E28</f>
        <v>2.4691358024691361</v>
      </c>
      <c r="F84" s="10">
        <f>N8/15/E28</f>
        <v>7.4074074074074074</v>
      </c>
      <c r="G84" t="s">
        <v>756</v>
      </c>
      <c r="H84" s="49">
        <f>H83-H85</f>
        <v>378554.67194999999</v>
      </c>
      <c r="I84" s="10"/>
      <c r="J84" s="10" t="s">
        <v>760</v>
      </c>
      <c r="K84" s="10"/>
      <c r="L84" s="51">
        <v>95.6</v>
      </c>
      <c r="M84" s="10" t="s">
        <v>466</v>
      </c>
      <c r="N84" s="55">
        <f>H94/J83</f>
        <v>95.6</v>
      </c>
      <c r="O84" s="51">
        <f>Q94/J83</f>
        <v>119.39129992699678</v>
      </c>
      <c r="P84" s="10"/>
      <c r="Q84" s="10"/>
    </row>
    <row r="85" spans="1:18" ht="21" x14ac:dyDescent="0.4">
      <c r="A85" t="s">
        <v>481</v>
      </c>
      <c r="C85" t="s">
        <v>466</v>
      </c>
      <c r="E85" s="9">
        <f>D16/D14/E28</f>
        <v>5.4495805555555554</v>
      </c>
      <c r="G85" t="s">
        <v>749</v>
      </c>
      <c r="H85" s="49">
        <f>0.3*H83</f>
        <v>162237.71654999998</v>
      </c>
      <c r="I85" s="10"/>
      <c r="J85" t="s">
        <v>757</v>
      </c>
      <c r="L85" s="48">
        <v>2.5000000000000001E-2</v>
      </c>
      <c r="M85" t="s">
        <v>754</v>
      </c>
      <c r="N85" s="10"/>
      <c r="O85" s="10"/>
      <c r="P85" s="10"/>
      <c r="Q85" s="10"/>
    </row>
    <row r="86" spans="1:18" x14ac:dyDescent="0.3">
      <c r="E86" s="13"/>
      <c r="G86" t="s">
        <v>752</v>
      </c>
      <c r="H86">
        <v>2014</v>
      </c>
      <c r="I86">
        <v>2015</v>
      </c>
      <c r="J86">
        <v>2016</v>
      </c>
      <c r="K86">
        <v>2017</v>
      </c>
      <c r="L86">
        <v>2018</v>
      </c>
      <c r="M86">
        <v>2019</v>
      </c>
      <c r="N86">
        <v>2020</v>
      </c>
      <c r="O86">
        <v>2021</v>
      </c>
      <c r="P86">
        <v>2022</v>
      </c>
      <c r="Q86">
        <v>2023</v>
      </c>
      <c r="R86" s="10"/>
    </row>
    <row r="87" spans="1:18" x14ac:dyDescent="0.3">
      <c r="E87" s="9"/>
      <c r="F87" s="13"/>
      <c r="G87" t="s">
        <v>750</v>
      </c>
      <c r="H87" s="10">
        <f>$H$84/10</f>
        <v>37855.467194999997</v>
      </c>
      <c r="I87" s="10">
        <f t="shared" ref="I87:Q87" si="53">$H$84/10</f>
        <v>37855.467194999997</v>
      </c>
      <c r="J87" s="10">
        <f t="shared" si="53"/>
        <v>37855.467194999997</v>
      </c>
      <c r="K87" s="10">
        <f t="shared" si="53"/>
        <v>37855.467194999997</v>
      </c>
      <c r="L87" s="10">
        <f t="shared" si="53"/>
        <v>37855.467194999997</v>
      </c>
      <c r="M87" s="10">
        <f t="shared" si="53"/>
        <v>37855.467194999997</v>
      </c>
      <c r="N87" s="10">
        <f t="shared" si="53"/>
        <v>37855.467194999997</v>
      </c>
      <c r="O87" s="10">
        <f t="shared" si="53"/>
        <v>37855.467194999997</v>
      </c>
      <c r="P87" s="10">
        <f t="shared" si="53"/>
        <v>37855.467194999997</v>
      </c>
      <c r="Q87" s="10">
        <f t="shared" si="53"/>
        <v>37855.467194999997</v>
      </c>
      <c r="R87" s="13"/>
    </row>
    <row r="88" spans="1:18" x14ac:dyDescent="0.3">
      <c r="E88" s="13"/>
      <c r="G88" t="s">
        <v>732</v>
      </c>
      <c r="H88" s="13">
        <f>H84-H87</f>
        <v>340699.20475500001</v>
      </c>
      <c r="I88" s="13">
        <f>H88-I87</f>
        <v>302843.73756000004</v>
      </c>
      <c r="J88" s="13">
        <f t="shared" ref="J88" si="54">I88-J87</f>
        <v>264988.27036500006</v>
      </c>
      <c r="K88" s="13">
        <f t="shared" ref="K88" si="55">J88-K87</f>
        <v>227132.80317000006</v>
      </c>
      <c r="L88" s="13">
        <f t="shared" ref="L88" si="56">K88-L87</f>
        <v>189277.33597500005</v>
      </c>
      <c r="M88" s="13">
        <f t="shared" ref="M88" si="57">L88-M87</f>
        <v>151421.86878000005</v>
      </c>
      <c r="N88" s="13">
        <f t="shared" ref="N88" si="58">M88-N87</f>
        <v>113566.40158500004</v>
      </c>
      <c r="O88" s="13">
        <f t="shared" ref="O88" si="59">N88-O87</f>
        <v>75710.934390000039</v>
      </c>
      <c r="P88" s="13">
        <f t="shared" ref="P88" si="60">O88-P87</f>
        <v>37855.467195000041</v>
      </c>
      <c r="Q88" s="13">
        <f t="shared" ref="Q88" si="61">P88-Q87</f>
        <v>0</v>
      </c>
      <c r="R88" s="13"/>
    </row>
    <row r="89" spans="1:18" x14ac:dyDescent="0.3">
      <c r="A89" t="s">
        <v>482</v>
      </c>
      <c r="C89" t="s">
        <v>466</v>
      </c>
      <c r="E89">
        <v>2</v>
      </c>
      <c r="G89" t="s">
        <v>733</v>
      </c>
      <c r="H89" s="13">
        <f>$F$17*H88</f>
        <v>17034.960237750001</v>
      </c>
      <c r="I89" s="13">
        <f>$F$17*I88</f>
        <v>15142.186878000002</v>
      </c>
      <c r="J89" s="13">
        <f t="shared" ref="J89:P89" si="62">$F$17*J88</f>
        <v>13249.413518250003</v>
      </c>
      <c r="K89" s="13">
        <f t="shared" si="62"/>
        <v>11356.640158500004</v>
      </c>
      <c r="L89" s="13">
        <f t="shared" si="62"/>
        <v>9463.866798750003</v>
      </c>
      <c r="M89" s="13">
        <f t="shared" si="62"/>
        <v>7571.0934390000029</v>
      </c>
      <c r="N89" s="13">
        <f t="shared" si="62"/>
        <v>5678.3200792500029</v>
      </c>
      <c r="O89" s="13">
        <f t="shared" si="62"/>
        <v>3785.5467195000019</v>
      </c>
      <c r="P89" s="13">
        <f t="shared" si="62"/>
        <v>1892.7733597500021</v>
      </c>
      <c r="Q89" s="13">
        <v>0</v>
      </c>
      <c r="R89" s="13"/>
    </row>
    <row r="90" spans="1:18" x14ac:dyDescent="0.3">
      <c r="A90" t="s">
        <v>454</v>
      </c>
      <c r="C90" t="s">
        <v>466</v>
      </c>
      <c r="E90">
        <f>D21*E20</f>
        <v>68.5</v>
      </c>
      <c r="G90" t="s">
        <v>454</v>
      </c>
      <c r="H90" s="13">
        <f>$E$90*$J$83</f>
        <v>184950</v>
      </c>
      <c r="I90" s="13">
        <f>(1+$L$68)*H90</f>
        <v>189573.74999999997</v>
      </c>
      <c r="J90" s="13">
        <f t="shared" ref="J90:Q90" si="63">(1+$L$68)*I90</f>
        <v>194313.09374999994</v>
      </c>
      <c r="K90" s="13">
        <f t="shared" si="63"/>
        <v>199170.92109374993</v>
      </c>
      <c r="L90" s="13">
        <f t="shared" si="63"/>
        <v>204150.19412109366</v>
      </c>
      <c r="M90" s="13">
        <f t="shared" si="63"/>
        <v>209253.94897412098</v>
      </c>
      <c r="N90" s="13">
        <f t="shared" si="63"/>
        <v>214485.29769847399</v>
      </c>
      <c r="O90" s="13">
        <f t="shared" si="63"/>
        <v>219847.43014093582</v>
      </c>
      <c r="P90" s="13">
        <f t="shared" si="63"/>
        <v>225343.61589445919</v>
      </c>
      <c r="Q90" s="13">
        <f t="shared" si="63"/>
        <v>230977.20629182065</v>
      </c>
    </row>
    <row r="91" spans="1:18" x14ac:dyDescent="0.3">
      <c r="E91" s="19"/>
      <c r="F91" s="40"/>
      <c r="G91" t="s">
        <v>482</v>
      </c>
      <c r="H91" s="13">
        <f>E89*J83</f>
        <v>5400</v>
      </c>
      <c r="I91" s="13">
        <f>(1+$L$85)*H91</f>
        <v>5534.9999999999991</v>
      </c>
      <c r="J91" s="13">
        <f t="shared" ref="J91:Q91" si="64">(1+$L$85)*I91</f>
        <v>5673.3749999999982</v>
      </c>
      <c r="K91" s="13">
        <f t="shared" si="64"/>
        <v>5815.2093749999976</v>
      </c>
      <c r="L91" s="13">
        <f t="shared" si="64"/>
        <v>5960.5896093749971</v>
      </c>
      <c r="M91" s="13">
        <f t="shared" si="64"/>
        <v>6109.6043496093716</v>
      </c>
      <c r="N91" s="13">
        <f t="shared" si="64"/>
        <v>6262.3444583496057</v>
      </c>
      <c r="O91" s="13">
        <f t="shared" si="64"/>
        <v>6418.9030698083452</v>
      </c>
      <c r="P91" s="13">
        <f t="shared" si="64"/>
        <v>6579.3756465535535</v>
      </c>
      <c r="Q91" s="13">
        <f t="shared" si="64"/>
        <v>6743.8600377173916</v>
      </c>
    </row>
    <row r="92" spans="1:18" x14ac:dyDescent="0.3">
      <c r="G92" t="s">
        <v>759</v>
      </c>
      <c r="H92" s="13">
        <f>$H$83/$E$75</f>
        <v>36052.825900000003</v>
      </c>
      <c r="I92" s="13">
        <f t="shared" ref="I92:Q92" si="65">$H$83/$E$75</f>
        <v>36052.825900000003</v>
      </c>
      <c r="J92" s="13">
        <f t="shared" si="65"/>
        <v>36052.825900000003</v>
      </c>
      <c r="K92" s="13">
        <f t="shared" si="65"/>
        <v>36052.825900000003</v>
      </c>
      <c r="L92" s="13">
        <f t="shared" si="65"/>
        <v>36052.825900000003</v>
      </c>
      <c r="M92" s="13">
        <f t="shared" si="65"/>
        <v>36052.825900000003</v>
      </c>
      <c r="N92" s="13">
        <f t="shared" si="65"/>
        <v>36052.825900000003</v>
      </c>
      <c r="O92" s="13">
        <f t="shared" si="65"/>
        <v>36052.825900000003</v>
      </c>
      <c r="P92" s="13">
        <f t="shared" si="65"/>
        <v>36052.825900000003</v>
      </c>
      <c r="Q92" s="13">
        <f t="shared" si="65"/>
        <v>36052.825900000003</v>
      </c>
    </row>
    <row r="93" spans="1:18" x14ac:dyDescent="0.3">
      <c r="A93" s="20"/>
      <c r="E93" s="21"/>
      <c r="G93" t="s">
        <v>758</v>
      </c>
      <c r="H93" s="13">
        <f>H89+H90+H91+H92</f>
        <v>243437.78613774999</v>
      </c>
      <c r="I93" s="13">
        <f t="shared" ref="I93:P93" si="66">I89+I90+I91+I92</f>
        <v>246303.76277799997</v>
      </c>
      <c r="J93" s="13">
        <f t="shared" si="66"/>
        <v>249288.70816824993</v>
      </c>
      <c r="K93" s="13">
        <f t="shared" si="66"/>
        <v>252395.59652724993</v>
      </c>
      <c r="L93" s="13">
        <f t="shared" si="66"/>
        <v>255627.47642921866</v>
      </c>
      <c r="M93" s="13">
        <f t="shared" si="66"/>
        <v>258987.47266273035</v>
      </c>
      <c r="N93" s="13">
        <f t="shared" si="66"/>
        <v>262478.78813607362</v>
      </c>
      <c r="O93" s="13">
        <f t="shared" si="66"/>
        <v>266104.70583024417</v>
      </c>
      <c r="P93" s="13">
        <f t="shared" si="66"/>
        <v>269868.59080076276</v>
      </c>
      <c r="Q93" s="13">
        <f>Q89+Q90+Q91+Q92</f>
        <v>273773.89222953806</v>
      </c>
    </row>
    <row r="94" spans="1:18" x14ac:dyDescent="0.3">
      <c r="A94" s="23" t="s">
        <v>454</v>
      </c>
      <c r="G94" t="s">
        <v>549</v>
      </c>
      <c r="H94" s="13">
        <f>$J$83*$L$84</f>
        <v>258119.99999999997</v>
      </c>
      <c r="I94" s="13">
        <f>(1+$L$85)*H94</f>
        <v>264572.99999999994</v>
      </c>
      <c r="J94" s="13">
        <f t="shared" ref="J94:Q94" si="67">(1+$L$85)*I94</f>
        <v>271187.3249999999</v>
      </c>
      <c r="K94" s="13">
        <f t="shared" si="67"/>
        <v>277967.00812499988</v>
      </c>
      <c r="L94" s="13">
        <f t="shared" si="67"/>
        <v>284916.18332812487</v>
      </c>
      <c r="M94" s="13">
        <f t="shared" si="67"/>
        <v>292039.08791132795</v>
      </c>
      <c r="N94" s="13">
        <f t="shared" si="67"/>
        <v>299340.06510911114</v>
      </c>
      <c r="O94" s="13">
        <f t="shared" si="67"/>
        <v>306823.5667368389</v>
      </c>
      <c r="P94" s="13">
        <f t="shared" si="67"/>
        <v>314494.15590525983</v>
      </c>
      <c r="Q94" s="13">
        <f t="shared" si="67"/>
        <v>322356.50980289129</v>
      </c>
    </row>
    <row r="95" spans="1:18" x14ac:dyDescent="0.3">
      <c r="A95" t="s">
        <v>475</v>
      </c>
      <c r="C95" t="s">
        <v>466</v>
      </c>
      <c r="E95" s="9">
        <f>F13/D14/E28</f>
        <v>2.4814814814814814</v>
      </c>
      <c r="F95" s="9"/>
      <c r="G95" t="s">
        <v>740</v>
      </c>
      <c r="H95" s="10">
        <f>H94-H93</f>
        <v>14682.213862249977</v>
      </c>
      <c r="I95" s="10">
        <f t="shared" ref="I95:Q95" si="68">I94-I93</f>
        <v>18269.237221999967</v>
      </c>
      <c r="J95" s="10">
        <f t="shared" si="68"/>
        <v>21898.616831749969</v>
      </c>
      <c r="K95" s="10">
        <f t="shared" si="68"/>
        <v>25571.411597749946</v>
      </c>
      <c r="L95" s="10">
        <f t="shared" si="68"/>
        <v>29288.70689890621</v>
      </c>
      <c r="M95" s="10">
        <f t="shared" si="68"/>
        <v>33051.615248597605</v>
      </c>
      <c r="N95" s="10">
        <f t="shared" si="68"/>
        <v>36861.276973037515</v>
      </c>
      <c r="O95" s="10">
        <f t="shared" si="68"/>
        <v>40718.860906594724</v>
      </c>
      <c r="P95" s="10">
        <f t="shared" si="68"/>
        <v>44625.565104497073</v>
      </c>
      <c r="Q95" s="10">
        <f t="shared" si="68"/>
        <v>48582.617573353229</v>
      </c>
    </row>
    <row r="96" spans="1:18" x14ac:dyDescent="0.3">
      <c r="A96" t="s">
        <v>481</v>
      </c>
      <c r="C96" t="s">
        <v>466</v>
      </c>
      <c r="E96" s="9">
        <f>D16/D14/E28</f>
        <v>5.4495805555555554</v>
      </c>
      <c r="G96" t="s">
        <v>755</v>
      </c>
      <c r="H96" s="10">
        <f>H95+H92-H83+H84+H85-H87</f>
        <v>12879.572567249947</v>
      </c>
      <c r="I96" s="10">
        <f>I95+I92-I87</f>
        <v>16466.595926999973</v>
      </c>
      <c r="J96" s="10">
        <f t="shared" ref="J96:Q96" si="69">J95+J92-J87</f>
        <v>20095.975536749975</v>
      </c>
      <c r="K96" s="10">
        <f t="shared" si="69"/>
        <v>23768.770302749952</v>
      </c>
      <c r="L96" s="10">
        <f t="shared" si="69"/>
        <v>27486.065603906216</v>
      </c>
      <c r="M96" s="10">
        <f t="shared" si="69"/>
        <v>31248.973953597604</v>
      </c>
      <c r="N96" s="10">
        <f t="shared" si="69"/>
        <v>35058.635678037514</v>
      </c>
      <c r="O96" s="10">
        <f t="shared" si="69"/>
        <v>38916.219611594723</v>
      </c>
      <c r="P96" s="10">
        <f t="shared" si="69"/>
        <v>42822.923809497071</v>
      </c>
      <c r="Q96" s="10">
        <f t="shared" si="69"/>
        <v>46779.976278353228</v>
      </c>
    </row>
    <row r="97" spans="1:18" x14ac:dyDescent="0.3">
      <c r="E97" s="13"/>
      <c r="G97" t="s">
        <v>743</v>
      </c>
      <c r="H97" s="45">
        <v>0.1</v>
      </c>
      <c r="I97" s="54">
        <f>NPV(H97,H96:Q96)-H85</f>
        <v>1460.5850042012753</v>
      </c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3">
      <c r="E98" s="9"/>
      <c r="H98" s="59">
        <f>$A$44*$C$44*H94/$J$31/1000</f>
        <v>573.59999999999991</v>
      </c>
      <c r="I98" s="59">
        <f t="shared" ref="I98:Q98" si="70">$A$44*$C$44*I94/$J$31/1000</f>
        <v>587.93999999999983</v>
      </c>
      <c r="J98" s="59">
        <f t="shared" si="70"/>
        <v>602.63849999999979</v>
      </c>
      <c r="K98" s="59">
        <f t="shared" si="70"/>
        <v>617.70446249999975</v>
      </c>
      <c r="L98" s="59">
        <f t="shared" si="70"/>
        <v>633.14707406249966</v>
      </c>
      <c r="M98" s="59">
        <f t="shared" si="70"/>
        <v>648.97575091406213</v>
      </c>
      <c r="N98" s="59">
        <f t="shared" si="70"/>
        <v>665.20014468691375</v>
      </c>
      <c r="O98" s="59">
        <f t="shared" si="70"/>
        <v>681.83014830408638</v>
      </c>
      <c r="P98" s="59">
        <f t="shared" si="70"/>
        <v>698.87590201168859</v>
      </c>
      <c r="Q98" s="59">
        <f t="shared" si="70"/>
        <v>716.34779956198065</v>
      </c>
      <c r="R98" s="60">
        <f>SUM(H98:Q98)</f>
        <v>6426.2597820412311</v>
      </c>
    </row>
    <row r="99" spans="1:18" x14ac:dyDescent="0.3">
      <c r="E99" s="13"/>
      <c r="G99" t="s">
        <v>763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21" x14ac:dyDescent="0.4">
      <c r="A100" t="s">
        <v>482</v>
      </c>
      <c r="C100" t="s">
        <v>466</v>
      </c>
      <c r="E100">
        <v>1</v>
      </c>
      <c r="G100" t="s">
        <v>751</v>
      </c>
      <c r="H100" s="49">
        <f>0.91*(F13+D16)</f>
        <v>389732.3885</v>
      </c>
      <c r="I100" s="10" t="s">
        <v>487</v>
      </c>
      <c r="J100" s="53">
        <v>2700</v>
      </c>
      <c r="K100" s="10" t="s">
        <v>753</v>
      </c>
      <c r="L100" s="10"/>
      <c r="M100" s="10"/>
      <c r="N100" s="55">
        <v>2014</v>
      </c>
      <c r="O100" s="55">
        <v>2023</v>
      </c>
      <c r="P100" s="10"/>
      <c r="Q100" s="13"/>
    </row>
    <row r="101" spans="1:18" ht="21" x14ac:dyDescent="0.4">
      <c r="A101" t="s">
        <v>454</v>
      </c>
      <c r="C101" t="s">
        <v>466</v>
      </c>
      <c r="E101">
        <f>D21</f>
        <v>137</v>
      </c>
      <c r="G101" t="s">
        <v>756</v>
      </c>
      <c r="H101" s="49">
        <f>H100-H102</f>
        <v>272812.67194999999</v>
      </c>
      <c r="I101" s="10"/>
      <c r="J101" s="10" t="s">
        <v>760</v>
      </c>
      <c r="K101" s="10"/>
      <c r="L101" s="51">
        <v>156.1</v>
      </c>
      <c r="M101" s="10" t="s">
        <v>466</v>
      </c>
      <c r="N101" s="55">
        <f>H111/J100</f>
        <v>156.1</v>
      </c>
      <c r="O101" s="55">
        <f>Q111/J100</f>
        <v>194.94750960883056</v>
      </c>
      <c r="P101" s="10"/>
    </row>
    <row r="102" spans="1:18" ht="21" x14ac:dyDescent="0.4">
      <c r="E102" s="19"/>
      <c r="G102" t="s">
        <v>749</v>
      </c>
      <c r="H102" s="49">
        <f>0.3*H100</f>
        <v>116919.71655</v>
      </c>
      <c r="I102" s="10"/>
      <c r="J102" t="s">
        <v>757</v>
      </c>
      <c r="L102" s="48">
        <v>2.5000000000000001E-2</v>
      </c>
      <c r="M102" t="s">
        <v>754</v>
      </c>
      <c r="N102" s="10"/>
      <c r="O102" s="10"/>
      <c r="P102" s="10"/>
    </row>
    <row r="103" spans="1:18" x14ac:dyDescent="0.3">
      <c r="E103" s="19"/>
      <c r="G103" t="s">
        <v>752</v>
      </c>
      <c r="H103">
        <v>2014</v>
      </c>
      <c r="I103">
        <v>2015</v>
      </c>
      <c r="J103">
        <v>2016</v>
      </c>
      <c r="K103">
        <v>2017</v>
      </c>
      <c r="L103">
        <v>2018</v>
      </c>
      <c r="M103">
        <v>2019</v>
      </c>
      <c r="N103">
        <v>2020</v>
      </c>
      <c r="O103">
        <v>2021</v>
      </c>
      <c r="P103">
        <v>2022</v>
      </c>
      <c r="Q103">
        <v>2023</v>
      </c>
    </row>
    <row r="104" spans="1:18" x14ac:dyDescent="0.3">
      <c r="E104" s="19"/>
      <c r="G104" t="s">
        <v>750</v>
      </c>
      <c r="H104" s="10">
        <f>$H$101/10</f>
        <v>27281.267195</v>
      </c>
      <c r="I104" s="10">
        <f t="shared" ref="I104:Q104" si="71">$H$101/10</f>
        <v>27281.267195</v>
      </c>
      <c r="J104" s="10">
        <f t="shared" si="71"/>
        <v>27281.267195</v>
      </c>
      <c r="K104" s="10">
        <f t="shared" si="71"/>
        <v>27281.267195</v>
      </c>
      <c r="L104" s="10">
        <f t="shared" si="71"/>
        <v>27281.267195</v>
      </c>
      <c r="M104" s="10">
        <f t="shared" si="71"/>
        <v>27281.267195</v>
      </c>
      <c r="N104" s="10">
        <f t="shared" si="71"/>
        <v>27281.267195</v>
      </c>
      <c r="O104" s="10">
        <f t="shared" si="71"/>
        <v>27281.267195</v>
      </c>
      <c r="P104" s="10">
        <f t="shared" si="71"/>
        <v>27281.267195</v>
      </c>
      <c r="Q104" s="10">
        <f t="shared" si="71"/>
        <v>27281.267195</v>
      </c>
    </row>
    <row r="105" spans="1:18" x14ac:dyDescent="0.3">
      <c r="E105" s="19"/>
      <c r="G105" t="s">
        <v>732</v>
      </c>
      <c r="H105" s="13">
        <f>H101-H104</f>
        <v>245531.404755</v>
      </c>
      <c r="I105" s="13">
        <f>H105-I104</f>
        <v>218250.13756</v>
      </c>
      <c r="J105" s="13">
        <f t="shared" ref="J105" si="72">I105-J104</f>
        <v>190968.87036500001</v>
      </c>
      <c r="K105" s="13">
        <f t="shared" ref="K105" si="73">J105-K104</f>
        <v>163687.60317000002</v>
      </c>
      <c r="L105" s="13">
        <f t="shared" ref="L105" si="74">K105-L104</f>
        <v>136406.33597500002</v>
      </c>
      <c r="M105" s="13">
        <f t="shared" ref="M105" si="75">L105-M104</f>
        <v>109125.06878000003</v>
      </c>
      <c r="N105" s="13">
        <f t="shared" ref="N105" si="76">M105-N104</f>
        <v>81843.801585000037</v>
      </c>
      <c r="O105" s="13">
        <f t="shared" ref="O105" si="77">N105-O104</f>
        <v>54562.534390000037</v>
      </c>
      <c r="P105" s="13">
        <f t="shared" ref="P105:Q105" si="78">O105-P104</f>
        <v>27281.267195000037</v>
      </c>
      <c r="Q105" s="13">
        <f t="shared" si="78"/>
        <v>3.637978807091713E-11</v>
      </c>
    </row>
    <row r="106" spans="1:18" x14ac:dyDescent="0.3">
      <c r="E106" s="19"/>
      <c r="G106" t="s">
        <v>733</v>
      </c>
      <c r="H106" s="13">
        <f>$F$17*H105</f>
        <v>12276.57023775</v>
      </c>
      <c r="I106" s="13">
        <f>$F$17*I105</f>
        <v>10912.506878</v>
      </c>
      <c r="J106" s="13">
        <f t="shared" ref="J106:P106" si="79">$F$17*J105</f>
        <v>9548.4435182500001</v>
      </c>
      <c r="K106" s="13">
        <f t="shared" si="79"/>
        <v>8184.380158500001</v>
      </c>
      <c r="L106" s="13">
        <f t="shared" si="79"/>
        <v>6820.3167987500019</v>
      </c>
      <c r="M106" s="13">
        <f t="shared" si="79"/>
        <v>5456.2534390000019</v>
      </c>
      <c r="N106" s="13">
        <f t="shared" si="79"/>
        <v>4092.1900792500019</v>
      </c>
      <c r="O106" s="13">
        <f t="shared" si="79"/>
        <v>2728.1267195000019</v>
      </c>
      <c r="P106" s="13">
        <f t="shared" si="79"/>
        <v>1364.0633597500018</v>
      </c>
      <c r="Q106" s="13">
        <v>0</v>
      </c>
    </row>
    <row r="107" spans="1:18" x14ac:dyDescent="0.3">
      <c r="E107" s="19"/>
      <c r="G107" t="s">
        <v>454</v>
      </c>
      <c r="H107" s="13">
        <f>$D$21*$J$83</f>
        <v>369900</v>
      </c>
      <c r="I107" s="13">
        <f>(1+$L$68)*H107</f>
        <v>379147.49999999994</v>
      </c>
      <c r="J107" s="13">
        <f t="shared" ref="J107:Q107" si="80">(1+$L$68)*I107</f>
        <v>388626.18749999988</v>
      </c>
      <c r="K107" s="13">
        <f t="shared" si="80"/>
        <v>398341.84218749986</v>
      </c>
      <c r="L107" s="13">
        <f t="shared" si="80"/>
        <v>408300.38824218733</v>
      </c>
      <c r="M107" s="13">
        <f t="shared" si="80"/>
        <v>418507.89794824197</v>
      </c>
      <c r="N107" s="13">
        <f t="shared" si="80"/>
        <v>428970.59539694799</v>
      </c>
      <c r="O107" s="13">
        <f t="shared" si="80"/>
        <v>439694.86028187163</v>
      </c>
      <c r="P107" s="13">
        <f t="shared" si="80"/>
        <v>450687.23178891838</v>
      </c>
      <c r="Q107" s="13">
        <f t="shared" si="80"/>
        <v>461954.4125836413</v>
      </c>
    </row>
    <row r="108" spans="1:18" x14ac:dyDescent="0.3">
      <c r="E108" s="19"/>
      <c r="G108" t="s">
        <v>482</v>
      </c>
      <c r="H108" s="13">
        <f>E100*J100</f>
        <v>2700</v>
      </c>
      <c r="I108" s="13">
        <f>(1+$L$85)*H108</f>
        <v>2767.4999999999995</v>
      </c>
      <c r="J108" s="13">
        <f t="shared" ref="J108:Q108" si="81">(1+$L$85)*I108</f>
        <v>2836.6874999999991</v>
      </c>
      <c r="K108" s="13">
        <f t="shared" si="81"/>
        <v>2907.6046874999988</v>
      </c>
      <c r="L108" s="13">
        <f t="shared" si="81"/>
        <v>2980.2948046874985</v>
      </c>
      <c r="M108" s="13">
        <f t="shared" si="81"/>
        <v>3054.8021748046858</v>
      </c>
      <c r="N108" s="13">
        <f t="shared" si="81"/>
        <v>3131.1722291748029</v>
      </c>
      <c r="O108" s="13">
        <f t="shared" si="81"/>
        <v>3209.4515349041726</v>
      </c>
      <c r="P108" s="13">
        <f t="shared" si="81"/>
        <v>3289.6878232767767</v>
      </c>
      <c r="Q108" s="13">
        <f t="shared" si="81"/>
        <v>3371.9300188586958</v>
      </c>
    </row>
    <row r="109" spans="1:18" x14ac:dyDescent="0.3">
      <c r="E109" s="19"/>
      <c r="G109" t="s">
        <v>759</v>
      </c>
      <c r="H109" s="13">
        <f>$H$100/20</f>
        <v>19486.619425000001</v>
      </c>
      <c r="I109" s="13">
        <f t="shared" ref="I109:Q109" si="82">$H$100/20</f>
        <v>19486.619425000001</v>
      </c>
      <c r="J109" s="13">
        <f t="shared" si="82"/>
        <v>19486.619425000001</v>
      </c>
      <c r="K109" s="13">
        <f t="shared" si="82"/>
        <v>19486.619425000001</v>
      </c>
      <c r="L109" s="13">
        <f t="shared" si="82"/>
        <v>19486.619425000001</v>
      </c>
      <c r="M109" s="13">
        <f t="shared" si="82"/>
        <v>19486.619425000001</v>
      </c>
      <c r="N109" s="13">
        <f t="shared" si="82"/>
        <v>19486.619425000001</v>
      </c>
      <c r="O109" s="13">
        <f t="shared" si="82"/>
        <v>19486.619425000001</v>
      </c>
      <c r="P109" s="13">
        <f t="shared" si="82"/>
        <v>19486.619425000001</v>
      </c>
      <c r="Q109" s="13">
        <f t="shared" si="82"/>
        <v>19486.619425000001</v>
      </c>
    </row>
    <row r="110" spans="1:18" x14ac:dyDescent="0.3">
      <c r="E110" s="19"/>
      <c r="G110" t="s">
        <v>758</v>
      </c>
      <c r="H110" s="13">
        <f>H106+H107+H108+H109</f>
        <v>404363.18966275</v>
      </c>
      <c r="I110" s="13">
        <f t="shared" ref="I110:Q110" si="83">I106+I107+I108+I109</f>
        <v>412314.12630299991</v>
      </c>
      <c r="J110" s="13">
        <f t="shared" si="83"/>
        <v>420497.93794324988</v>
      </c>
      <c r="K110" s="13">
        <f t="shared" si="83"/>
        <v>428920.44645849982</v>
      </c>
      <c r="L110" s="13">
        <f t="shared" si="83"/>
        <v>437587.61927062483</v>
      </c>
      <c r="M110" s="13">
        <f t="shared" si="83"/>
        <v>446505.57298704662</v>
      </c>
      <c r="N110" s="13">
        <f t="shared" si="83"/>
        <v>455680.57713037281</v>
      </c>
      <c r="O110" s="13">
        <f t="shared" si="83"/>
        <v>465119.0579612758</v>
      </c>
      <c r="P110" s="13">
        <f t="shared" si="83"/>
        <v>474827.60239694518</v>
      </c>
      <c r="Q110" s="13">
        <f t="shared" si="83"/>
        <v>484812.96202749998</v>
      </c>
    </row>
    <row r="111" spans="1:18" x14ac:dyDescent="0.3">
      <c r="E111" s="19"/>
      <c r="G111" t="s">
        <v>549</v>
      </c>
      <c r="H111" s="13">
        <f>$J$100*$L$101</f>
        <v>421470</v>
      </c>
      <c r="I111" s="13">
        <f>(1+$L$102)*H111</f>
        <v>432006.74999999994</v>
      </c>
      <c r="J111" s="13">
        <f t="shared" ref="J111:Q111" si="84">(1+$L$102)*I111</f>
        <v>442806.9187499999</v>
      </c>
      <c r="K111" s="13">
        <f t="shared" si="84"/>
        <v>453877.09171874984</v>
      </c>
      <c r="L111" s="13">
        <f t="shared" si="84"/>
        <v>465224.01901171857</v>
      </c>
      <c r="M111" s="13">
        <f t="shared" si="84"/>
        <v>476854.61948701151</v>
      </c>
      <c r="N111" s="13">
        <f t="shared" si="84"/>
        <v>488775.98497418675</v>
      </c>
      <c r="O111" s="13">
        <f t="shared" si="84"/>
        <v>500995.38459854136</v>
      </c>
      <c r="P111" s="13">
        <f t="shared" si="84"/>
        <v>513520.26921350486</v>
      </c>
      <c r="Q111" s="13">
        <f t="shared" si="84"/>
        <v>526358.27594384248</v>
      </c>
    </row>
    <row r="112" spans="1:18" x14ac:dyDescent="0.3">
      <c r="E112" s="19"/>
      <c r="G112" t="s">
        <v>740</v>
      </c>
      <c r="H112" s="10">
        <f>H111-H110</f>
        <v>17106.810337250005</v>
      </c>
      <c r="I112" s="10">
        <f t="shared" ref="I112:Q112" si="85">I111-I110</f>
        <v>19692.623697000032</v>
      </c>
      <c r="J112" s="10">
        <f t="shared" si="85"/>
        <v>22308.980806750013</v>
      </c>
      <c r="K112" s="10">
        <f t="shared" si="85"/>
        <v>24956.645260250021</v>
      </c>
      <c r="L112" s="10">
        <f t="shared" si="85"/>
        <v>27636.399741093745</v>
      </c>
      <c r="M112" s="10">
        <f t="shared" si="85"/>
        <v>30349.046499964898</v>
      </c>
      <c r="N112" s="10">
        <f t="shared" si="85"/>
        <v>33095.40784381394</v>
      </c>
      <c r="O112" s="10">
        <f t="shared" si="85"/>
        <v>35876.326637265563</v>
      </c>
      <c r="P112" s="10">
        <f t="shared" si="85"/>
        <v>38692.666816559678</v>
      </c>
      <c r="Q112" s="10">
        <f t="shared" si="85"/>
        <v>41545.313916342508</v>
      </c>
    </row>
    <row r="113" spans="1:18" x14ac:dyDescent="0.3">
      <c r="E113" s="19"/>
      <c r="G113" t="s">
        <v>755</v>
      </c>
      <c r="H113" s="10">
        <f>H112+H109-H100+H101+H102-H104</f>
        <v>9312.1625672499722</v>
      </c>
      <c r="I113" s="10">
        <f>I112+I109-I104</f>
        <v>11897.975927000029</v>
      </c>
      <c r="J113" s="10">
        <f t="shared" ref="J113:Q113" si="86">J112+J109-J104</f>
        <v>14514.333036750009</v>
      </c>
      <c r="K113" s="10">
        <f t="shared" si="86"/>
        <v>17161.997490250018</v>
      </c>
      <c r="L113" s="10">
        <f t="shared" si="86"/>
        <v>19841.751971093741</v>
      </c>
      <c r="M113" s="10">
        <f t="shared" si="86"/>
        <v>22554.398729964894</v>
      </c>
      <c r="N113" s="10">
        <f t="shared" si="86"/>
        <v>25300.760073813937</v>
      </c>
      <c r="O113" s="10">
        <f t="shared" si="86"/>
        <v>28081.67886726556</v>
      </c>
      <c r="P113" s="10">
        <f t="shared" si="86"/>
        <v>30898.019046559675</v>
      </c>
      <c r="Q113" s="10">
        <f t="shared" si="86"/>
        <v>33750.666146342504</v>
      </c>
    </row>
    <row r="114" spans="1:18" x14ac:dyDescent="0.3">
      <c r="E114" s="19"/>
      <c r="G114" t="s">
        <v>743</v>
      </c>
      <c r="H114" s="45">
        <v>0.1</v>
      </c>
      <c r="I114" s="54">
        <f>NPV(H114,H113:Q113)-H102</f>
        <v>1256.8891654921317</v>
      </c>
      <c r="J114" s="10"/>
      <c r="K114" s="10"/>
      <c r="L114" s="10"/>
      <c r="M114" s="10"/>
      <c r="N114" s="10"/>
      <c r="O114" s="10"/>
      <c r="P114" s="10"/>
    </row>
    <row r="115" spans="1:18" x14ac:dyDescent="0.3">
      <c r="H115" s="59">
        <f>$A$44*$C$44*H111/$J$31/1000</f>
        <v>936.6</v>
      </c>
      <c r="I115" s="59">
        <f t="shared" ref="I115:Q115" si="87">$A$44*$C$44*I111/$J$31/1000</f>
        <v>960.01499999999976</v>
      </c>
      <c r="J115" s="59">
        <f t="shared" si="87"/>
        <v>984.01537499999972</v>
      </c>
      <c r="K115" s="59">
        <f t="shared" si="87"/>
        <v>1008.6157593749997</v>
      </c>
      <c r="L115" s="59">
        <f t="shared" si="87"/>
        <v>1033.8311533593746</v>
      </c>
      <c r="M115" s="59">
        <f t="shared" si="87"/>
        <v>1059.6769321933589</v>
      </c>
      <c r="N115" s="59">
        <f t="shared" si="87"/>
        <v>1086.1688554981929</v>
      </c>
      <c r="O115" s="59">
        <f t="shared" si="87"/>
        <v>1113.3230768856474</v>
      </c>
      <c r="P115" s="59">
        <f t="shared" si="87"/>
        <v>1141.1561538077885</v>
      </c>
      <c r="Q115" s="59">
        <f t="shared" si="87"/>
        <v>1169.6850576529835</v>
      </c>
      <c r="R115" s="60">
        <f>SUM(H115:Q115)</f>
        <v>10493.087363772345</v>
      </c>
    </row>
    <row r="116" spans="1:18" ht="21" x14ac:dyDescent="0.4">
      <c r="A116" s="33" t="s">
        <v>554</v>
      </c>
      <c r="B116" s="33"/>
      <c r="G116" t="s">
        <v>751</v>
      </c>
      <c r="H116" s="49">
        <f>(N10+D16)*0.91</f>
        <v>1480822.3885000001</v>
      </c>
      <c r="I116" s="10" t="s">
        <v>487</v>
      </c>
      <c r="J116" s="10">
        <f>J45</f>
        <v>2700</v>
      </c>
      <c r="K116" s="10" t="s">
        <v>753</v>
      </c>
      <c r="L116" s="10"/>
      <c r="M116" s="10"/>
      <c r="N116" s="55">
        <v>2014</v>
      </c>
      <c r="O116" s="55">
        <v>2023</v>
      </c>
      <c r="P116" s="10"/>
    </row>
    <row r="117" spans="1:18" ht="21" x14ac:dyDescent="0.4">
      <c r="A117" t="s">
        <v>475</v>
      </c>
      <c r="C117" t="s">
        <v>466</v>
      </c>
      <c r="E117" s="9">
        <f>F10/D14/E28</f>
        <v>8.5919074074074082</v>
      </c>
      <c r="F117" s="9">
        <f>N10/D14/E28</f>
        <v>24.685185185185187</v>
      </c>
      <c r="G117" t="s">
        <v>756</v>
      </c>
      <c r="H117" s="49">
        <f>H116-H118</f>
        <v>1036575.6719500001</v>
      </c>
      <c r="I117" s="10"/>
      <c r="J117" s="10" t="s">
        <v>760</v>
      </c>
      <c r="K117" s="10"/>
      <c r="L117" s="51">
        <v>140.5</v>
      </c>
      <c r="M117" s="10" t="s">
        <v>466</v>
      </c>
      <c r="N117" s="55">
        <f>H127/J116</f>
        <v>140.5</v>
      </c>
      <c r="O117" s="55">
        <f>Q127/J116</f>
        <v>175.46524727764694</v>
      </c>
      <c r="P117" s="10"/>
    </row>
    <row r="118" spans="1:18" ht="21" x14ac:dyDescent="0.4">
      <c r="A118" t="s">
        <v>481</v>
      </c>
      <c r="C118" t="s">
        <v>466</v>
      </c>
      <c r="E118" s="9">
        <f>D16/D14/E28</f>
        <v>5.4495805555555554</v>
      </c>
      <c r="G118" t="s">
        <v>749</v>
      </c>
      <c r="H118" s="49">
        <f>0.3*H116</f>
        <v>444246.71655000001</v>
      </c>
      <c r="I118" s="10"/>
      <c r="J118" t="s">
        <v>757</v>
      </c>
      <c r="L118" s="48">
        <v>2.5000000000000001E-2</v>
      </c>
      <c r="M118" t="s">
        <v>754</v>
      </c>
      <c r="N118" s="10"/>
      <c r="O118" s="10"/>
      <c r="P118" s="10"/>
    </row>
    <row r="119" spans="1:18" x14ac:dyDescent="0.3">
      <c r="E119" s="13"/>
      <c r="F119" s="13"/>
      <c r="G119" t="s">
        <v>752</v>
      </c>
      <c r="H119">
        <v>2014</v>
      </c>
      <c r="I119">
        <v>2015</v>
      </c>
      <c r="J119">
        <v>2016</v>
      </c>
      <c r="K119">
        <v>2017</v>
      </c>
      <c r="L119">
        <v>2018</v>
      </c>
      <c r="M119">
        <v>2019</v>
      </c>
      <c r="N119">
        <v>2020</v>
      </c>
      <c r="O119">
        <v>2021</v>
      </c>
      <c r="P119">
        <v>2022</v>
      </c>
      <c r="Q119" s="13">
        <v>2023</v>
      </c>
      <c r="R119" s="13"/>
    </row>
    <row r="120" spans="1:18" x14ac:dyDescent="0.3">
      <c r="E120" s="9"/>
      <c r="F120" s="9"/>
      <c r="G120" t="s">
        <v>750</v>
      </c>
      <c r="H120" s="10">
        <f>$H$117/10</f>
        <v>103657.56719500001</v>
      </c>
      <c r="I120" s="10">
        <f t="shared" ref="I120:P120" si="88">$H$117/10</f>
        <v>103657.56719500001</v>
      </c>
      <c r="J120" s="10">
        <f t="shared" si="88"/>
        <v>103657.56719500001</v>
      </c>
      <c r="K120" s="10">
        <f t="shared" si="88"/>
        <v>103657.56719500001</v>
      </c>
      <c r="L120" s="10">
        <f t="shared" si="88"/>
        <v>103657.56719500001</v>
      </c>
      <c r="M120" s="10">
        <f t="shared" si="88"/>
        <v>103657.56719500001</v>
      </c>
      <c r="N120" s="10">
        <f t="shared" si="88"/>
        <v>103657.56719500001</v>
      </c>
      <c r="O120" s="10">
        <f t="shared" si="88"/>
        <v>103657.56719500001</v>
      </c>
      <c r="P120" s="10">
        <f t="shared" si="88"/>
        <v>103657.56719500001</v>
      </c>
      <c r="Q120" s="13">
        <v>107370</v>
      </c>
      <c r="R120" s="13"/>
    </row>
    <row r="121" spans="1:18" x14ac:dyDescent="0.3">
      <c r="E121" s="9"/>
      <c r="F121" s="13"/>
      <c r="G121" t="s">
        <v>732</v>
      </c>
      <c r="H121" s="13">
        <f>H117-H120</f>
        <v>932918.10475500009</v>
      </c>
      <c r="I121" s="13">
        <f>H121-I120</f>
        <v>829260.53756000008</v>
      </c>
      <c r="J121" s="13">
        <f t="shared" ref="J121" si="89">I121-J120</f>
        <v>725602.97036500007</v>
      </c>
      <c r="K121" s="13">
        <f t="shared" ref="K121" si="90">J121-K120</f>
        <v>621945.40317000006</v>
      </c>
      <c r="L121" s="13">
        <f t="shared" ref="L121" si="91">K121-L120</f>
        <v>518287.83597500005</v>
      </c>
      <c r="M121" s="13">
        <f t="shared" ref="M121" si="92">L121-M120</f>
        <v>414630.26878000004</v>
      </c>
      <c r="N121" s="13">
        <f t="shared" ref="N121" si="93">M121-N120</f>
        <v>310972.70158500003</v>
      </c>
      <c r="O121" s="13">
        <f t="shared" ref="O121" si="94">N121-O120</f>
        <v>207315.13439000002</v>
      </c>
      <c r="P121" s="13">
        <f t="shared" ref="P121" si="95">O121-P120</f>
        <v>103657.56719500001</v>
      </c>
      <c r="Q121" s="13">
        <f>H117-SUM(H120:Q120)</f>
        <v>-3712.4328049999895</v>
      </c>
      <c r="R121" s="13"/>
    </row>
    <row r="122" spans="1:18" x14ac:dyDescent="0.3">
      <c r="A122" t="s">
        <v>482</v>
      </c>
      <c r="C122" t="s">
        <v>466</v>
      </c>
      <c r="E122">
        <v>1</v>
      </c>
      <c r="G122" t="s">
        <v>733</v>
      </c>
      <c r="H122" s="13">
        <f>$F$17*H121</f>
        <v>46645.905237750005</v>
      </c>
      <c r="I122" s="13">
        <f>$F$17*I121</f>
        <v>41463.026878000004</v>
      </c>
      <c r="J122" s="13">
        <f t="shared" ref="J122" si="96">$F$17*J121</f>
        <v>36280.148518250004</v>
      </c>
      <c r="K122" s="13">
        <f t="shared" ref="K122" si="97">$F$17*K121</f>
        <v>31097.270158500003</v>
      </c>
      <c r="L122" s="13">
        <f t="shared" ref="L122" si="98">$F$17*L121</f>
        <v>25914.391798750003</v>
      </c>
      <c r="M122" s="13">
        <f t="shared" ref="M122" si="99">$F$17*M121</f>
        <v>20731.513439000002</v>
      </c>
      <c r="N122" s="13">
        <f t="shared" ref="N122" si="100">$F$17*N121</f>
        <v>15548.635079250002</v>
      </c>
      <c r="O122" s="13">
        <f t="shared" ref="O122" si="101">$F$17*O121</f>
        <v>10365.756719500001</v>
      </c>
      <c r="P122" s="13">
        <f t="shared" ref="P122" si="102">$F$17*P121</f>
        <v>5182.8783597500005</v>
      </c>
      <c r="Q122" s="13">
        <f>Q121*F17</f>
        <v>-185.62164024999947</v>
      </c>
    </row>
    <row r="123" spans="1:18" x14ac:dyDescent="0.3">
      <c r="A123" t="s">
        <v>454</v>
      </c>
      <c r="C123" t="s">
        <v>466</v>
      </c>
      <c r="E123">
        <v>90.3</v>
      </c>
      <c r="G123" t="s">
        <v>454</v>
      </c>
      <c r="H123" s="13">
        <f>$E$124*$J$45*E101</f>
        <v>184950</v>
      </c>
      <c r="I123" s="13">
        <f>(1+$L$118)*H123</f>
        <v>189573.74999999997</v>
      </c>
      <c r="J123" s="13">
        <f t="shared" ref="J123:Q123" si="103">(1+$L$47)*I123</f>
        <v>194313.09374999994</v>
      </c>
      <c r="K123" s="13">
        <f t="shared" si="103"/>
        <v>199170.92109374993</v>
      </c>
      <c r="L123" s="13">
        <f t="shared" si="103"/>
        <v>204150.19412109366</v>
      </c>
      <c r="M123" s="13">
        <f t="shared" si="103"/>
        <v>209253.94897412098</v>
      </c>
      <c r="N123" s="13">
        <f t="shared" si="103"/>
        <v>214485.29769847399</v>
      </c>
      <c r="O123" s="13">
        <f t="shared" si="103"/>
        <v>219847.43014093582</v>
      </c>
      <c r="P123" s="13">
        <f t="shared" si="103"/>
        <v>225343.61589445919</v>
      </c>
      <c r="Q123" s="13">
        <f t="shared" si="103"/>
        <v>230977.20629182065</v>
      </c>
    </row>
    <row r="124" spans="1:18" x14ac:dyDescent="0.3">
      <c r="A124" t="s">
        <v>555</v>
      </c>
      <c r="E124" s="8">
        <v>0.5</v>
      </c>
      <c r="G124" t="s">
        <v>482</v>
      </c>
      <c r="H124" s="13">
        <f>$E$122*$J$116</f>
        <v>2700</v>
      </c>
      <c r="I124" s="13">
        <f>(1+$L$118)*H124</f>
        <v>2767.4999999999995</v>
      </c>
      <c r="J124" s="13">
        <f t="shared" ref="J124:Q124" si="104">(1+$L$118)*I124</f>
        <v>2836.6874999999991</v>
      </c>
      <c r="K124" s="13">
        <f t="shared" si="104"/>
        <v>2907.6046874999988</v>
      </c>
      <c r="L124" s="13">
        <f t="shared" si="104"/>
        <v>2980.2948046874985</v>
      </c>
      <c r="M124" s="13">
        <f t="shared" si="104"/>
        <v>3054.8021748046858</v>
      </c>
      <c r="N124" s="13">
        <f t="shared" si="104"/>
        <v>3131.1722291748029</v>
      </c>
      <c r="O124" s="13">
        <f t="shared" si="104"/>
        <v>3209.4515349041726</v>
      </c>
      <c r="P124" s="13">
        <f t="shared" si="104"/>
        <v>3289.6878232767767</v>
      </c>
      <c r="Q124" s="13">
        <f t="shared" si="104"/>
        <v>3371.9300188586958</v>
      </c>
    </row>
    <row r="125" spans="1:18" x14ac:dyDescent="0.3">
      <c r="E125" s="9"/>
      <c r="F125" s="19"/>
      <c r="G125" t="s">
        <v>759</v>
      </c>
      <c r="H125" s="13">
        <f>$H$116/20</f>
        <v>74041.119425000012</v>
      </c>
      <c r="I125" s="13">
        <f t="shared" ref="I125:Q125" si="105">$H$116/20</f>
        <v>74041.119425000012</v>
      </c>
      <c r="J125" s="13">
        <f t="shared" si="105"/>
        <v>74041.119425000012</v>
      </c>
      <c r="K125" s="13">
        <f t="shared" si="105"/>
        <v>74041.119425000012</v>
      </c>
      <c r="L125" s="13">
        <f t="shared" si="105"/>
        <v>74041.119425000012</v>
      </c>
      <c r="M125" s="13">
        <f t="shared" si="105"/>
        <v>74041.119425000012</v>
      </c>
      <c r="N125" s="13">
        <f t="shared" si="105"/>
        <v>74041.119425000012</v>
      </c>
      <c r="O125" s="13">
        <f t="shared" si="105"/>
        <v>74041.119425000012</v>
      </c>
      <c r="P125" s="13">
        <f t="shared" si="105"/>
        <v>74041.119425000012</v>
      </c>
      <c r="Q125" s="13">
        <f t="shared" si="105"/>
        <v>74041.119425000012</v>
      </c>
    </row>
    <row r="126" spans="1:18" x14ac:dyDescent="0.3">
      <c r="G126" t="s">
        <v>758</v>
      </c>
      <c r="H126" s="13">
        <f>H122+H123+H124+H125</f>
        <v>308337.02466275002</v>
      </c>
      <c r="I126" s="13">
        <f t="shared" ref="I126:Q126" si="106">I122+I123+I124+I125</f>
        <v>307845.39630299999</v>
      </c>
      <c r="J126" s="13">
        <f t="shared" si="106"/>
        <v>307471.04919324996</v>
      </c>
      <c r="K126" s="13">
        <f t="shared" si="106"/>
        <v>307216.91536474996</v>
      </c>
      <c r="L126" s="13">
        <f t="shared" si="106"/>
        <v>307086.00014953117</v>
      </c>
      <c r="M126" s="13">
        <f t="shared" si="106"/>
        <v>307081.38401292567</v>
      </c>
      <c r="N126" s="13">
        <f t="shared" si="106"/>
        <v>307206.22443189879</v>
      </c>
      <c r="O126" s="13">
        <f t="shared" si="106"/>
        <v>307463.75782033999</v>
      </c>
      <c r="P126" s="13">
        <f t="shared" si="106"/>
        <v>307857.30150248599</v>
      </c>
      <c r="Q126" s="13">
        <f t="shared" si="106"/>
        <v>308204.63409542933</v>
      </c>
    </row>
    <row r="127" spans="1:18" x14ac:dyDescent="0.3">
      <c r="A127" s="33"/>
      <c r="B127" s="33"/>
      <c r="C127" s="33"/>
      <c r="D127" t="s">
        <v>466</v>
      </c>
      <c r="E127" s="39"/>
      <c r="F127" s="9"/>
      <c r="G127" t="s">
        <v>549</v>
      </c>
      <c r="H127" s="13">
        <f>$J$116*$L$117</f>
        <v>379350</v>
      </c>
      <c r="I127" s="13">
        <f>H127*(1+$L$118)</f>
        <v>388833.74999999994</v>
      </c>
      <c r="J127" s="13">
        <f t="shared" ref="J127:Q127" si="107">I127*(1+$L$118)</f>
        <v>398554.59374999988</v>
      </c>
      <c r="K127" s="13">
        <f t="shared" si="107"/>
        <v>408518.45859374985</v>
      </c>
      <c r="L127" s="13">
        <f t="shared" si="107"/>
        <v>418731.42005859356</v>
      </c>
      <c r="M127" s="13">
        <f t="shared" si="107"/>
        <v>429199.70556005836</v>
      </c>
      <c r="N127" s="13">
        <f t="shared" si="107"/>
        <v>439929.69819905976</v>
      </c>
      <c r="O127" s="13">
        <f t="shared" si="107"/>
        <v>450927.94065403624</v>
      </c>
      <c r="P127" s="13">
        <f t="shared" si="107"/>
        <v>462201.13917038712</v>
      </c>
      <c r="Q127" s="13">
        <f t="shared" si="107"/>
        <v>473756.16764964676</v>
      </c>
    </row>
    <row r="128" spans="1:18" x14ac:dyDescent="0.3">
      <c r="G128" t="s">
        <v>740</v>
      </c>
      <c r="H128" s="10">
        <f>H127-H126</f>
        <v>71012.975337249984</v>
      </c>
      <c r="I128" s="10">
        <f t="shared" ref="I128:Q128" si="108">I127-I126</f>
        <v>80988.353696999955</v>
      </c>
      <c r="J128" s="10">
        <f t="shared" si="108"/>
        <v>91083.544556749926</v>
      </c>
      <c r="K128" s="10">
        <f t="shared" si="108"/>
        <v>101301.54322899989</v>
      </c>
      <c r="L128" s="10">
        <f t="shared" si="108"/>
        <v>111645.41990906239</v>
      </c>
      <c r="M128" s="10">
        <f t="shared" si="108"/>
        <v>122118.32154713268</v>
      </c>
      <c r="N128" s="10">
        <f t="shared" si="108"/>
        <v>132723.47376716096</v>
      </c>
      <c r="O128" s="10">
        <f t="shared" si="108"/>
        <v>143464.18283369625</v>
      </c>
      <c r="P128" s="10">
        <f t="shared" si="108"/>
        <v>154343.83766790113</v>
      </c>
      <c r="Q128" s="10">
        <f t="shared" si="108"/>
        <v>165551.53355421743</v>
      </c>
    </row>
    <row r="129" spans="7:18" x14ac:dyDescent="0.3">
      <c r="G129" t="s">
        <v>755</v>
      </c>
      <c r="H129" s="10">
        <f>H128+H125-H116+H117+H118-H120</f>
        <v>41396.527567250072</v>
      </c>
      <c r="I129" s="10">
        <f>I128+I125-I120</f>
        <v>51371.905926999956</v>
      </c>
      <c r="J129" s="10">
        <f t="shared" ref="J129:Q129" si="109">J128+J125-J120</f>
        <v>61467.096786749928</v>
      </c>
      <c r="K129" s="10">
        <f t="shared" si="109"/>
        <v>71685.095458999887</v>
      </c>
      <c r="L129" s="10">
        <f t="shared" si="109"/>
        <v>82028.972139062389</v>
      </c>
      <c r="M129" s="10">
        <f t="shared" si="109"/>
        <v>92501.873777132685</v>
      </c>
      <c r="N129" s="10">
        <f t="shared" si="109"/>
        <v>103107.02599716096</v>
      </c>
      <c r="O129" s="10">
        <f t="shared" si="109"/>
        <v>113847.73506369625</v>
      </c>
      <c r="P129" s="10">
        <f t="shared" si="109"/>
        <v>124727.38989790113</v>
      </c>
      <c r="Q129" s="10">
        <f t="shared" si="109"/>
        <v>132222.65297921744</v>
      </c>
    </row>
    <row r="130" spans="7:18" x14ac:dyDescent="0.3">
      <c r="G130" t="s">
        <v>743</v>
      </c>
      <c r="H130" s="44">
        <v>0.1</v>
      </c>
      <c r="I130" s="53">
        <f>NPV(H130,H129:Q129)-H118</f>
        <v>44029.231032859127</v>
      </c>
      <c r="J130" s="10"/>
      <c r="K130" s="10"/>
      <c r="L130" s="10"/>
      <c r="M130" s="10"/>
      <c r="N130" s="10"/>
      <c r="O130" s="10"/>
      <c r="P130" s="10"/>
    </row>
    <row r="131" spans="7:18" x14ac:dyDescent="0.3">
      <c r="H131" s="59">
        <f>$A$44*$C$44*H127/$J$31/1000</f>
        <v>843</v>
      </c>
      <c r="I131" s="59">
        <f t="shared" ref="I131:Q131" si="110">$A$44*$C$44*I127/$J$31/1000</f>
        <v>864.07499999999982</v>
      </c>
      <c r="J131" s="59">
        <f t="shared" si="110"/>
        <v>885.67687499999977</v>
      </c>
      <c r="K131" s="59">
        <f t="shared" si="110"/>
        <v>907.81879687499963</v>
      </c>
      <c r="L131" s="59">
        <f t="shared" si="110"/>
        <v>930.51426679687472</v>
      </c>
      <c r="M131" s="59">
        <f t="shared" si="110"/>
        <v>953.77712346679641</v>
      </c>
      <c r="N131" s="59">
        <f t="shared" si="110"/>
        <v>977.62155155346602</v>
      </c>
      <c r="O131" s="59">
        <f t="shared" si="110"/>
        <v>1002.0620903423027</v>
      </c>
      <c r="P131" s="59">
        <f t="shared" si="110"/>
        <v>1027.1136426008602</v>
      </c>
      <c r="Q131" s="59">
        <f t="shared" si="110"/>
        <v>1052.7914836658817</v>
      </c>
      <c r="R131" s="60">
        <f>SUM(H131:Q131)</f>
        <v>9444.4508303011808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opLeftCell="A16" zoomScale="90" zoomScaleNormal="90" workbookViewId="0">
      <selection activeCell="B37" sqref="B37"/>
    </sheetView>
  </sheetViews>
  <sheetFormatPr defaultRowHeight="14.4" x14ac:dyDescent="0.3"/>
  <cols>
    <col min="5" max="5" width="12" bestFit="1" customWidth="1"/>
    <col min="6" max="6" width="10.5546875" customWidth="1"/>
    <col min="7" max="7" width="12.88671875" customWidth="1"/>
    <col min="8" max="8" width="22" bestFit="1" customWidth="1"/>
    <col min="9" max="9" width="9.5546875" bestFit="1" customWidth="1"/>
    <col min="10" max="10" width="10.88671875" customWidth="1"/>
    <col min="11" max="17" width="9.5546875" bestFit="1" customWidth="1"/>
  </cols>
  <sheetData>
    <row r="1" spans="1:16" ht="15" thickBot="1" x14ac:dyDescent="0.35"/>
    <row r="2" spans="1:16" ht="15" thickBot="1" x14ac:dyDescent="0.35">
      <c r="B2" s="11" t="s">
        <v>485</v>
      </c>
      <c r="C2" s="22"/>
      <c r="D2" s="12"/>
      <c r="E2" s="12"/>
    </row>
    <row r="4" spans="1:16" x14ac:dyDescent="0.3">
      <c r="A4" t="s">
        <v>446</v>
      </c>
      <c r="F4" t="s">
        <v>476</v>
      </c>
    </row>
    <row r="5" spans="1:16" ht="15" thickBot="1" x14ac:dyDescent="0.35">
      <c r="F5" t="s">
        <v>705</v>
      </c>
      <c r="J5" t="s">
        <v>837</v>
      </c>
    </row>
    <row r="6" spans="1:16" ht="15" thickBot="1" x14ac:dyDescent="0.35">
      <c r="A6" t="s">
        <v>447</v>
      </c>
      <c r="F6" s="67">
        <v>400000</v>
      </c>
      <c r="H6" s="1"/>
    </row>
    <row r="7" spans="1:16" x14ac:dyDescent="0.3">
      <c r="A7" t="s">
        <v>448</v>
      </c>
      <c r="F7" s="10">
        <v>670000</v>
      </c>
      <c r="J7" t="s">
        <v>712</v>
      </c>
      <c r="N7" s="64">
        <v>1300000</v>
      </c>
      <c r="P7" t="s">
        <v>998</v>
      </c>
    </row>
    <row r="8" spans="1:16" x14ac:dyDescent="0.3">
      <c r="A8" t="s">
        <v>449</v>
      </c>
      <c r="F8" s="10">
        <v>100000</v>
      </c>
      <c r="N8" s="65">
        <v>300000</v>
      </c>
    </row>
    <row r="9" spans="1:16" x14ac:dyDescent="0.3">
      <c r="A9" t="s">
        <v>450</v>
      </c>
      <c r="F9" s="10">
        <v>200000</v>
      </c>
      <c r="N9" s="65">
        <v>923000</v>
      </c>
    </row>
    <row r="10" spans="1:16" ht="15" thickBot="1" x14ac:dyDescent="0.35">
      <c r="A10" t="s">
        <v>451</v>
      </c>
      <c r="F10" s="10">
        <v>463963</v>
      </c>
      <c r="J10" t="s">
        <v>715</v>
      </c>
      <c r="N10" s="66">
        <v>1333000</v>
      </c>
      <c r="P10" t="s">
        <v>716</v>
      </c>
    </row>
    <row r="11" spans="1:16" x14ac:dyDescent="0.3">
      <c r="A11" t="s">
        <v>452</v>
      </c>
      <c r="F11" s="10">
        <v>2700000</v>
      </c>
      <c r="P11" t="s">
        <v>717</v>
      </c>
    </row>
    <row r="12" spans="1:16" ht="15" thickBot="1" x14ac:dyDescent="0.35">
      <c r="A12" t="s">
        <v>453</v>
      </c>
      <c r="F12" s="10">
        <v>1500000</v>
      </c>
      <c r="P12" t="s">
        <v>718</v>
      </c>
    </row>
    <row r="13" spans="1:16" ht="15" thickBot="1" x14ac:dyDescent="0.35">
      <c r="A13" t="s">
        <v>454</v>
      </c>
      <c r="F13" s="67">
        <v>134000</v>
      </c>
      <c r="P13" t="s">
        <v>719</v>
      </c>
    </row>
    <row r="14" spans="1:16" x14ac:dyDescent="0.3">
      <c r="A14" t="s">
        <v>474</v>
      </c>
      <c r="D14">
        <v>20</v>
      </c>
    </row>
    <row r="15" spans="1:16" x14ac:dyDescent="0.3">
      <c r="A15" t="s">
        <v>455</v>
      </c>
      <c r="D15">
        <v>134</v>
      </c>
      <c r="E15" t="s">
        <v>990</v>
      </c>
      <c r="F15" s="98">
        <v>111.85</v>
      </c>
      <c r="G15" t="s">
        <v>458</v>
      </c>
      <c r="H15">
        <v>2631</v>
      </c>
      <c r="I15" t="s">
        <v>459</v>
      </c>
    </row>
    <row r="16" spans="1:16" x14ac:dyDescent="0.3">
      <c r="A16" t="s">
        <v>457</v>
      </c>
      <c r="C16" t="s">
        <v>460</v>
      </c>
      <c r="D16" s="1">
        <f>F15*H15</f>
        <v>294277.34999999998</v>
      </c>
    </row>
    <row r="17" spans="1:15" x14ac:dyDescent="0.3">
      <c r="A17" t="s">
        <v>671</v>
      </c>
      <c r="F17" s="8">
        <v>0.05</v>
      </c>
    </row>
    <row r="18" spans="1:15" ht="21" x14ac:dyDescent="0.4">
      <c r="A18" t="s">
        <v>461</v>
      </c>
      <c r="C18" t="s">
        <v>462</v>
      </c>
      <c r="E18" s="56">
        <v>0.3</v>
      </c>
    </row>
    <row r="19" spans="1:15" ht="21" x14ac:dyDescent="0.4">
      <c r="C19" t="s">
        <v>463</v>
      </c>
      <c r="E19" s="56">
        <v>0.35</v>
      </c>
    </row>
    <row r="20" spans="1:15" ht="21" x14ac:dyDescent="0.4">
      <c r="C20" t="s">
        <v>464</v>
      </c>
      <c r="E20" s="56">
        <v>0.5</v>
      </c>
    </row>
    <row r="21" spans="1:15" ht="21" x14ac:dyDescent="0.4">
      <c r="A21" t="s">
        <v>465</v>
      </c>
      <c r="C21" t="s">
        <v>466</v>
      </c>
      <c r="D21" s="46">
        <v>90.3</v>
      </c>
    </row>
    <row r="22" spans="1:15" ht="15" thickBot="1" x14ac:dyDescent="0.35">
      <c r="F22" t="s">
        <v>707</v>
      </c>
      <c r="G22" t="s">
        <v>706</v>
      </c>
    </row>
    <row r="23" spans="1:15" ht="15" thickBot="1" x14ac:dyDescent="0.35">
      <c r="A23" t="s">
        <v>467</v>
      </c>
      <c r="C23" t="s">
        <v>466</v>
      </c>
      <c r="E23" s="8"/>
      <c r="F23" s="69">
        <v>34</v>
      </c>
      <c r="G23" s="9">
        <v>31.5</v>
      </c>
      <c r="H23" t="s">
        <v>466</v>
      </c>
      <c r="K23" t="s">
        <v>1001</v>
      </c>
    </row>
    <row r="24" spans="1:15" x14ac:dyDescent="0.3">
      <c r="A24" t="s">
        <v>471</v>
      </c>
      <c r="D24">
        <v>4.5999999999999996</v>
      </c>
      <c r="E24" t="s">
        <v>704</v>
      </c>
    </row>
    <row r="25" spans="1:15" x14ac:dyDescent="0.3">
      <c r="A25" t="s">
        <v>468</v>
      </c>
      <c r="C25" t="s">
        <v>469</v>
      </c>
      <c r="D25">
        <v>0.85</v>
      </c>
    </row>
    <row r="26" spans="1:15" x14ac:dyDescent="0.3">
      <c r="A26" t="s">
        <v>470</v>
      </c>
      <c r="D26" s="9">
        <v>34</v>
      </c>
      <c r="E26" t="s">
        <v>478</v>
      </c>
    </row>
    <row r="27" spans="1:15" x14ac:dyDescent="0.3">
      <c r="A27" t="s">
        <v>688</v>
      </c>
      <c r="E27">
        <v>4000</v>
      </c>
    </row>
    <row r="28" spans="1:15" x14ac:dyDescent="0.3">
      <c r="A28" t="s">
        <v>472</v>
      </c>
      <c r="E28">
        <v>2700</v>
      </c>
      <c r="F28">
        <f>1*E27*D25*0.91</f>
        <v>3094</v>
      </c>
      <c r="I28" s="41" t="s">
        <v>728</v>
      </c>
    </row>
    <row r="29" spans="1:15" ht="15" thickBot="1" x14ac:dyDescent="0.35">
      <c r="A29" t="s">
        <v>689</v>
      </c>
      <c r="E29">
        <v>12000</v>
      </c>
    </row>
    <row r="30" spans="1:15" ht="21.6" thickBot="1" x14ac:dyDescent="0.45">
      <c r="A30" s="11" t="s">
        <v>486</v>
      </c>
      <c r="B30" s="12"/>
      <c r="J30" t="s">
        <v>757</v>
      </c>
      <c r="L30" s="48">
        <v>2.5000000000000001E-2</v>
      </c>
      <c r="M30" t="s">
        <v>754</v>
      </c>
      <c r="N30" s="50">
        <v>2014</v>
      </c>
      <c r="O30" s="50">
        <v>2023</v>
      </c>
    </row>
    <row r="31" spans="1:15" ht="21" x14ac:dyDescent="0.4">
      <c r="A31" s="1" t="s">
        <v>473</v>
      </c>
      <c r="E31" t="s">
        <v>723</v>
      </c>
      <c r="F31" t="s">
        <v>724</v>
      </c>
      <c r="I31" t="s">
        <v>487</v>
      </c>
      <c r="J31" s="46">
        <f>E28</f>
        <v>2700</v>
      </c>
      <c r="K31" t="s">
        <v>753</v>
      </c>
      <c r="N31" s="50">
        <f>H40/J31</f>
        <v>75</v>
      </c>
      <c r="O31" s="75">
        <f>Q40/J31</f>
        <v>93.664722746074872</v>
      </c>
    </row>
    <row r="32" spans="1:15" ht="21" x14ac:dyDescent="0.4">
      <c r="A32" t="s">
        <v>475</v>
      </c>
      <c r="C32" t="s">
        <v>466</v>
      </c>
      <c r="E32" s="9">
        <f>F6/D14/E28</f>
        <v>7.4074074074074074</v>
      </c>
      <c r="G32" t="s">
        <v>751</v>
      </c>
      <c r="H32" s="49">
        <f>F6*0.91</f>
        <v>364000</v>
      </c>
      <c r="I32" t="s">
        <v>749</v>
      </c>
      <c r="J32" s="46">
        <f>0.3*H32</f>
        <v>109200</v>
      </c>
      <c r="K32" t="s">
        <v>756</v>
      </c>
      <c r="L32" s="10">
        <f>H32-J32</f>
        <v>254800</v>
      </c>
    </row>
    <row r="33" spans="1:18" x14ac:dyDescent="0.3">
      <c r="A33" t="s">
        <v>477</v>
      </c>
      <c r="C33" t="s">
        <v>466</v>
      </c>
      <c r="E33" s="9"/>
      <c r="F33" s="9">
        <f>F23/D25</f>
        <v>40</v>
      </c>
      <c r="G33" t="s">
        <v>752</v>
      </c>
      <c r="H33">
        <v>2014</v>
      </c>
      <c r="I33">
        <v>2015</v>
      </c>
      <c r="J33">
        <v>2016</v>
      </c>
      <c r="K33">
        <v>2017</v>
      </c>
      <c r="L33">
        <v>2018</v>
      </c>
      <c r="M33">
        <v>2019</v>
      </c>
      <c r="N33">
        <v>2020</v>
      </c>
      <c r="O33">
        <v>2021</v>
      </c>
      <c r="P33">
        <v>2022</v>
      </c>
      <c r="Q33">
        <v>2023</v>
      </c>
    </row>
    <row r="34" spans="1:18" x14ac:dyDescent="0.3">
      <c r="A34" t="s">
        <v>479</v>
      </c>
      <c r="C34" t="s">
        <v>466</v>
      </c>
      <c r="E34" s="9">
        <f>E29/E28</f>
        <v>4.4444444444444446</v>
      </c>
      <c r="G34" t="s">
        <v>750</v>
      </c>
      <c r="H34" s="10">
        <f>0.1*$L$32</f>
        <v>25480</v>
      </c>
      <c r="I34" s="10">
        <f>0.1*$L$32</f>
        <v>25480</v>
      </c>
      <c r="J34" s="10">
        <f t="shared" ref="J34:Q34" si="0">0.1*$L$32</f>
        <v>25480</v>
      </c>
      <c r="K34" s="10">
        <f t="shared" si="0"/>
        <v>25480</v>
      </c>
      <c r="L34" s="10">
        <f t="shared" si="0"/>
        <v>25480</v>
      </c>
      <c r="M34" s="10">
        <f t="shared" si="0"/>
        <v>25480</v>
      </c>
      <c r="N34" s="10">
        <f t="shared" si="0"/>
        <v>25480</v>
      </c>
      <c r="O34" s="10">
        <f t="shared" si="0"/>
        <v>25480</v>
      </c>
      <c r="P34" s="10">
        <f t="shared" si="0"/>
        <v>25480</v>
      </c>
      <c r="Q34" s="10">
        <f t="shared" si="0"/>
        <v>25480</v>
      </c>
    </row>
    <row r="35" spans="1:18" x14ac:dyDescent="0.3">
      <c r="E35" s="10"/>
      <c r="G35" t="s">
        <v>732</v>
      </c>
      <c r="H35" s="10">
        <f>L32-H34</f>
        <v>229320</v>
      </c>
      <c r="I35" s="10">
        <f>H35-I34</f>
        <v>203840</v>
      </c>
      <c r="J35" s="10">
        <f t="shared" ref="J35:Q35" si="1">I35-J34</f>
        <v>178360</v>
      </c>
      <c r="K35" s="10">
        <f t="shared" si="1"/>
        <v>152880</v>
      </c>
      <c r="L35" s="10">
        <f t="shared" si="1"/>
        <v>127400</v>
      </c>
      <c r="M35" s="10">
        <f t="shared" si="1"/>
        <v>101920</v>
      </c>
      <c r="N35" s="10">
        <f t="shared" si="1"/>
        <v>76440</v>
      </c>
      <c r="O35" s="10">
        <f>N35-O34</f>
        <v>50960</v>
      </c>
      <c r="P35" s="10">
        <f t="shared" si="1"/>
        <v>25480</v>
      </c>
      <c r="Q35" s="10">
        <f t="shared" si="1"/>
        <v>0</v>
      </c>
      <c r="R35" s="10"/>
    </row>
    <row r="36" spans="1:18" x14ac:dyDescent="0.3">
      <c r="E36" s="10"/>
      <c r="G36" t="s">
        <v>733</v>
      </c>
      <c r="H36" s="10">
        <f>$F$17*H35</f>
        <v>11466</v>
      </c>
      <c r="I36" s="10">
        <f t="shared" ref="I36:Q36" si="2">$F$17*I35</f>
        <v>10192</v>
      </c>
      <c r="J36" s="10">
        <f t="shared" si="2"/>
        <v>8918</v>
      </c>
      <c r="K36" s="10">
        <f t="shared" si="2"/>
        <v>7644</v>
      </c>
      <c r="L36" s="10">
        <f t="shared" si="2"/>
        <v>6370</v>
      </c>
      <c r="M36" s="10">
        <f t="shared" si="2"/>
        <v>5096</v>
      </c>
      <c r="N36" s="10">
        <f t="shared" si="2"/>
        <v>3822</v>
      </c>
      <c r="O36" s="10">
        <f t="shared" si="2"/>
        <v>2548</v>
      </c>
      <c r="P36" s="10">
        <f t="shared" si="2"/>
        <v>1274</v>
      </c>
      <c r="Q36" s="10">
        <f t="shared" si="2"/>
        <v>0</v>
      </c>
      <c r="R36" s="10"/>
    </row>
    <row r="37" spans="1:18" x14ac:dyDescent="0.3">
      <c r="E37" s="9"/>
      <c r="F37" s="9">
        <f>(E35+E36)/D14/E28</f>
        <v>0</v>
      </c>
      <c r="G37" t="s">
        <v>473</v>
      </c>
      <c r="H37" s="10">
        <f>F33*$J$31</f>
        <v>108000</v>
      </c>
      <c r="I37" s="10">
        <f>H37*($L$30+1)</f>
        <v>110699.99999999999</v>
      </c>
      <c r="J37" s="10">
        <f t="shared" ref="J37:Q37" si="3">I37*($L$30+1)</f>
        <v>113467.49999999997</v>
      </c>
      <c r="K37" s="10">
        <f t="shared" si="3"/>
        <v>116304.18749999996</v>
      </c>
      <c r="L37" s="10">
        <f t="shared" si="3"/>
        <v>119211.79218749994</v>
      </c>
      <c r="M37" s="10">
        <f t="shared" si="3"/>
        <v>122192.08699218743</v>
      </c>
      <c r="N37" s="10">
        <f t="shared" si="3"/>
        <v>125246.8891669921</v>
      </c>
      <c r="O37" s="10">
        <f t="shared" si="3"/>
        <v>128378.06139616689</v>
      </c>
      <c r="P37" s="10">
        <f t="shared" si="3"/>
        <v>131587.51293107105</v>
      </c>
      <c r="Q37" s="10">
        <f t="shared" si="3"/>
        <v>134877.20075434781</v>
      </c>
      <c r="R37" s="10"/>
    </row>
    <row r="38" spans="1:18" x14ac:dyDescent="0.3">
      <c r="E38" s="19"/>
      <c r="F38" s="19"/>
      <c r="G38" t="s">
        <v>479</v>
      </c>
      <c r="H38" s="10">
        <f>$E$34*J31</f>
        <v>12000</v>
      </c>
      <c r="I38" s="10">
        <f>(1+$L$30)*H38</f>
        <v>12299.999999999998</v>
      </c>
      <c r="J38" s="10">
        <f t="shared" ref="J38:Q38" si="4">(1+$L$30)*I38</f>
        <v>12607.499999999996</v>
      </c>
      <c r="K38" s="10">
        <f t="shared" si="4"/>
        <v>12922.687499999995</v>
      </c>
      <c r="L38" s="10">
        <f t="shared" si="4"/>
        <v>13245.754687499993</v>
      </c>
      <c r="M38" s="10">
        <f t="shared" si="4"/>
        <v>13576.898554687492</v>
      </c>
      <c r="N38" s="10">
        <f t="shared" si="4"/>
        <v>13916.321018554678</v>
      </c>
      <c r="O38" s="10">
        <f t="shared" si="4"/>
        <v>14264.229044018544</v>
      </c>
      <c r="P38" s="10">
        <f t="shared" si="4"/>
        <v>14620.834770119007</v>
      </c>
      <c r="Q38" s="10">
        <f t="shared" si="4"/>
        <v>14986.355639371981</v>
      </c>
      <c r="R38" s="10"/>
    </row>
    <row r="39" spans="1:18" x14ac:dyDescent="0.3">
      <c r="E39" s="9"/>
      <c r="G39" t="s">
        <v>547</v>
      </c>
      <c r="H39" s="10">
        <f>$H$32/20</f>
        <v>18200</v>
      </c>
      <c r="I39" s="10">
        <f t="shared" ref="I39:Q39" si="5">$H$32/20</f>
        <v>18200</v>
      </c>
      <c r="J39" s="10">
        <f t="shared" si="5"/>
        <v>18200</v>
      </c>
      <c r="K39" s="10">
        <f t="shared" si="5"/>
        <v>18200</v>
      </c>
      <c r="L39" s="10">
        <f t="shared" si="5"/>
        <v>18200</v>
      </c>
      <c r="M39" s="10">
        <f t="shared" si="5"/>
        <v>18200</v>
      </c>
      <c r="N39" s="10">
        <f t="shared" si="5"/>
        <v>18200</v>
      </c>
      <c r="O39" s="10">
        <f t="shared" si="5"/>
        <v>18200</v>
      </c>
      <c r="P39" s="10">
        <f t="shared" si="5"/>
        <v>18200</v>
      </c>
      <c r="Q39" s="10">
        <f t="shared" si="5"/>
        <v>18200</v>
      </c>
      <c r="R39" s="13"/>
    </row>
    <row r="40" spans="1:18" ht="21" x14ac:dyDescent="0.4">
      <c r="E40" s="9" t="s">
        <v>466</v>
      </c>
      <c r="F40" s="75">
        <v>75</v>
      </c>
      <c r="G40" t="s">
        <v>549</v>
      </c>
      <c r="H40" s="10">
        <f>F40*$J$31</f>
        <v>202500</v>
      </c>
      <c r="I40" s="10">
        <f>(1+$L$30)*H40</f>
        <v>207562.49999999997</v>
      </c>
      <c r="J40" s="10">
        <f t="shared" ref="J40:Q40" si="6">(1+$L$30)*I40</f>
        <v>212751.56249999994</v>
      </c>
      <c r="K40" s="10">
        <f t="shared" si="6"/>
        <v>218070.35156249991</v>
      </c>
      <c r="L40" s="10">
        <f t="shared" si="6"/>
        <v>223522.11035156238</v>
      </c>
      <c r="M40" s="10">
        <f t="shared" si="6"/>
        <v>229110.16311035142</v>
      </c>
      <c r="N40" s="10">
        <f t="shared" si="6"/>
        <v>234837.91718811018</v>
      </c>
      <c r="O40" s="10">
        <f t="shared" si="6"/>
        <v>240708.86511781291</v>
      </c>
      <c r="P40" s="10">
        <f t="shared" si="6"/>
        <v>246726.58674575822</v>
      </c>
      <c r="Q40" s="10">
        <f t="shared" si="6"/>
        <v>252894.75141440216</v>
      </c>
      <c r="R40" s="13"/>
    </row>
    <row r="41" spans="1:18" x14ac:dyDescent="0.3">
      <c r="E41" s="9"/>
      <c r="G41" t="s">
        <v>740</v>
      </c>
      <c r="H41" s="10">
        <f>H40-H36-H37-H38-H39</f>
        <v>52834</v>
      </c>
      <c r="I41" s="10">
        <f t="shared" ref="I41:Q41" si="7">I40-I36-I37-I38-I39</f>
        <v>56170.499999999985</v>
      </c>
      <c r="J41" s="10">
        <f t="shared" si="7"/>
        <v>59558.562499999971</v>
      </c>
      <c r="K41" s="10">
        <f t="shared" si="7"/>
        <v>62999.476562499956</v>
      </c>
      <c r="L41" s="10">
        <f t="shared" si="7"/>
        <v>66494.563476562442</v>
      </c>
      <c r="M41" s="10">
        <f t="shared" si="7"/>
        <v>70045.177563476507</v>
      </c>
      <c r="N41" s="10">
        <f t="shared" si="7"/>
        <v>73652.707002563402</v>
      </c>
      <c r="O41" s="10">
        <f t="shared" si="7"/>
        <v>77318.574677627475</v>
      </c>
      <c r="P41" s="10">
        <f t="shared" si="7"/>
        <v>81044.239044568167</v>
      </c>
      <c r="Q41" s="10">
        <f t="shared" si="7"/>
        <v>84831.195020682368</v>
      </c>
      <c r="R41" s="13"/>
    </row>
    <row r="42" spans="1:18" x14ac:dyDescent="0.3">
      <c r="A42" s="1"/>
      <c r="E42" s="19"/>
      <c r="F42" s="9"/>
      <c r="G42" t="s">
        <v>755</v>
      </c>
      <c r="H42" s="10">
        <f>H41+H39-H32+J32+L32-H34</f>
        <v>45554</v>
      </c>
      <c r="I42" s="10">
        <f>I41+I39-I34</f>
        <v>48890.499999999985</v>
      </c>
      <c r="J42" s="10">
        <f>J41+J39-J34</f>
        <v>52278.562499999971</v>
      </c>
      <c r="K42" s="10">
        <f t="shared" ref="K42:Q42" si="8">K41+K39-K34</f>
        <v>55719.476562499956</v>
      </c>
      <c r="L42" s="10">
        <f t="shared" si="8"/>
        <v>59214.563476562442</v>
      </c>
      <c r="M42" s="10">
        <f t="shared" si="8"/>
        <v>62765.177563476507</v>
      </c>
      <c r="N42" s="10">
        <f t="shared" si="8"/>
        <v>66372.707002563402</v>
      </c>
      <c r="O42" s="10">
        <f t="shared" si="8"/>
        <v>70038.574677627475</v>
      </c>
      <c r="P42" s="10">
        <f t="shared" si="8"/>
        <v>73764.239044568167</v>
      </c>
      <c r="Q42" s="10">
        <f t="shared" si="8"/>
        <v>77551.195020682368</v>
      </c>
    </row>
    <row r="43" spans="1:18" ht="21" x14ac:dyDescent="0.4">
      <c r="A43" s="1"/>
      <c r="E43" s="19"/>
      <c r="F43" s="9"/>
      <c r="G43" t="s">
        <v>743</v>
      </c>
      <c r="H43" s="48">
        <v>0.1</v>
      </c>
      <c r="I43" s="53">
        <f>NPV(H43,H42:Q42)-J32</f>
        <v>250065.58705688635</v>
      </c>
      <c r="J43" s="10"/>
      <c r="K43" s="10"/>
      <c r="L43" s="10"/>
      <c r="M43" s="10"/>
      <c r="N43" s="10"/>
      <c r="O43" s="10"/>
      <c r="P43" s="10"/>
      <c r="Q43" s="10"/>
    </row>
    <row r="44" spans="1:18" x14ac:dyDescent="0.3">
      <c r="A44" s="1">
        <v>60</v>
      </c>
      <c r="B44" t="s">
        <v>779</v>
      </c>
      <c r="C44">
        <v>100</v>
      </c>
      <c r="D44" t="s">
        <v>780</v>
      </c>
      <c r="E44" s="19"/>
      <c r="F44" s="9"/>
      <c r="H44" s="59">
        <f>$A$44*$C$44*H40/$J$31/1000</f>
        <v>450</v>
      </c>
      <c r="I44" s="59">
        <f t="shared" ref="I44:Q44" si="9">$A$44*$C$44*I40/$J$31/1000</f>
        <v>461.24999999999989</v>
      </c>
      <c r="J44" s="59">
        <f t="shared" si="9"/>
        <v>472.78124999999989</v>
      </c>
      <c r="K44" s="59">
        <f t="shared" si="9"/>
        <v>484.60078124999984</v>
      </c>
      <c r="L44" s="59">
        <f t="shared" si="9"/>
        <v>496.7158007812497</v>
      </c>
      <c r="M44" s="59">
        <f t="shared" si="9"/>
        <v>509.13369580078091</v>
      </c>
      <c r="N44" s="59">
        <f t="shared" si="9"/>
        <v>521.86203819580044</v>
      </c>
      <c r="O44" s="59">
        <f t="shared" si="9"/>
        <v>534.90858915069532</v>
      </c>
      <c r="P44" s="59">
        <f t="shared" si="9"/>
        <v>548.2813038794626</v>
      </c>
      <c r="Q44" s="59">
        <f t="shared" si="9"/>
        <v>561.98833647644926</v>
      </c>
      <c r="R44" s="60">
        <f>SUM(H44:Q44)</f>
        <v>5041.5217955344378</v>
      </c>
    </row>
    <row r="45" spans="1:18" ht="21" x14ac:dyDescent="0.4">
      <c r="A45" s="15" t="s">
        <v>448</v>
      </c>
      <c r="E45" s="19"/>
      <c r="F45" s="9"/>
      <c r="G45" t="s">
        <v>751</v>
      </c>
      <c r="H45" s="49">
        <f>0.91*(N7+D16)</f>
        <v>1450792.3885000001</v>
      </c>
      <c r="I45" s="10" t="s">
        <v>487</v>
      </c>
      <c r="J45" s="53">
        <f>J31</f>
        <v>2700</v>
      </c>
      <c r="K45" s="10" t="s">
        <v>753</v>
      </c>
      <c r="L45" s="10"/>
      <c r="M45" s="10"/>
      <c r="N45" s="55">
        <v>2014</v>
      </c>
      <c r="O45" s="55">
        <v>2023</v>
      </c>
      <c r="P45" s="10"/>
      <c r="Q45" s="10"/>
    </row>
    <row r="46" spans="1:18" ht="21" x14ac:dyDescent="0.4">
      <c r="A46" s="15"/>
      <c r="E46" s="19"/>
      <c r="F46" s="9"/>
      <c r="G46" t="s">
        <v>756</v>
      </c>
      <c r="H46" s="49">
        <f>H45-H47</f>
        <v>1015554.6719500001</v>
      </c>
      <c r="I46" s="10"/>
      <c r="J46" s="10" t="s">
        <v>760</v>
      </c>
      <c r="K46" s="10"/>
      <c r="L46" s="51">
        <v>96.3</v>
      </c>
      <c r="M46" s="10" t="s">
        <v>466</v>
      </c>
      <c r="N46" s="55">
        <f>H56/J45</f>
        <v>96.3</v>
      </c>
      <c r="O46" s="55">
        <f>Q56/J45</f>
        <v>120.26550400596015</v>
      </c>
      <c r="P46" s="10"/>
      <c r="Q46" s="10"/>
    </row>
    <row r="47" spans="1:18" ht="21" x14ac:dyDescent="0.4">
      <c r="A47" s="15"/>
      <c r="E47" s="19"/>
      <c r="F47" s="9"/>
      <c r="G47" t="s">
        <v>749</v>
      </c>
      <c r="H47" s="49">
        <f>0.3*H45</f>
        <v>435237.71655000001</v>
      </c>
      <c r="I47" s="10"/>
      <c r="J47" t="s">
        <v>757</v>
      </c>
      <c r="L47" s="48">
        <v>2.5000000000000001E-2</v>
      </c>
      <c r="M47" t="s">
        <v>754</v>
      </c>
      <c r="N47" s="10"/>
      <c r="O47" s="10"/>
      <c r="P47" s="10"/>
      <c r="Q47" s="10"/>
    </row>
    <row r="48" spans="1:18" x14ac:dyDescent="0.3">
      <c r="A48" s="15"/>
      <c r="B48" s="15"/>
      <c r="G48" t="s">
        <v>752</v>
      </c>
      <c r="H48">
        <v>2014</v>
      </c>
      <c r="I48">
        <v>2015</v>
      </c>
      <c r="J48">
        <v>2016</v>
      </c>
      <c r="K48">
        <v>2017</v>
      </c>
      <c r="L48">
        <v>2018</v>
      </c>
      <c r="M48">
        <v>2019</v>
      </c>
      <c r="N48">
        <v>2020</v>
      </c>
      <c r="O48">
        <v>2021</v>
      </c>
      <c r="P48">
        <v>2022</v>
      </c>
      <c r="Q48">
        <v>2023</v>
      </c>
    </row>
    <row r="49" spans="1:18" x14ac:dyDescent="0.3">
      <c r="A49" t="s">
        <v>475</v>
      </c>
      <c r="C49" t="s">
        <v>466</v>
      </c>
      <c r="E49" s="9">
        <f>F7/D14/E28</f>
        <v>12.407407407407407</v>
      </c>
      <c r="F49" s="9">
        <f>N7/D14/E28</f>
        <v>24.074074074074073</v>
      </c>
      <c r="G49" t="s">
        <v>750</v>
      </c>
      <c r="H49" s="10">
        <f>$H$46/10</f>
        <v>101555.467195</v>
      </c>
      <c r="I49" s="10">
        <f t="shared" ref="I49:Q49" si="10">$H$46/10</f>
        <v>101555.467195</v>
      </c>
      <c r="J49" s="10">
        <f>$H$46/10</f>
        <v>101555.467195</v>
      </c>
      <c r="K49" s="10">
        <f t="shared" si="10"/>
        <v>101555.467195</v>
      </c>
      <c r="L49" s="10">
        <f t="shared" si="10"/>
        <v>101555.467195</v>
      </c>
      <c r="M49" s="10">
        <f t="shared" si="10"/>
        <v>101555.467195</v>
      </c>
      <c r="N49" s="10">
        <f t="shared" si="10"/>
        <v>101555.467195</v>
      </c>
      <c r="O49" s="10">
        <f t="shared" si="10"/>
        <v>101555.467195</v>
      </c>
      <c r="P49" s="10">
        <f t="shared" si="10"/>
        <v>101555.467195</v>
      </c>
      <c r="Q49" s="10">
        <f t="shared" si="10"/>
        <v>101555.467195</v>
      </c>
      <c r="R49" s="10"/>
    </row>
    <row r="50" spans="1:18" x14ac:dyDescent="0.3">
      <c r="E50" s="13"/>
      <c r="F50" s="13"/>
      <c r="G50" t="s">
        <v>732</v>
      </c>
      <c r="H50" s="13">
        <f>H46-H49</f>
        <v>913999.20475500007</v>
      </c>
      <c r="I50" s="13">
        <f>H50-I49</f>
        <v>812443.73756000004</v>
      </c>
      <c r="J50" s="13">
        <f t="shared" ref="J50:Q50" si="11">I50-J49</f>
        <v>710888.270365</v>
      </c>
      <c r="K50" s="13">
        <f t="shared" si="11"/>
        <v>609332.80316999997</v>
      </c>
      <c r="L50" s="13">
        <f t="shared" si="11"/>
        <v>507777.33597499994</v>
      </c>
      <c r="M50" s="13">
        <f t="shared" si="11"/>
        <v>406221.8687799999</v>
      </c>
      <c r="N50" s="13">
        <f t="shared" si="11"/>
        <v>304666.40158499987</v>
      </c>
      <c r="O50" s="13">
        <f t="shared" si="11"/>
        <v>203110.93438999986</v>
      </c>
      <c r="P50" s="13">
        <f t="shared" si="11"/>
        <v>101555.46719499986</v>
      </c>
      <c r="Q50" s="13">
        <f t="shared" si="11"/>
        <v>-1.4551915228366852E-10</v>
      </c>
      <c r="R50" s="13"/>
    </row>
    <row r="51" spans="1:18" x14ac:dyDescent="0.3">
      <c r="E51" s="13"/>
      <c r="F51" s="13"/>
      <c r="G51" t="s">
        <v>733</v>
      </c>
      <c r="H51" s="13">
        <f>$F$17*H50</f>
        <v>45699.960237750005</v>
      </c>
      <c r="I51" s="13">
        <f>$F$17*I50</f>
        <v>40622.186878000008</v>
      </c>
      <c r="J51" s="13">
        <f t="shared" ref="J51:P51" si="12">$F$17*J50</f>
        <v>35544.413518250003</v>
      </c>
      <c r="K51" s="13">
        <f t="shared" si="12"/>
        <v>30466.640158499999</v>
      </c>
      <c r="L51" s="13">
        <f t="shared" si="12"/>
        <v>25388.866798749998</v>
      </c>
      <c r="M51" s="13">
        <f t="shared" si="12"/>
        <v>20311.093438999997</v>
      </c>
      <c r="N51" s="13">
        <f t="shared" si="12"/>
        <v>15233.320079249994</v>
      </c>
      <c r="O51" s="13">
        <f t="shared" si="12"/>
        <v>10155.546719499995</v>
      </c>
      <c r="P51" s="13">
        <f t="shared" si="12"/>
        <v>5077.7733597499937</v>
      </c>
      <c r="Q51" s="13">
        <v>0</v>
      </c>
      <c r="R51" s="13"/>
    </row>
    <row r="52" spans="1:18" x14ac:dyDescent="0.3">
      <c r="E52" s="9"/>
      <c r="F52" s="9"/>
      <c r="G52" t="s">
        <v>454</v>
      </c>
      <c r="H52" s="13">
        <f>$E$53*$J$45</f>
        <v>73143</v>
      </c>
      <c r="I52" s="13">
        <f>(1+$L$47)*H52</f>
        <v>74971.574999999997</v>
      </c>
      <c r="J52" s="13">
        <f t="shared" ref="J52:Q53" si="13">(1+$L$47)*I52</f>
        <v>76845.86437499999</v>
      </c>
      <c r="K52" s="13">
        <f t="shared" si="13"/>
        <v>78767.010984374981</v>
      </c>
      <c r="L52" s="13">
        <f t="shared" si="13"/>
        <v>80736.186258984351</v>
      </c>
      <c r="M52" s="13">
        <f t="shared" si="13"/>
        <v>82754.590915458946</v>
      </c>
      <c r="N52" s="13">
        <f t="shared" si="13"/>
        <v>84823.455688345406</v>
      </c>
      <c r="O52" s="13">
        <f t="shared" si="13"/>
        <v>86944.042080554034</v>
      </c>
      <c r="P52" s="13">
        <f t="shared" si="13"/>
        <v>89117.643132567871</v>
      </c>
      <c r="Q52" s="13">
        <f t="shared" si="13"/>
        <v>91345.584210882065</v>
      </c>
      <c r="R52" s="13"/>
    </row>
    <row r="53" spans="1:18" x14ac:dyDescent="0.3">
      <c r="A53" t="s">
        <v>454</v>
      </c>
      <c r="C53" t="s">
        <v>466</v>
      </c>
      <c r="E53">
        <f>D21*E18</f>
        <v>27.09</v>
      </c>
      <c r="G53" t="s">
        <v>482</v>
      </c>
      <c r="H53" s="13">
        <f>E55*J31</f>
        <v>5400</v>
      </c>
      <c r="I53" s="13">
        <f>(1+$L$47)*H53</f>
        <v>5534.9999999999991</v>
      </c>
      <c r="J53" s="13">
        <f t="shared" si="13"/>
        <v>5673.3749999999982</v>
      </c>
      <c r="K53" s="13">
        <f t="shared" si="13"/>
        <v>5815.2093749999976</v>
      </c>
      <c r="L53" s="13">
        <f t="shared" si="13"/>
        <v>5960.5896093749971</v>
      </c>
      <c r="M53" s="13">
        <f t="shared" si="13"/>
        <v>6109.6043496093716</v>
      </c>
      <c r="N53" s="13">
        <f t="shared" si="13"/>
        <v>6262.3444583496057</v>
      </c>
      <c r="O53" s="13">
        <f t="shared" si="13"/>
        <v>6418.9030698083452</v>
      </c>
      <c r="P53" s="13">
        <f t="shared" si="13"/>
        <v>6579.3756465535535</v>
      </c>
      <c r="Q53" s="13">
        <f t="shared" si="13"/>
        <v>6743.8600377173916</v>
      </c>
    </row>
    <row r="54" spans="1:18" x14ac:dyDescent="0.3">
      <c r="A54" t="s">
        <v>481</v>
      </c>
      <c r="C54" t="s">
        <v>466</v>
      </c>
      <c r="E54" s="9">
        <f>D16/15/E28</f>
        <v>7.2661074074074063</v>
      </c>
      <c r="G54" t="s">
        <v>759</v>
      </c>
      <c r="H54" s="13">
        <f>$H$45/20</f>
        <v>72539.619425000012</v>
      </c>
      <c r="I54" s="13">
        <f t="shared" ref="I54:Q54" si="14">$H$45/20</f>
        <v>72539.619425000012</v>
      </c>
      <c r="J54" s="13">
        <f t="shared" si="14"/>
        <v>72539.619425000012</v>
      </c>
      <c r="K54" s="13">
        <f t="shared" si="14"/>
        <v>72539.619425000012</v>
      </c>
      <c r="L54" s="13">
        <f t="shared" si="14"/>
        <v>72539.619425000012</v>
      </c>
      <c r="M54" s="13">
        <f t="shared" si="14"/>
        <v>72539.619425000012</v>
      </c>
      <c r="N54" s="13">
        <f t="shared" si="14"/>
        <v>72539.619425000012</v>
      </c>
      <c r="O54" s="13">
        <f t="shared" si="14"/>
        <v>72539.619425000012</v>
      </c>
      <c r="P54" s="13">
        <f t="shared" si="14"/>
        <v>72539.619425000012</v>
      </c>
      <c r="Q54" s="13">
        <f t="shared" si="14"/>
        <v>72539.619425000012</v>
      </c>
    </row>
    <row r="55" spans="1:18" x14ac:dyDescent="0.3">
      <c r="A55" t="s">
        <v>482</v>
      </c>
      <c r="C55" t="s">
        <v>466</v>
      </c>
      <c r="E55" s="9">
        <v>2</v>
      </c>
      <c r="G55" t="s">
        <v>758</v>
      </c>
      <c r="H55" s="13">
        <f>H51+H52+H53+H54</f>
        <v>196782.57966275001</v>
      </c>
      <c r="I55" s="13">
        <f t="shared" ref="I55:Q55" si="15">I51+I52+I53+I54</f>
        <v>193668.38130300003</v>
      </c>
      <c r="J55" s="13">
        <f t="shared" si="15"/>
        <v>190603.27231825</v>
      </c>
      <c r="K55" s="13">
        <f t="shared" si="15"/>
        <v>187588.47994287498</v>
      </c>
      <c r="L55" s="13">
        <f t="shared" si="15"/>
        <v>184625.26209210936</v>
      </c>
      <c r="M55" s="13">
        <f t="shared" si="15"/>
        <v>181714.90812906832</v>
      </c>
      <c r="N55" s="13">
        <f t="shared" si="15"/>
        <v>178858.739650945</v>
      </c>
      <c r="O55" s="13">
        <f t="shared" si="15"/>
        <v>176058.11129486241</v>
      </c>
      <c r="P55" s="13">
        <f t="shared" si="15"/>
        <v>173314.41156387143</v>
      </c>
      <c r="Q55" s="13">
        <f t="shared" si="15"/>
        <v>170629.06367359945</v>
      </c>
    </row>
    <row r="56" spans="1:18" x14ac:dyDescent="0.3">
      <c r="E56" s="19"/>
      <c r="F56" s="19"/>
      <c r="G56" t="s">
        <v>549</v>
      </c>
      <c r="H56" s="13">
        <f>$J$45*$L$46</f>
        <v>260010</v>
      </c>
      <c r="I56" s="13">
        <f>H56*(1+$L$47)</f>
        <v>266510.25</v>
      </c>
      <c r="J56" s="13">
        <f t="shared" ref="J56:Q56" si="16">I56*(1+$L$47)</f>
        <v>273173.00624999998</v>
      </c>
      <c r="K56" s="13">
        <f t="shared" si="16"/>
        <v>280002.33140624996</v>
      </c>
      <c r="L56" s="13">
        <f t="shared" si="16"/>
        <v>287002.38969140616</v>
      </c>
      <c r="M56" s="13">
        <f t="shared" si="16"/>
        <v>294177.44943369128</v>
      </c>
      <c r="N56" s="13">
        <f t="shared" si="16"/>
        <v>301531.88566953351</v>
      </c>
      <c r="O56" s="13">
        <f t="shared" si="16"/>
        <v>309070.18281127181</v>
      </c>
      <c r="P56" s="13">
        <f t="shared" si="16"/>
        <v>316796.93738155358</v>
      </c>
      <c r="Q56" s="13">
        <f t="shared" si="16"/>
        <v>324716.86081609241</v>
      </c>
      <c r="R56" s="13"/>
    </row>
    <row r="57" spans="1:18" x14ac:dyDescent="0.3">
      <c r="G57" t="s">
        <v>740</v>
      </c>
      <c r="H57" s="10">
        <f>H56-H55</f>
        <v>63227.420337249991</v>
      </c>
      <c r="I57" s="10">
        <f t="shared" ref="I57:Q57" si="17">I56-I55</f>
        <v>72841.868696999969</v>
      </c>
      <c r="J57" s="10">
        <f t="shared" si="17"/>
        <v>82569.733931749972</v>
      </c>
      <c r="K57" s="10">
        <f t="shared" si="17"/>
        <v>92413.851463374973</v>
      </c>
      <c r="L57" s="10">
        <f t="shared" si="17"/>
        <v>102377.1275992968</v>
      </c>
      <c r="M57" s="10">
        <f t="shared" si="17"/>
        <v>112462.54130462295</v>
      </c>
      <c r="N57" s="10">
        <f t="shared" si="17"/>
        <v>122673.14601858851</v>
      </c>
      <c r="O57" s="10">
        <f t="shared" si="17"/>
        <v>133012.0715164094</v>
      </c>
      <c r="P57" s="10">
        <f t="shared" si="17"/>
        <v>143482.52581768215</v>
      </c>
      <c r="Q57" s="10">
        <f t="shared" si="17"/>
        <v>154087.79714249296</v>
      </c>
    </row>
    <row r="58" spans="1:18" x14ac:dyDescent="0.3">
      <c r="A58" s="15"/>
      <c r="B58" s="15"/>
      <c r="C58" s="15"/>
      <c r="E58" s="18"/>
      <c r="G58" t="s">
        <v>755</v>
      </c>
      <c r="H58" s="10">
        <f>H57+H54-H45+H46+H47-H49</f>
        <v>34211.57256724991</v>
      </c>
      <c r="I58" s="10">
        <f>I57+I54-I49</f>
        <v>43826.020926999976</v>
      </c>
      <c r="J58" s="10">
        <f t="shared" ref="J58:Q58" si="18">J57+J54-J49</f>
        <v>53553.886161749979</v>
      </c>
      <c r="K58" s="10">
        <f>K57+K54-K49</f>
        <v>63398.00369337498</v>
      </c>
      <c r="L58" s="10">
        <f t="shared" si="18"/>
        <v>73361.279829296807</v>
      </c>
      <c r="M58" s="10">
        <f t="shared" si="18"/>
        <v>83446.693534622958</v>
      </c>
      <c r="N58" s="10">
        <f t="shared" si="18"/>
        <v>93657.298248588515</v>
      </c>
      <c r="O58" s="10">
        <f t="shared" si="18"/>
        <v>103996.22374640941</v>
      </c>
      <c r="P58" s="10">
        <f t="shared" si="18"/>
        <v>114466.67804768216</v>
      </c>
      <c r="Q58" s="10">
        <f t="shared" si="18"/>
        <v>125071.94937249296</v>
      </c>
    </row>
    <row r="59" spans="1:18" x14ac:dyDescent="0.3">
      <c r="A59" s="15"/>
      <c r="B59" s="15"/>
      <c r="C59" s="15"/>
      <c r="E59" s="18"/>
      <c r="G59" t="s">
        <v>743</v>
      </c>
      <c r="H59" s="45">
        <v>0.1</v>
      </c>
      <c r="I59" s="54">
        <f>NPV(H59,H58:Q58)-H47</f>
        <v>1617.8530686851591</v>
      </c>
      <c r="J59" s="10"/>
      <c r="K59" s="10"/>
      <c r="L59" s="10"/>
      <c r="M59" s="10"/>
      <c r="N59" s="10"/>
      <c r="O59" s="10"/>
      <c r="P59" s="10"/>
      <c r="Q59" s="10"/>
    </row>
    <row r="60" spans="1:18" x14ac:dyDescent="0.3">
      <c r="A60" s="15"/>
      <c r="B60" s="15"/>
      <c r="C60" s="15"/>
      <c r="E60" s="18"/>
      <c r="H60" s="59">
        <f>$A$44*$C$44*H56/$J$31/1000</f>
        <v>577.79999999999995</v>
      </c>
      <c r="I60" s="59">
        <f t="shared" ref="I60:Q60" si="19">$A$44*$C$44*I56/$J$31/1000</f>
        <v>592.245</v>
      </c>
      <c r="J60" s="59">
        <f>$A$44*$C$44*J56/$J$31/1000</f>
        <v>607.05112499999984</v>
      </c>
      <c r="K60" s="59">
        <f t="shared" si="19"/>
        <v>622.22740312499991</v>
      </c>
      <c r="L60" s="59">
        <f t="shared" si="19"/>
        <v>637.78308820312486</v>
      </c>
      <c r="M60" s="59">
        <f t="shared" si="19"/>
        <v>653.72766540820282</v>
      </c>
      <c r="N60" s="59">
        <f t="shared" si="19"/>
        <v>670.07085704340784</v>
      </c>
      <c r="O60" s="59">
        <f t="shared" si="19"/>
        <v>686.82262846949288</v>
      </c>
      <c r="P60" s="59">
        <f t="shared" si="19"/>
        <v>703.99319418123014</v>
      </c>
      <c r="Q60" s="59">
        <f t="shared" si="19"/>
        <v>721.59302403576089</v>
      </c>
      <c r="R60" s="60">
        <f>SUM(H60:Q60)</f>
        <v>6473.3139854662195</v>
      </c>
    </row>
    <row r="61" spans="1:18" x14ac:dyDescent="0.3">
      <c r="A61" s="15"/>
      <c r="B61" s="15"/>
      <c r="C61" s="15"/>
      <c r="E61" s="18"/>
      <c r="H61" s="27"/>
      <c r="I61" s="10"/>
      <c r="J61" s="10"/>
      <c r="K61" s="10"/>
      <c r="L61" s="10"/>
      <c r="M61" s="10"/>
      <c r="N61" s="10"/>
      <c r="O61" s="10"/>
      <c r="P61" s="10"/>
      <c r="Q61" s="10"/>
    </row>
    <row r="62" spans="1:18" x14ac:dyDescent="0.3">
      <c r="A62" s="15"/>
      <c r="B62" s="15"/>
      <c r="C62" s="15"/>
      <c r="E62" s="18"/>
      <c r="H62" s="27"/>
      <c r="I62" s="10"/>
      <c r="J62" s="10"/>
      <c r="K62" s="10"/>
      <c r="L62" s="10"/>
      <c r="M62" s="10"/>
      <c r="N62" s="10"/>
      <c r="O62" s="10"/>
      <c r="P62" s="10"/>
      <c r="Q62" s="10"/>
    </row>
    <row r="63" spans="1:18" x14ac:dyDescent="0.3">
      <c r="A63" s="15"/>
      <c r="B63" s="15"/>
      <c r="C63" s="15"/>
      <c r="E63" s="18"/>
      <c r="H63" s="27"/>
      <c r="I63" s="10"/>
      <c r="J63" s="10"/>
      <c r="K63" s="10"/>
      <c r="L63" s="10"/>
      <c r="M63" s="10"/>
      <c r="N63" s="10"/>
      <c r="O63" s="10"/>
      <c r="P63" s="10"/>
      <c r="Q63" s="10"/>
    </row>
    <row r="64" spans="1:18" x14ac:dyDescent="0.3">
      <c r="A64" s="15"/>
      <c r="B64" s="15"/>
      <c r="C64" s="15"/>
      <c r="E64" s="18"/>
      <c r="H64" s="27"/>
      <c r="I64" s="10"/>
      <c r="J64" s="10"/>
      <c r="K64" s="10"/>
      <c r="L64" s="10"/>
      <c r="M64" s="10"/>
      <c r="N64" s="10"/>
      <c r="O64" s="10"/>
      <c r="P64" s="10"/>
      <c r="Q64" s="10"/>
    </row>
    <row r="65" spans="1:18" x14ac:dyDescent="0.3">
      <c r="A65" s="15"/>
      <c r="B65" s="15"/>
      <c r="C65" s="15"/>
      <c r="E65" s="18"/>
      <c r="H65" s="27"/>
      <c r="I65" s="10"/>
      <c r="J65" s="10"/>
      <c r="K65" s="10"/>
      <c r="L65" s="10"/>
      <c r="M65" s="10"/>
      <c r="N65" s="10"/>
      <c r="O65" s="10"/>
      <c r="P65" s="10"/>
      <c r="Q65" s="10"/>
    </row>
    <row r="66" spans="1:18" ht="21" x14ac:dyDescent="0.4">
      <c r="A66" s="16" t="s">
        <v>450</v>
      </c>
      <c r="G66" t="s">
        <v>751</v>
      </c>
      <c r="H66" s="49">
        <f>0.91*(N9+D16)</f>
        <v>1107722.3885000001</v>
      </c>
      <c r="I66" s="10" t="s">
        <v>487</v>
      </c>
      <c r="J66" s="10">
        <v>2700</v>
      </c>
      <c r="K66" s="10" t="s">
        <v>753</v>
      </c>
      <c r="L66" s="10"/>
      <c r="M66" s="10"/>
      <c r="N66" s="55">
        <v>2014</v>
      </c>
      <c r="O66" s="55">
        <v>2023</v>
      </c>
      <c r="P66" s="10"/>
      <c r="Q66" s="10"/>
    </row>
    <row r="67" spans="1:18" ht="21" x14ac:dyDescent="0.4">
      <c r="A67" t="s">
        <v>475</v>
      </c>
      <c r="C67" t="s">
        <v>466</v>
      </c>
      <c r="E67" s="9">
        <f>F9/D14/E28</f>
        <v>3.7037037037037037</v>
      </c>
      <c r="F67" s="9">
        <f>N9/D14/E28</f>
        <v>17.092592592592592</v>
      </c>
      <c r="G67" t="s">
        <v>756</v>
      </c>
      <c r="H67" s="49">
        <f>H66-H68</f>
        <v>775405.67195000011</v>
      </c>
      <c r="I67" s="10"/>
      <c r="J67" s="10" t="s">
        <v>760</v>
      </c>
      <c r="K67" s="10"/>
      <c r="L67" s="51">
        <v>85</v>
      </c>
      <c r="M67" s="10" t="s">
        <v>466</v>
      </c>
      <c r="N67" s="55">
        <f>H77/J66</f>
        <v>85</v>
      </c>
      <c r="O67" s="55">
        <f>Q77/J66</f>
        <v>106.15335244555153</v>
      </c>
      <c r="P67" s="10"/>
      <c r="Q67" s="10"/>
    </row>
    <row r="68" spans="1:18" ht="21" x14ac:dyDescent="0.4">
      <c r="A68" t="s">
        <v>481</v>
      </c>
      <c r="C68" t="s">
        <v>466</v>
      </c>
      <c r="E68" s="9">
        <f>D16/D14/E28</f>
        <v>5.4495805555555554</v>
      </c>
      <c r="G68" t="s">
        <v>749</v>
      </c>
      <c r="H68" s="49">
        <f>0.3*H66</f>
        <v>332316.71655000001</v>
      </c>
      <c r="I68" s="10"/>
      <c r="J68" t="s">
        <v>757</v>
      </c>
      <c r="L68" s="48">
        <v>2.5000000000000001E-2</v>
      </c>
      <c r="M68" t="s">
        <v>754</v>
      </c>
      <c r="N68" s="10"/>
      <c r="O68" s="10"/>
      <c r="P68" s="10"/>
      <c r="Q68" s="10"/>
    </row>
    <row r="69" spans="1:18" x14ac:dyDescent="0.3">
      <c r="E69" s="13"/>
      <c r="G69" t="s">
        <v>752</v>
      </c>
      <c r="H69">
        <v>2014</v>
      </c>
      <c r="I69">
        <v>2015</v>
      </c>
      <c r="J69">
        <v>2016</v>
      </c>
      <c r="K69">
        <v>2017</v>
      </c>
      <c r="L69">
        <v>2018</v>
      </c>
      <c r="M69">
        <v>2019</v>
      </c>
      <c r="N69">
        <v>2020</v>
      </c>
      <c r="O69">
        <v>2021</v>
      </c>
      <c r="P69">
        <v>2022</v>
      </c>
      <c r="Q69">
        <v>2023</v>
      </c>
      <c r="R69" s="10"/>
    </row>
    <row r="70" spans="1:18" x14ac:dyDescent="0.3">
      <c r="E70" s="9"/>
      <c r="F70" s="9"/>
      <c r="G70" t="s">
        <v>750</v>
      </c>
      <c r="H70" s="10">
        <f>$H$67/10</f>
        <v>77540.567195000011</v>
      </c>
      <c r="I70" s="10">
        <f t="shared" ref="I70:Q70" si="20">$H$67/10</f>
        <v>77540.567195000011</v>
      </c>
      <c r="J70" s="10">
        <f t="shared" si="20"/>
        <v>77540.567195000011</v>
      </c>
      <c r="K70" s="10">
        <f t="shared" si="20"/>
        <v>77540.567195000011</v>
      </c>
      <c r="L70" s="10">
        <f t="shared" si="20"/>
        <v>77540.567195000011</v>
      </c>
      <c r="M70" s="10">
        <f t="shared" si="20"/>
        <v>77540.567195000011</v>
      </c>
      <c r="N70" s="10">
        <f t="shared" si="20"/>
        <v>77540.567195000011</v>
      </c>
      <c r="O70" s="10">
        <f t="shared" si="20"/>
        <v>77540.567195000011</v>
      </c>
      <c r="P70" s="10">
        <f t="shared" si="20"/>
        <v>77540.567195000011</v>
      </c>
      <c r="Q70" s="10">
        <f t="shared" si="20"/>
        <v>77540.567195000011</v>
      </c>
      <c r="R70" s="13"/>
    </row>
    <row r="71" spans="1:18" x14ac:dyDescent="0.3">
      <c r="E71" s="13"/>
      <c r="G71" t="s">
        <v>732</v>
      </c>
      <c r="H71" s="13">
        <f>H67-H70</f>
        <v>697865.10475500009</v>
      </c>
      <c r="I71" s="13">
        <f>H71-I70</f>
        <v>620324.53756000008</v>
      </c>
      <c r="J71" s="13">
        <f t="shared" ref="J71:Q71" si="21">I71-J70</f>
        <v>542783.97036500007</v>
      </c>
      <c r="K71" s="13">
        <f t="shared" si="21"/>
        <v>465243.40317000006</v>
      </c>
      <c r="L71" s="13">
        <f t="shared" si="21"/>
        <v>387702.83597500005</v>
      </c>
      <c r="M71" s="13">
        <f t="shared" si="21"/>
        <v>310162.26878000004</v>
      </c>
      <c r="N71" s="13">
        <f t="shared" si="21"/>
        <v>232621.70158500003</v>
      </c>
      <c r="O71" s="13">
        <f t="shared" si="21"/>
        <v>155081.13439000002</v>
      </c>
      <c r="P71" s="13">
        <f t="shared" si="21"/>
        <v>77540.567195000011</v>
      </c>
      <c r="Q71" s="13">
        <f t="shared" si="21"/>
        <v>0</v>
      </c>
      <c r="R71" s="13"/>
    </row>
    <row r="72" spans="1:18" x14ac:dyDescent="0.3">
      <c r="A72" t="s">
        <v>483</v>
      </c>
      <c r="C72" t="s">
        <v>466</v>
      </c>
      <c r="E72">
        <v>2</v>
      </c>
      <c r="G72" t="s">
        <v>733</v>
      </c>
      <c r="H72" s="13">
        <f>$F$17*H71</f>
        <v>34893.255237750003</v>
      </c>
      <c r="I72" s="13">
        <f>$F$17*I71</f>
        <v>31016.226878000005</v>
      </c>
      <c r="J72" s="13">
        <f t="shared" ref="J72:P72" si="22">$F$17*J71</f>
        <v>27139.198518250007</v>
      </c>
      <c r="K72" s="13">
        <f t="shared" si="22"/>
        <v>23262.170158500005</v>
      </c>
      <c r="L72" s="13">
        <f t="shared" si="22"/>
        <v>19385.141798750003</v>
      </c>
      <c r="M72" s="13">
        <f t="shared" si="22"/>
        <v>15508.113439000002</v>
      </c>
      <c r="N72" s="13">
        <f t="shared" si="22"/>
        <v>11631.085079250002</v>
      </c>
      <c r="O72" s="13">
        <f t="shared" si="22"/>
        <v>7754.0567195000012</v>
      </c>
      <c r="P72" s="13">
        <f t="shared" si="22"/>
        <v>3877.0283597500006</v>
      </c>
      <c r="Q72" s="13">
        <v>0</v>
      </c>
      <c r="R72" s="13"/>
    </row>
    <row r="73" spans="1:18" x14ac:dyDescent="0.3">
      <c r="A73" t="s">
        <v>454</v>
      </c>
      <c r="C73" t="s">
        <v>466</v>
      </c>
      <c r="E73">
        <f>D21*E19</f>
        <v>31.604999999999997</v>
      </c>
      <c r="G73" t="s">
        <v>454</v>
      </c>
      <c r="H73" s="13">
        <f>$E$73*$J$66</f>
        <v>85333.499999999985</v>
      </c>
      <c r="I73" s="13">
        <f>(1+$L$68)*H73</f>
        <v>87466.83749999998</v>
      </c>
      <c r="J73" s="13">
        <f t="shared" ref="J73:Q73" si="23">(1+$L$68)*I73</f>
        <v>89653.508437499971</v>
      </c>
      <c r="K73" s="13">
        <f t="shared" si="23"/>
        <v>91894.846148437457</v>
      </c>
      <c r="L73" s="13">
        <f t="shared" si="23"/>
        <v>94192.21730214839</v>
      </c>
      <c r="M73" s="13">
        <f t="shared" si="23"/>
        <v>96547.022734702099</v>
      </c>
      <c r="N73" s="13">
        <f t="shared" si="23"/>
        <v>98960.698303069643</v>
      </c>
      <c r="O73" s="13">
        <f t="shared" si="23"/>
        <v>101434.71576064637</v>
      </c>
      <c r="P73" s="13">
        <f t="shared" si="23"/>
        <v>103970.58365466252</v>
      </c>
      <c r="Q73" s="13">
        <f t="shared" si="23"/>
        <v>106569.84824602907</v>
      </c>
    </row>
    <row r="74" spans="1:18" x14ac:dyDescent="0.3">
      <c r="E74" s="19"/>
      <c r="F74" s="19"/>
      <c r="G74" t="s">
        <v>482</v>
      </c>
      <c r="H74" s="13">
        <f>E72*J66</f>
        <v>5400</v>
      </c>
      <c r="I74" s="13">
        <f>(1+$L$47)*H74</f>
        <v>5534.9999999999991</v>
      </c>
      <c r="J74" s="13">
        <f t="shared" ref="J74:Q74" si="24">(1+$L$47)*I74</f>
        <v>5673.3749999999982</v>
      </c>
      <c r="K74" s="13">
        <f t="shared" si="24"/>
        <v>5815.2093749999976</v>
      </c>
      <c r="L74" s="13">
        <f t="shared" si="24"/>
        <v>5960.5896093749971</v>
      </c>
      <c r="M74" s="13">
        <f t="shared" si="24"/>
        <v>6109.6043496093716</v>
      </c>
      <c r="N74" s="13">
        <f t="shared" si="24"/>
        <v>6262.3444583496057</v>
      </c>
      <c r="O74" s="13">
        <f t="shared" si="24"/>
        <v>6418.9030698083452</v>
      </c>
      <c r="P74" s="13">
        <f t="shared" si="24"/>
        <v>6579.3756465535535</v>
      </c>
      <c r="Q74" s="13">
        <f t="shared" si="24"/>
        <v>6743.8600377173916</v>
      </c>
    </row>
    <row r="75" spans="1:18" x14ac:dyDescent="0.3">
      <c r="A75" s="43" t="s">
        <v>761</v>
      </c>
      <c r="B75" s="43"/>
      <c r="C75" s="43"/>
      <c r="D75" s="43"/>
      <c r="E75" s="52">
        <v>15</v>
      </c>
      <c r="F75" s="19"/>
      <c r="G75" t="s">
        <v>759</v>
      </c>
      <c r="H75" s="13">
        <f>$H$66/$E$75</f>
        <v>73848.159233333339</v>
      </c>
      <c r="I75" s="13">
        <f t="shared" ref="I75:Q75" si="25">$H$66/$E$75</f>
        <v>73848.159233333339</v>
      </c>
      <c r="J75" s="13">
        <f t="shared" si="25"/>
        <v>73848.159233333339</v>
      </c>
      <c r="K75" s="13">
        <f t="shared" si="25"/>
        <v>73848.159233333339</v>
      </c>
      <c r="L75" s="13">
        <f t="shared" si="25"/>
        <v>73848.159233333339</v>
      </c>
      <c r="M75" s="13">
        <f t="shared" si="25"/>
        <v>73848.159233333339</v>
      </c>
      <c r="N75" s="13">
        <f t="shared" si="25"/>
        <v>73848.159233333339</v>
      </c>
      <c r="O75" s="13">
        <f t="shared" si="25"/>
        <v>73848.159233333339</v>
      </c>
      <c r="P75" s="13">
        <f t="shared" si="25"/>
        <v>73848.159233333339</v>
      </c>
      <c r="Q75" s="13">
        <f t="shared" si="25"/>
        <v>73848.159233333339</v>
      </c>
    </row>
    <row r="76" spans="1:18" x14ac:dyDescent="0.3">
      <c r="E76" s="19"/>
      <c r="F76" s="19"/>
      <c r="G76" t="s">
        <v>758</v>
      </c>
      <c r="H76" s="13">
        <f>H72+H73+H74+H75</f>
        <v>199474.91447108332</v>
      </c>
      <c r="I76" s="13">
        <f t="shared" ref="I76:Q76" si="26">I72+I73+I74+I75</f>
        <v>197866.22361133332</v>
      </c>
      <c r="J76" s="13">
        <f t="shared" si="26"/>
        <v>196314.24118908332</v>
      </c>
      <c r="K76" s="13">
        <f t="shared" si="26"/>
        <v>194820.38491527078</v>
      </c>
      <c r="L76" s="13">
        <f t="shared" si="26"/>
        <v>193386.10794360674</v>
      </c>
      <c r="M76" s="13">
        <f t="shared" si="26"/>
        <v>192012.89975664482</v>
      </c>
      <c r="N76" s="13">
        <f t="shared" si="26"/>
        <v>190702.28707400258</v>
      </c>
      <c r="O76" s="13">
        <f t="shared" si="26"/>
        <v>189455.83478328807</v>
      </c>
      <c r="P76" s="13">
        <f t="shared" si="26"/>
        <v>188275.14689429943</v>
      </c>
      <c r="Q76" s="13">
        <f t="shared" si="26"/>
        <v>187161.86751707981</v>
      </c>
    </row>
    <row r="77" spans="1:18" x14ac:dyDescent="0.3">
      <c r="E77" s="19"/>
      <c r="F77" s="19"/>
      <c r="G77" t="s">
        <v>549</v>
      </c>
      <c r="H77" s="13">
        <f>$J$66*$L$67</f>
        <v>229500</v>
      </c>
      <c r="I77" s="13">
        <f>H77*(1+$L$68)</f>
        <v>235237.49999999997</v>
      </c>
      <c r="J77" s="13">
        <f t="shared" ref="J77:Q77" si="27">I77*(1+$L$47)</f>
        <v>241118.43749999994</v>
      </c>
      <c r="K77" s="13">
        <f t="shared" si="27"/>
        <v>247146.39843749991</v>
      </c>
      <c r="L77" s="13">
        <f t="shared" si="27"/>
        <v>253325.0583984374</v>
      </c>
      <c r="M77" s="13">
        <f t="shared" si="27"/>
        <v>259658.18485839831</v>
      </c>
      <c r="N77" s="13">
        <f t="shared" si="27"/>
        <v>266149.63947985822</v>
      </c>
      <c r="O77" s="13">
        <f t="shared" si="27"/>
        <v>272803.38046685467</v>
      </c>
      <c r="P77" s="13">
        <f t="shared" si="27"/>
        <v>279623.464978526</v>
      </c>
      <c r="Q77" s="13">
        <f t="shared" si="27"/>
        <v>286614.05160298914</v>
      </c>
    </row>
    <row r="78" spans="1:18" x14ac:dyDescent="0.3">
      <c r="E78" s="19"/>
      <c r="F78" s="19"/>
      <c r="G78" t="s">
        <v>740</v>
      </c>
      <c r="H78" s="10">
        <f>H77-H76</f>
        <v>30025.085528916679</v>
      </c>
      <c r="I78" s="10">
        <f t="shared" ref="I78:Q78" si="28">I77-I76</f>
        <v>37371.276388666651</v>
      </c>
      <c r="J78" s="10">
        <f t="shared" si="28"/>
        <v>44804.196310916624</v>
      </c>
      <c r="K78" s="10">
        <f t="shared" si="28"/>
        <v>52326.013522229128</v>
      </c>
      <c r="L78" s="10">
        <f t="shared" si="28"/>
        <v>59938.950454830658</v>
      </c>
      <c r="M78" s="10">
        <f t="shared" si="28"/>
        <v>67645.285101753485</v>
      </c>
      <c r="N78" s="10">
        <f t="shared" si="28"/>
        <v>75447.352405855636</v>
      </c>
      <c r="O78" s="10">
        <f t="shared" si="28"/>
        <v>83347.545683566597</v>
      </c>
      <c r="P78" s="10">
        <f t="shared" si="28"/>
        <v>91348.318084226572</v>
      </c>
      <c r="Q78" s="10">
        <f t="shared" si="28"/>
        <v>99452.184085909335</v>
      </c>
    </row>
    <row r="79" spans="1:18" x14ac:dyDescent="0.3">
      <c r="E79" s="19"/>
      <c r="F79" s="19"/>
      <c r="G79" t="s">
        <v>755</v>
      </c>
      <c r="H79" s="10">
        <f>H78+H75+H67+H68-H66-H70</f>
        <v>26332.677567249979</v>
      </c>
      <c r="I79" s="10">
        <f>I78+I75-I70</f>
        <v>33678.868426999979</v>
      </c>
      <c r="J79" s="10">
        <f>J78+J75-J70</f>
        <v>41111.788349249953</v>
      </c>
      <c r="K79" s="10">
        <f t="shared" ref="K79:Q79" si="29">K78+K75-K70</f>
        <v>48633.605560562457</v>
      </c>
      <c r="L79" s="10">
        <f t="shared" si="29"/>
        <v>56246.542493163986</v>
      </c>
      <c r="M79" s="10">
        <f t="shared" si="29"/>
        <v>63952.877140086814</v>
      </c>
      <c r="N79" s="10">
        <f t="shared" si="29"/>
        <v>71754.944444188965</v>
      </c>
      <c r="O79" s="10">
        <f t="shared" si="29"/>
        <v>79655.137721899926</v>
      </c>
      <c r="P79" s="10">
        <f t="shared" si="29"/>
        <v>87655.910122559901</v>
      </c>
      <c r="Q79" s="10">
        <f t="shared" si="29"/>
        <v>95759.776124242664</v>
      </c>
    </row>
    <row r="80" spans="1:18" x14ac:dyDescent="0.3">
      <c r="E80" s="19"/>
      <c r="F80" s="19"/>
      <c r="G80" t="s">
        <v>743</v>
      </c>
      <c r="H80" s="45">
        <v>0.1</v>
      </c>
      <c r="I80" s="54">
        <f>NPV(H80,H79:Q79)-H68</f>
        <v>2661.112021732959</v>
      </c>
      <c r="J80" s="10"/>
      <c r="K80" s="10"/>
      <c r="L80" s="10"/>
      <c r="M80" s="10"/>
      <c r="N80" s="10"/>
      <c r="O80" s="10"/>
      <c r="P80" s="10"/>
      <c r="Q80" s="10"/>
    </row>
    <row r="81" spans="1:18" x14ac:dyDescent="0.3">
      <c r="H81" s="59">
        <f>$A$44*$C$44*H77/$J$31/1000</f>
        <v>510</v>
      </c>
      <c r="I81" s="59">
        <f t="shared" ref="I81:Q81" si="30">$A$44*$C$44*I77/$J$31/1000</f>
        <v>522.74999999999989</v>
      </c>
      <c r="J81" s="59">
        <f t="shared" si="30"/>
        <v>535.81874999999991</v>
      </c>
      <c r="K81" s="59">
        <f t="shared" si="30"/>
        <v>549.21421874999976</v>
      </c>
      <c r="L81" s="59">
        <f t="shared" si="30"/>
        <v>562.94457421874972</v>
      </c>
      <c r="M81" s="59">
        <f t="shared" si="30"/>
        <v>577.01818857421858</v>
      </c>
      <c r="N81" s="59">
        <f t="shared" si="30"/>
        <v>591.44364328857387</v>
      </c>
      <c r="O81" s="59">
        <f t="shared" si="30"/>
        <v>606.22973437078804</v>
      </c>
      <c r="P81" s="59">
        <f t="shared" si="30"/>
        <v>621.3854777300578</v>
      </c>
      <c r="Q81" s="59">
        <f t="shared" si="30"/>
        <v>636.92011467330929</v>
      </c>
      <c r="R81" s="60">
        <f>SUM(H81:Q81)</f>
        <v>5713.7247016056972</v>
      </c>
    </row>
    <row r="82" spans="1:18" x14ac:dyDescent="0.3">
      <c r="A82" s="16"/>
      <c r="E82" s="17"/>
      <c r="F82" s="9"/>
      <c r="G82" t="s">
        <v>762</v>
      </c>
    </row>
    <row r="83" spans="1:18" ht="21" x14ac:dyDescent="0.4">
      <c r="A83" s="20" t="s">
        <v>484</v>
      </c>
      <c r="G83" t="s">
        <v>751</v>
      </c>
      <c r="H83" s="49">
        <f>0.91*(N8+D16)</f>
        <v>540792.3885</v>
      </c>
      <c r="I83" s="10" t="s">
        <v>487</v>
      </c>
      <c r="J83" s="53">
        <v>2700</v>
      </c>
      <c r="K83" s="10" t="s">
        <v>753</v>
      </c>
      <c r="L83" s="10"/>
      <c r="M83" s="10"/>
      <c r="N83" s="55">
        <v>2014</v>
      </c>
      <c r="O83" s="55">
        <v>2023</v>
      </c>
      <c r="P83" s="10"/>
      <c r="Q83" s="10"/>
    </row>
    <row r="84" spans="1:18" ht="21" x14ac:dyDescent="0.4">
      <c r="A84" t="s">
        <v>475</v>
      </c>
      <c r="C84" t="s">
        <v>466</v>
      </c>
      <c r="E84" s="9">
        <f>F8/15/E28</f>
        <v>2.4691358024691361</v>
      </c>
      <c r="F84" s="10">
        <f>N8/15/E28</f>
        <v>7.4074074074074074</v>
      </c>
      <c r="G84" t="s">
        <v>756</v>
      </c>
      <c r="H84" s="49">
        <f>H83-H85</f>
        <v>378554.67194999999</v>
      </c>
      <c r="I84" s="10"/>
      <c r="J84" s="10" t="s">
        <v>760</v>
      </c>
      <c r="K84" s="10"/>
      <c r="L84" s="51">
        <v>72.2</v>
      </c>
      <c r="M84" s="10" t="s">
        <v>466</v>
      </c>
      <c r="N84" s="55">
        <f>H94/J83</f>
        <v>72.2</v>
      </c>
      <c r="O84" s="55">
        <f>Q94/J83</f>
        <v>90.167906430221421</v>
      </c>
      <c r="P84" s="10"/>
      <c r="Q84" s="10"/>
    </row>
    <row r="85" spans="1:18" ht="21" x14ac:dyDescent="0.4">
      <c r="A85" t="s">
        <v>481</v>
      </c>
      <c r="C85" t="s">
        <v>466</v>
      </c>
      <c r="E85" s="9">
        <f>D16/D14/E28</f>
        <v>5.4495805555555554</v>
      </c>
      <c r="G85" t="s">
        <v>749</v>
      </c>
      <c r="H85" s="49">
        <f>0.3*H83</f>
        <v>162237.71654999998</v>
      </c>
      <c r="I85" s="10"/>
      <c r="J85" t="s">
        <v>757</v>
      </c>
      <c r="L85" s="48">
        <v>2.5000000000000001E-2</v>
      </c>
      <c r="M85" t="s">
        <v>754</v>
      </c>
      <c r="N85" s="10"/>
      <c r="O85" s="10"/>
      <c r="P85" s="10"/>
      <c r="Q85" s="10"/>
    </row>
    <row r="86" spans="1:18" x14ac:dyDescent="0.3">
      <c r="E86" s="13"/>
      <c r="G86" t="s">
        <v>752</v>
      </c>
      <c r="H86">
        <v>2014</v>
      </c>
      <c r="I86">
        <v>2015</v>
      </c>
      <c r="J86">
        <v>2016</v>
      </c>
      <c r="K86">
        <v>2017</v>
      </c>
      <c r="L86">
        <v>2018</v>
      </c>
      <c r="M86">
        <v>2019</v>
      </c>
      <c r="N86">
        <v>2020</v>
      </c>
      <c r="O86">
        <v>2021</v>
      </c>
      <c r="P86">
        <v>2022</v>
      </c>
      <c r="Q86">
        <v>2023</v>
      </c>
      <c r="R86" s="10"/>
    </row>
    <row r="87" spans="1:18" x14ac:dyDescent="0.3">
      <c r="E87" s="9"/>
      <c r="F87" s="13">
        <f>(E86+E88)/D14/E28</f>
        <v>0</v>
      </c>
      <c r="G87" t="s">
        <v>750</v>
      </c>
      <c r="H87" s="10">
        <f>$H$84/10</f>
        <v>37855.467194999997</v>
      </c>
      <c r="I87" s="10">
        <f t="shared" ref="I87:Q87" si="31">$H$84/10</f>
        <v>37855.467194999997</v>
      </c>
      <c r="J87" s="10">
        <f t="shared" si="31"/>
        <v>37855.467194999997</v>
      </c>
      <c r="K87" s="10">
        <f t="shared" si="31"/>
        <v>37855.467194999997</v>
      </c>
      <c r="L87" s="10">
        <f t="shared" si="31"/>
        <v>37855.467194999997</v>
      </c>
      <c r="M87" s="10">
        <f t="shared" si="31"/>
        <v>37855.467194999997</v>
      </c>
      <c r="N87" s="10">
        <f t="shared" si="31"/>
        <v>37855.467194999997</v>
      </c>
      <c r="O87" s="10">
        <f t="shared" si="31"/>
        <v>37855.467194999997</v>
      </c>
      <c r="P87" s="10">
        <f t="shared" si="31"/>
        <v>37855.467194999997</v>
      </c>
      <c r="Q87" s="10">
        <f t="shared" si="31"/>
        <v>37855.467194999997</v>
      </c>
      <c r="R87" s="13"/>
    </row>
    <row r="88" spans="1:18" x14ac:dyDescent="0.3">
      <c r="E88" s="13"/>
      <c r="G88" t="s">
        <v>732</v>
      </c>
      <c r="H88" s="13">
        <f>H84-H87</f>
        <v>340699.20475500001</v>
      </c>
      <c r="I88" s="13">
        <f>H88-I87</f>
        <v>302843.73756000004</v>
      </c>
      <c r="J88" s="13">
        <f t="shared" ref="J88:Q88" si="32">I88-J87</f>
        <v>264988.27036500006</v>
      </c>
      <c r="K88" s="13">
        <f t="shared" si="32"/>
        <v>227132.80317000006</v>
      </c>
      <c r="L88" s="13">
        <f t="shared" si="32"/>
        <v>189277.33597500005</v>
      </c>
      <c r="M88" s="13">
        <f t="shared" si="32"/>
        <v>151421.86878000005</v>
      </c>
      <c r="N88" s="13">
        <f t="shared" si="32"/>
        <v>113566.40158500004</v>
      </c>
      <c r="O88" s="13">
        <f t="shared" si="32"/>
        <v>75710.934390000039</v>
      </c>
      <c r="P88" s="13">
        <f t="shared" si="32"/>
        <v>37855.467195000041</v>
      </c>
      <c r="Q88" s="13">
        <f t="shared" si="32"/>
        <v>0</v>
      </c>
      <c r="R88" s="13"/>
    </row>
    <row r="89" spans="1:18" x14ac:dyDescent="0.3">
      <c r="A89" t="s">
        <v>482</v>
      </c>
      <c r="C89" t="s">
        <v>466</v>
      </c>
      <c r="E89">
        <v>2</v>
      </c>
      <c r="G89" t="s">
        <v>733</v>
      </c>
      <c r="H89" s="13">
        <f>$F$17*H88</f>
        <v>17034.960237750001</v>
      </c>
      <c r="I89" s="13">
        <f>$F$17*I88</f>
        <v>15142.186878000002</v>
      </c>
      <c r="J89" s="13">
        <f t="shared" ref="J89:P89" si="33">$F$17*J88</f>
        <v>13249.413518250003</v>
      </c>
      <c r="K89" s="13">
        <f t="shared" si="33"/>
        <v>11356.640158500004</v>
      </c>
      <c r="L89" s="13">
        <f t="shared" si="33"/>
        <v>9463.866798750003</v>
      </c>
      <c r="M89" s="13">
        <f t="shared" si="33"/>
        <v>7571.0934390000029</v>
      </c>
      <c r="N89" s="13">
        <f t="shared" si="33"/>
        <v>5678.3200792500029</v>
      </c>
      <c r="O89" s="13">
        <f t="shared" si="33"/>
        <v>3785.5467195000019</v>
      </c>
      <c r="P89" s="13">
        <f t="shared" si="33"/>
        <v>1892.7733597500021</v>
      </c>
      <c r="Q89" s="13">
        <v>0</v>
      </c>
      <c r="R89" s="13"/>
    </row>
    <row r="90" spans="1:18" x14ac:dyDescent="0.3">
      <c r="A90" t="s">
        <v>454</v>
      </c>
      <c r="C90" t="s">
        <v>466</v>
      </c>
      <c r="E90">
        <f>D21*E20</f>
        <v>45.15</v>
      </c>
      <c r="G90" t="s">
        <v>454</v>
      </c>
      <c r="H90" s="13">
        <f>$E$90*$J$83</f>
        <v>121905</v>
      </c>
      <c r="I90" s="13">
        <f>(1+$L$68)*H90</f>
        <v>124952.62499999999</v>
      </c>
      <c r="J90" s="13">
        <f t="shared" ref="J90:Q90" si="34">(1+$L$68)*I90</f>
        <v>128076.44062499997</v>
      </c>
      <c r="K90" s="13">
        <f t="shared" si="34"/>
        <v>131278.35164062495</v>
      </c>
      <c r="L90" s="13">
        <f t="shared" si="34"/>
        <v>134560.31043164057</v>
      </c>
      <c r="M90" s="13">
        <f t="shared" si="34"/>
        <v>137924.31819243156</v>
      </c>
      <c r="N90" s="13">
        <f t="shared" si="34"/>
        <v>141372.42614724234</v>
      </c>
      <c r="O90" s="13">
        <f t="shared" si="34"/>
        <v>144906.73680092339</v>
      </c>
      <c r="P90" s="13">
        <f t="shared" si="34"/>
        <v>148529.40522094647</v>
      </c>
      <c r="Q90" s="13">
        <f t="shared" si="34"/>
        <v>152242.64035147012</v>
      </c>
    </row>
    <row r="91" spans="1:18" x14ac:dyDescent="0.3">
      <c r="E91" s="19"/>
      <c r="F91" s="40"/>
      <c r="G91" t="s">
        <v>482</v>
      </c>
      <c r="H91" s="13">
        <f>E89*J83</f>
        <v>5400</v>
      </c>
      <c r="I91" s="13">
        <f>(1+$L$85)*H91</f>
        <v>5534.9999999999991</v>
      </c>
      <c r="J91" s="13">
        <f t="shared" ref="J91:Q91" si="35">(1+$L$85)*I91</f>
        <v>5673.3749999999982</v>
      </c>
      <c r="K91" s="13">
        <f t="shared" si="35"/>
        <v>5815.2093749999976</v>
      </c>
      <c r="L91" s="13">
        <f t="shared" si="35"/>
        <v>5960.5896093749971</v>
      </c>
      <c r="M91" s="13">
        <f t="shared" si="35"/>
        <v>6109.6043496093716</v>
      </c>
      <c r="N91" s="13">
        <f t="shared" si="35"/>
        <v>6262.3444583496057</v>
      </c>
      <c r="O91" s="13">
        <f t="shared" si="35"/>
        <v>6418.9030698083452</v>
      </c>
      <c r="P91" s="13">
        <f t="shared" si="35"/>
        <v>6579.3756465535535</v>
      </c>
      <c r="Q91" s="13">
        <f t="shared" si="35"/>
        <v>6743.8600377173916</v>
      </c>
    </row>
    <row r="92" spans="1:18" x14ac:dyDescent="0.3">
      <c r="G92" t="s">
        <v>759</v>
      </c>
      <c r="H92" s="13">
        <f>$H$83/$E$75</f>
        <v>36052.825900000003</v>
      </c>
      <c r="I92" s="13">
        <f t="shared" ref="I92:Q92" si="36">$H$83/$E$75</f>
        <v>36052.825900000003</v>
      </c>
      <c r="J92" s="13">
        <f t="shared" si="36"/>
        <v>36052.825900000003</v>
      </c>
      <c r="K92" s="13">
        <f t="shared" si="36"/>
        <v>36052.825900000003</v>
      </c>
      <c r="L92" s="13">
        <f t="shared" si="36"/>
        <v>36052.825900000003</v>
      </c>
      <c r="M92" s="13">
        <f t="shared" si="36"/>
        <v>36052.825900000003</v>
      </c>
      <c r="N92" s="13">
        <f t="shared" si="36"/>
        <v>36052.825900000003</v>
      </c>
      <c r="O92" s="13">
        <f t="shared" si="36"/>
        <v>36052.825900000003</v>
      </c>
      <c r="P92" s="13">
        <f t="shared" si="36"/>
        <v>36052.825900000003</v>
      </c>
      <c r="Q92" s="13">
        <f t="shared" si="36"/>
        <v>36052.825900000003</v>
      </c>
    </row>
    <row r="93" spans="1:18" x14ac:dyDescent="0.3">
      <c r="A93" s="20"/>
      <c r="E93" s="21"/>
      <c r="G93" t="s">
        <v>758</v>
      </c>
      <c r="H93" s="13">
        <f>H89+H90+H91+H92</f>
        <v>180392.78613774999</v>
      </c>
      <c r="I93" s="13">
        <f t="shared" ref="I93:P93" si="37">I89+I90+I91+I92</f>
        <v>181682.63777799997</v>
      </c>
      <c r="J93" s="13">
        <f t="shared" si="37"/>
        <v>183052.05504324997</v>
      </c>
      <c r="K93" s="13">
        <f t="shared" si="37"/>
        <v>184503.02707412496</v>
      </c>
      <c r="L93" s="13">
        <f t="shared" si="37"/>
        <v>186037.59273976556</v>
      </c>
      <c r="M93" s="13">
        <f t="shared" si="37"/>
        <v>187657.84188104092</v>
      </c>
      <c r="N93" s="13">
        <f t="shared" si="37"/>
        <v>189365.91658484194</v>
      </c>
      <c r="O93" s="13">
        <f t="shared" si="37"/>
        <v>191164.01249023175</v>
      </c>
      <c r="P93" s="13">
        <f t="shared" si="37"/>
        <v>193054.38012725001</v>
      </c>
      <c r="Q93" s="13">
        <f>Q89+Q90+Q91+Q92</f>
        <v>195039.32628918751</v>
      </c>
    </row>
    <row r="94" spans="1:18" x14ac:dyDescent="0.3">
      <c r="A94" s="23" t="s">
        <v>454</v>
      </c>
      <c r="G94" t="s">
        <v>549</v>
      </c>
      <c r="H94" s="13">
        <f>$J$83*$L$84</f>
        <v>194940</v>
      </c>
      <c r="I94" s="13">
        <f>(1+$L$85)*H94</f>
        <v>199813.49999999997</v>
      </c>
      <c r="J94" s="13">
        <f t="shared" ref="J94:Q94" si="38">(1+$L$85)*I94</f>
        <v>204808.83749999997</v>
      </c>
      <c r="K94" s="13">
        <f t="shared" si="38"/>
        <v>209929.05843749995</v>
      </c>
      <c r="L94" s="13">
        <f t="shared" si="38"/>
        <v>215177.28489843741</v>
      </c>
      <c r="M94" s="13">
        <f t="shared" si="38"/>
        <v>220556.71702089833</v>
      </c>
      <c r="N94" s="13">
        <f t="shared" si="38"/>
        <v>226070.63494642076</v>
      </c>
      <c r="O94" s="13">
        <f t="shared" si="38"/>
        <v>231722.40082008127</v>
      </c>
      <c r="P94" s="13">
        <f t="shared" si="38"/>
        <v>237515.46084058328</v>
      </c>
      <c r="Q94" s="13">
        <f t="shared" si="38"/>
        <v>243453.34736159784</v>
      </c>
    </row>
    <row r="95" spans="1:18" x14ac:dyDescent="0.3">
      <c r="A95" t="s">
        <v>475</v>
      </c>
      <c r="C95" t="s">
        <v>466</v>
      </c>
      <c r="E95" s="9">
        <f>F13/D14/E28</f>
        <v>2.4814814814814814</v>
      </c>
      <c r="F95" s="9"/>
      <c r="G95" t="s">
        <v>740</v>
      </c>
      <c r="H95" s="10">
        <f>H94-H93</f>
        <v>14547.213862250006</v>
      </c>
      <c r="I95" s="10">
        <f t="shared" ref="I95:Q95" si="39">I94-I93</f>
        <v>18130.862221999996</v>
      </c>
      <c r="J95" s="10">
        <f t="shared" si="39"/>
        <v>21756.782456749992</v>
      </c>
      <c r="K95" s="10">
        <f t="shared" si="39"/>
        <v>25426.03136337499</v>
      </c>
      <c r="L95" s="10">
        <f t="shared" si="39"/>
        <v>29139.692158671853</v>
      </c>
      <c r="M95" s="10">
        <f t="shared" si="39"/>
        <v>32898.87513985741</v>
      </c>
      <c r="N95" s="10">
        <f t="shared" si="39"/>
        <v>36704.718361578824</v>
      </c>
      <c r="O95" s="10">
        <f t="shared" si="39"/>
        <v>40558.38832984952</v>
      </c>
      <c r="P95" s="10">
        <f t="shared" si="39"/>
        <v>44461.080713333271</v>
      </c>
      <c r="Q95" s="10">
        <f t="shared" si="39"/>
        <v>48414.021072410338</v>
      </c>
    </row>
    <row r="96" spans="1:18" x14ac:dyDescent="0.3">
      <c r="A96" t="s">
        <v>481</v>
      </c>
      <c r="C96" t="s">
        <v>466</v>
      </c>
      <c r="E96" s="9">
        <f>D16/D14/E28</f>
        <v>5.4495805555555554</v>
      </c>
      <c r="G96" t="s">
        <v>755</v>
      </c>
      <c r="H96" s="10">
        <f>H95+H92-H83+H84+H85-H87</f>
        <v>12744.572567250005</v>
      </c>
      <c r="I96" s="10">
        <f>I95+I92-I87</f>
        <v>16328.220927000002</v>
      </c>
      <c r="J96" s="10">
        <f t="shared" ref="J96:P96" si="40">J95+J92-J87</f>
        <v>19954.141161749998</v>
      </c>
      <c r="K96" s="10">
        <f t="shared" si="40"/>
        <v>23623.390068374996</v>
      </c>
      <c r="L96" s="10">
        <f t="shared" si="40"/>
        <v>27337.050863671859</v>
      </c>
      <c r="M96" s="10">
        <f t="shared" si="40"/>
        <v>31096.233844857408</v>
      </c>
      <c r="N96" s="10">
        <f t="shared" si="40"/>
        <v>34902.077066578822</v>
      </c>
      <c r="O96" s="10">
        <f t="shared" si="40"/>
        <v>38755.747034849519</v>
      </c>
      <c r="P96" s="10">
        <f t="shared" si="40"/>
        <v>42658.43941833327</v>
      </c>
      <c r="Q96" s="10">
        <f>Q95+Q92-Q87</f>
        <v>46611.379777410337</v>
      </c>
    </row>
    <row r="97" spans="1:18" x14ac:dyDescent="0.3">
      <c r="E97" s="13"/>
      <c r="G97" t="s">
        <v>743</v>
      </c>
      <c r="H97" s="45">
        <v>0.1</v>
      </c>
      <c r="I97" s="54">
        <f>NPV(H97,H96:Q96)-H85</f>
        <v>548.93541485274909</v>
      </c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3">
      <c r="E98" s="9"/>
      <c r="H98" s="59">
        <f>$A$44*$C$44*H94/$J$31/1000</f>
        <v>433.2</v>
      </c>
      <c r="I98" s="59">
        <f t="shared" ref="I98:Q98" si="41">$A$44*$C$44*I94/$J$31/1000</f>
        <v>444.02999999999986</v>
      </c>
      <c r="J98" s="59">
        <f t="shared" si="41"/>
        <v>455.13074999999986</v>
      </c>
      <c r="K98" s="59">
        <f t="shared" si="41"/>
        <v>466.50901874999994</v>
      </c>
      <c r="L98" s="59">
        <f t="shared" si="41"/>
        <v>478.17174421874984</v>
      </c>
      <c r="M98" s="59">
        <f t="shared" si="41"/>
        <v>490.12603782421849</v>
      </c>
      <c r="N98" s="59">
        <f t="shared" si="41"/>
        <v>502.37918876982388</v>
      </c>
      <c r="O98" s="59">
        <f t="shared" si="41"/>
        <v>514.93866848906953</v>
      </c>
      <c r="P98" s="59">
        <f t="shared" si="41"/>
        <v>527.8121352012962</v>
      </c>
      <c r="Q98" s="59">
        <f t="shared" si="41"/>
        <v>541.00743858132864</v>
      </c>
      <c r="R98" s="60">
        <f>SUM(H98:Q98)</f>
        <v>4853.3049818344862</v>
      </c>
    </row>
    <row r="99" spans="1:18" x14ac:dyDescent="0.3">
      <c r="E99" s="13"/>
      <c r="G99" t="s">
        <v>763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21" x14ac:dyDescent="0.4">
      <c r="A100" t="s">
        <v>482</v>
      </c>
      <c r="C100" t="s">
        <v>466</v>
      </c>
      <c r="E100">
        <v>1</v>
      </c>
      <c r="G100" t="s">
        <v>751</v>
      </c>
      <c r="H100" s="49">
        <f>0.91*(F13+D16)</f>
        <v>389732.3885</v>
      </c>
      <c r="I100" s="10" t="s">
        <v>487</v>
      </c>
      <c r="J100" s="53">
        <v>2700</v>
      </c>
      <c r="K100" s="10" t="s">
        <v>753</v>
      </c>
      <c r="L100" s="10"/>
      <c r="M100" s="10"/>
      <c r="N100" s="55">
        <v>2014</v>
      </c>
      <c r="O100" s="55">
        <v>2023</v>
      </c>
      <c r="P100" s="10"/>
      <c r="Q100" s="13"/>
    </row>
    <row r="101" spans="1:18" ht="21" x14ac:dyDescent="0.4">
      <c r="A101" t="s">
        <v>454</v>
      </c>
      <c r="C101" t="s">
        <v>466</v>
      </c>
      <c r="E101">
        <f>D21</f>
        <v>90.3</v>
      </c>
      <c r="G101" t="s">
        <v>756</v>
      </c>
      <c r="H101" s="49">
        <f>H100-H102</f>
        <v>272812.67194999999</v>
      </c>
      <c r="I101" s="10"/>
      <c r="J101" s="10" t="s">
        <v>760</v>
      </c>
      <c r="K101" s="10"/>
      <c r="L101" s="51">
        <v>109.4</v>
      </c>
      <c r="M101" s="10" t="s">
        <v>466</v>
      </c>
      <c r="N101" s="55">
        <f>H111/J100</f>
        <v>109.4</v>
      </c>
      <c r="O101" s="55">
        <f>Q111/J100</f>
        <v>136.6256089122746</v>
      </c>
      <c r="P101" s="10"/>
    </row>
    <row r="102" spans="1:18" ht="21" x14ac:dyDescent="0.4">
      <c r="E102" s="19"/>
      <c r="G102" t="s">
        <v>749</v>
      </c>
      <c r="H102" s="49">
        <f>0.3*H100</f>
        <v>116919.71655</v>
      </c>
      <c r="I102" s="10"/>
      <c r="J102" t="s">
        <v>757</v>
      </c>
      <c r="L102" s="48">
        <v>2.5000000000000001E-2</v>
      </c>
      <c r="M102" t="s">
        <v>754</v>
      </c>
      <c r="N102" s="10"/>
      <c r="O102" s="10"/>
      <c r="P102" s="10"/>
    </row>
    <row r="103" spans="1:18" x14ac:dyDescent="0.3">
      <c r="E103" s="19"/>
      <c r="G103" t="s">
        <v>752</v>
      </c>
      <c r="H103">
        <v>2014</v>
      </c>
      <c r="I103">
        <v>2015</v>
      </c>
      <c r="J103">
        <v>2016</v>
      </c>
      <c r="K103">
        <v>2017</v>
      </c>
      <c r="L103">
        <v>2018</v>
      </c>
      <c r="M103">
        <v>2019</v>
      </c>
      <c r="N103">
        <v>2020</v>
      </c>
      <c r="O103">
        <v>2021</v>
      </c>
      <c r="P103">
        <v>2022</v>
      </c>
      <c r="Q103">
        <v>2023</v>
      </c>
    </row>
    <row r="104" spans="1:18" x14ac:dyDescent="0.3">
      <c r="E104" s="19"/>
      <c r="G104" t="s">
        <v>750</v>
      </c>
      <c r="H104" s="10">
        <f>$H$101/10</f>
        <v>27281.267195</v>
      </c>
      <c r="I104" s="10">
        <f t="shared" ref="I104:Q104" si="42">$H$101/10</f>
        <v>27281.267195</v>
      </c>
      <c r="J104" s="10">
        <f t="shared" si="42"/>
        <v>27281.267195</v>
      </c>
      <c r="K104" s="10">
        <f t="shared" si="42"/>
        <v>27281.267195</v>
      </c>
      <c r="L104" s="10">
        <f t="shared" si="42"/>
        <v>27281.267195</v>
      </c>
      <c r="M104" s="10">
        <f t="shared" si="42"/>
        <v>27281.267195</v>
      </c>
      <c r="N104" s="10">
        <f t="shared" si="42"/>
        <v>27281.267195</v>
      </c>
      <c r="O104" s="10">
        <f t="shared" si="42"/>
        <v>27281.267195</v>
      </c>
      <c r="P104" s="10">
        <f t="shared" si="42"/>
        <v>27281.267195</v>
      </c>
      <c r="Q104" s="10">
        <f t="shared" si="42"/>
        <v>27281.267195</v>
      </c>
    </row>
    <row r="105" spans="1:18" x14ac:dyDescent="0.3">
      <c r="E105" s="19"/>
      <c r="G105" t="s">
        <v>732</v>
      </c>
      <c r="H105" s="13">
        <f>H101-H104</f>
        <v>245531.404755</v>
      </c>
      <c r="I105" s="13">
        <f>H105-I104</f>
        <v>218250.13756</v>
      </c>
      <c r="J105" s="13">
        <f t="shared" ref="J105:Q105" si="43">I105-J104</f>
        <v>190968.87036500001</v>
      </c>
      <c r="K105" s="13">
        <f t="shared" si="43"/>
        <v>163687.60317000002</v>
      </c>
      <c r="L105" s="13">
        <f t="shared" si="43"/>
        <v>136406.33597500002</v>
      </c>
      <c r="M105" s="13">
        <f t="shared" si="43"/>
        <v>109125.06878000003</v>
      </c>
      <c r="N105" s="13">
        <f t="shared" si="43"/>
        <v>81843.801585000037</v>
      </c>
      <c r="O105" s="13">
        <f t="shared" si="43"/>
        <v>54562.534390000037</v>
      </c>
      <c r="P105" s="13">
        <f t="shared" si="43"/>
        <v>27281.267195000037</v>
      </c>
      <c r="Q105" s="13">
        <f t="shared" si="43"/>
        <v>3.637978807091713E-11</v>
      </c>
    </row>
    <row r="106" spans="1:18" x14ac:dyDescent="0.3">
      <c r="E106" s="19"/>
      <c r="G106" t="s">
        <v>733</v>
      </c>
      <c r="H106" s="13">
        <f>$F$17*H105</f>
        <v>12276.57023775</v>
      </c>
      <c r="I106" s="13">
        <f>$F$17*I105</f>
        <v>10912.506878</v>
      </c>
      <c r="J106" s="13">
        <f t="shared" ref="J106:P106" si="44">$F$17*J105</f>
        <v>9548.4435182500001</v>
      </c>
      <c r="K106" s="13">
        <f t="shared" si="44"/>
        <v>8184.380158500001</v>
      </c>
      <c r="L106" s="13">
        <f t="shared" si="44"/>
        <v>6820.3167987500019</v>
      </c>
      <c r="M106" s="13">
        <f t="shared" si="44"/>
        <v>5456.2534390000019</v>
      </c>
      <c r="N106" s="13">
        <f t="shared" si="44"/>
        <v>4092.1900792500019</v>
      </c>
      <c r="O106" s="13">
        <f t="shared" si="44"/>
        <v>2728.1267195000019</v>
      </c>
      <c r="P106" s="13">
        <f t="shared" si="44"/>
        <v>1364.0633597500018</v>
      </c>
      <c r="Q106" s="13">
        <v>0</v>
      </c>
    </row>
    <row r="107" spans="1:18" x14ac:dyDescent="0.3">
      <c r="E107" s="19"/>
      <c r="G107" t="s">
        <v>454</v>
      </c>
      <c r="H107" s="13">
        <f>$D$21*$J$83</f>
        <v>243810</v>
      </c>
      <c r="I107" s="13">
        <f>(1+$L$68)*H107</f>
        <v>249905.24999999997</v>
      </c>
      <c r="J107" s="13">
        <f t="shared" ref="J107:Q107" si="45">(1+$L$68)*I107</f>
        <v>256152.88124999995</v>
      </c>
      <c r="K107" s="13">
        <f t="shared" si="45"/>
        <v>262556.70328124991</v>
      </c>
      <c r="L107" s="13">
        <f t="shared" si="45"/>
        <v>269120.62086328113</v>
      </c>
      <c r="M107" s="13">
        <f t="shared" si="45"/>
        <v>275848.63638486312</v>
      </c>
      <c r="N107" s="13">
        <f t="shared" si="45"/>
        <v>282744.85229448468</v>
      </c>
      <c r="O107" s="13">
        <f t="shared" si="45"/>
        <v>289813.47360184678</v>
      </c>
      <c r="P107" s="13">
        <f t="shared" si="45"/>
        <v>297058.81044189294</v>
      </c>
      <c r="Q107" s="13">
        <f t="shared" si="45"/>
        <v>304485.28070294025</v>
      </c>
    </row>
    <row r="108" spans="1:18" x14ac:dyDescent="0.3">
      <c r="E108" s="19"/>
      <c r="G108" t="s">
        <v>482</v>
      </c>
      <c r="H108" s="13">
        <f>E100*J100</f>
        <v>2700</v>
      </c>
      <c r="I108" s="13">
        <f>(1+$L$85)*H108</f>
        <v>2767.4999999999995</v>
      </c>
      <c r="J108" s="13">
        <f t="shared" ref="J108:Q108" si="46">(1+$L$85)*I108</f>
        <v>2836.6874999999991</v>
      </c>
      <c r="K108" s="13">
        <f t="shared" si="46"/>
        <v>2907.6046874999988</v>
      </c>
      <c r="L108" s="13">
        <f t="shared" si="46"/>
        <v>2980.2948046874985</v>
      </c>
      <c r="M108" s="13">
        <f t="shared" si="46"/>
        <v>3054.8021748046858</v>
      </c>
      <c r="N108" s="13">
        <f t="shared" si="46"/>
        <v>3131.1722291748029</v>
      </c>
      <c r="O108" s="13">
        <f t="shared" si="46"/>
        <v>3209.4515349041726</v>
      </c>
      <c r="P108" s="13">
        <f t="shared" si="46"/>
        <v>3289.6878232767767</v>
      </c>
      <c r="Q108" s="13">
        <f t="shared" si="46"/>
        <v>3371.9300188586958</v>
      </c>
    </row>
    <row r="109" spans="1:18" x14ac:dyDescent="0.3">
      <c r="E109" s="19"/>
      <c r="G109" t="s">
        <v>759</v>
      </c>
      <c r="H109" s="13">
        <f>$H$100/20</f>
        <v>19486.619425000001</v>
      </c>
      <c r="I109" s="13">
        <f t="shared" ref="I109:Q109" si="47">$H$100/20</f>
        <v>19486.619425000001</v>
      </c>
      <c r="J109" s="13">
        <f t="shared" si="47"/>
        <v>19486.619425000001</v>
      </c>
      <c r="K109" s="13">
        <f t="shared" si="47"/>
        <v>19486.619425000001</v>
      </c>
      <c r="L109" s="13">
        <f t="shared" si="47"/>
        <v>19486.619425000001</v>
      </c>
      <c r="M109" s="13">
        <f t="shared" si="47"/>
        <v>19486.619425000001</v>
      </c>
      <c r="N109" s="13">
        <f t="shared" si="47"/>
        <v>19486.619425000001</v>
      </c>
      <c r="O109" s="13">
        <f t="shared" si="47"/>
        <v>19486.619425000001</v>
      </c>
      <c r="P109" s="13">
        <f t="shared" si="47"/>
        <v>19486.619425000001</v>
      </c>
      <c r="Q109" s="13">
        <f t="shared" si="47"/>
        <v>19486.619425000001</v>
      </c>
    </row>
    <row r="110" spans="1:18" x14ac:dyDescent="0.3">
      <c r="E110" s="19"/>
      <c r="G110" t="s">
        <v>758</v>
      </c>
      <c r="H110" s="13">
        <f>H106+H107+H108+H109</f>
        <v>278273.18966275</v>
      </c>
      <c r="I110" s="13">
        <f t="shared" ref="I110:Q110" si="48">I106+I107+I108+I109</f>
        <v>283071.87630299997</v>
      </c>
      <c r="J110" s="13">
        <f t="shared" si="48"/>
        <v>288024.63169324992</v>
      </c>
      <c r="K110" s="13">
        <f t="shared" si="48"/>
        <v>293135.30755224987</v>
      </c>
      <c r="L110" s="13">
        <f t="shared" si="48"/>
        <v>298407.85189171863</v>
      </c>
      <c r="M110" s="13">
        <f t="shared" si="48"/>
        <v>303846.31142366776</v>
      </c>
      <c r="N110" s="13">
        <f t="shared" si="48"/>
        <v>309454.8340279095</v>
      </c>
      <c r="O110" s="13">
        <f t="shared" si="48"/>
        <v>315237.67128125095</v>
      </c>
      <c r="P110" s="13">
        <f t="shared" si="48"/>
        <v>321199.18104991975</v>
      </c>
      <c r="Q110" s="13">
        <f t="shared" si="48"/>
        <v>327343.83014679892</v>
      </c>
    </row>
    <row r="111" spans="1:18" x14ac:dyDescent="0.3">
      <c r="E111" s="19"/>
      <c r="G111" t="s">
        <v>549</v>
      </c>
      <c r="H111" s="13">
        <f>$J$100*$L$101</f>
        <v>295380</v>
      </c>
      <c r="I111" s="13">
        <f>(1+$L$102)*H111</f>
        <v>302764.5</v>
      </c>
      <c r="J111" s="13">
        <f t="shared" ref="J111:Q111" si="49">(1+$L$102)*I111</f>
        <v>310333.61249999999</v>
      </c>
      <c r="K111" s="13">
        <f t="shared" si="49"/>
        <v>318091.95281249995</v>
      </c>
      <c r="L111" s="13">
        <f t="shared" si="49"/>
        <v>326044.25163281243</v>
      </c>
      <c r="M111" s="13">
        <f t="shared" si="49"/>
        <v>334195.35792363272</v>
      </c>
      <c r="N111" s="13">
        <f t="shared" si="49"/>
        <v>342550.2418717235</v>
      </c>
      <c r="O111" s="13">
        <f t="shared" si="49"/>
        <v>351113.99791851657</v>
      </c>
      <c r="P111" s="13">
        <f t="shared" si="49"/>
        <v>359891.84786647948</v>
      </c>
      <c r="Q111" s="13">
        <f t="shared" si="49"/>
        <v>368889.14406314143</v>
      </c>
    </row>
    <row r="112" spans="1:18" x14ac:dyDescent="0.3">
      <c r="E112" s="19"/>
      <c r="G112" t="s">
        <v>740</v>
      </c>
      <c r="H112" s="10">
        <f>H111-H110</f>
        <v>17106.810337250005</v>
      </c>
      <c r="I112" s="10">
        <f t="shared" ref="I112:Q112" si="50">I111-I110</f>
        <v>19692.623697000032</v>
      </c>
      <c r="J112" s="10">
        <f t="shared" si="50"/>
        <v>22308.980806750071</v>
      </c>
      <c r="K112" s="10">
        <f t="shared" si="50"/>
        <v>24956.645260250079</v>
      </c>
      <c r="L112" s="10">
        <f t="shared" si="50"/>
        <v>27636.399741093803</v>
      </c>
      <c r="M112" s="10">
        <f t="shared" si="50"/>
        <v>30349.046499964956</v>
      </c>
      <c r="N112" s="10">
        <f t="shared" si="50"/>
        <v>33095.407843813999</v>
      </c>
      <c r="O112" s="10">
        <f t="shared" si="50"/>
        <v>35876.326637265622</v>
      </c>
      <c r="P112" s="10">
        <f t="shared" si="50"/>
        <v>38692.666816559737</v>
      </c>
      <c r="Q112" s="10">
        <f t="shared" si="50"/>
        <v>41545.313916342508</v>
      </c>
    </row>
    <row r="113" spans="1:18" x14ac:dyDescent="0.3">
      <c r="E113" s="19"/>
      <c r="G113" t="s">
        <v>755</v>
      </c>
      <c r="H113" s="10">
        <f>H112+H109-H100+H101+H102-H104</f>
        <v>9312.1625672499722</v>
      </c>
      <c r="I113" s="10">
        <f>I112+I109-I104</f>
        <v>11897.975927000029</v>
      </c>
      <c r="J113" s="10">
        <f t="shared" ref="J113:Q113" si="51">J112+J109-J104</f>
        <v>14514.333036750068</v>
      </c>
      <c r="K113" s="10">
        <f t="shared" si="51"/>
        <v>17161.997490250076</v>
      </c>
      <c r="L113" s="10">
        <f t="shared" si="51"/>
        <v>19841.7519710938</v>
      </c>
      <c r="M113" s="10">
        <f t="shared" si="51"/>
        <v>22554.398729964953</v>
      </c>
      <c r="N113" s="10">
        <f t="shared" si="51"/>
        <v>25300.760073813995</v>
      </c>
      <c r="O113" s="10">
        <f t="shared" si="51"/>
        <v>28081.678867265618</v>
      </c>
      <c r="P113" s="10">
        <f t="shared" si="51"/>
        <v>30898.019046559733</v>
      </c>
      <c r="Q113" s="10">
        <f t="shared" si="51"/>
        <v>33750.666146342504</v>
      </c>
    </row>
    <row r="114" spans="1:18" x14ac:dyDescent="0.3">
      <c r="E114" s="19"/>
      <c r="G114" t="s">
        <v>743</v>
      </c>
      <c r="H114" s="45">
        <v>0.1</v>
      </c>
      <c r="I114" s="54">
        <f>NPV(H114,H113:Q113)-H102</f>
        <v>1256.8891654923791</v>
      </c>
      <c r="J114" s="10"/>
      <c r="K114" s="10"/>
      <c r="L114" s="10"/>
      <c r="M114" s="10"/>
      <c r="N114" s="10"/>
      <c r="O114" s="10"/>
      <c r="P114" s="10"/>
    </row>
    <row r="115" spans="1:18" x14ac:dyDescent="0.3">
      <c r="H115" s="59">
        <f>$A$44*$C$44*H111/$J$31/1000</f>
        <v>656.4</v>
      </c>
      <c r="I115" s="59">
        <f t="shared" ref="I115:Q115" si="52">$A$44*$C$44*I111/$J$31/1000</f>
        <v>672.81</v>
      </c>
      <c r="J115" s="59">
        <f t="shared" si="52"/>
        <v>689.63025000000005</v>
      </c>
      <c r="K115" s="59">
        <f t="shared" si="52"/>
        <v>706.87100624999982</v>
      </c>
      <c r="L115" s="59">
        <f t="shared" si="52"/>
        <v>724.5427814062499</v>
      </c>
      <c r="M115" s="59">
        <f t="shared" si="52"/>
        <v>742.656350941406</v>
      </c>
      <c r="N115" s="59">
        <f t="shared" si="52"/>
        <v>761.22275971494116</v>
      </c>
      <c r="O115" s="59">
        <f t="shared" si="52"/>
        <v>780.2533287078146</v>
      </c>
      <c r="P115" s="59">
        <f t="shared" si="52"/>
        <v>799.75966192550993</v>
      </c>
      <c r="Q115" s="59">
        <f t="shared" si="52"/>
        <v>819.75365347364766</v>
      </c>
      <c r="R115" s="60">
        <f>SUM(H115:Q115)</f>
        <v>7353.8997924195701</v>
      </c>
    </row>
    <row r="116" spans="1:18" ht="21" x14ac:dyDescent="0.4">
      <c r="A116" s="33" t="s">
        <v>554</v>
      </c>
      <c r="B116" s="33"/>
      <c r="G116" t="s">
        <v>751</v>
      </c>
      <c r="H116" s="49">
        <f>(N10+D16)*0.91</f>
        <v>1480822.3885000001</v>
      </c>
      <c r="I116" s="10" t="s">
        <v>487</v>
      </c>
      <c r="J116" s="10">
        <f>J45</f>
        <v>2700</v>
      </c>
      <c r="K116" s="10" t="s">
        <v>753</v>
      </c>
      <c r="L116" s="10"/>
      <c r="M116" s="10"/>
      <c r="N116" s="55">
        <v>2014</v>
      </c>
      <c r="O116" s="55">
        <v>2023</v>
      </c>
      <c r="P116" s="10"/>
    </row>
    <row r="117" spans="1:18" ht="21" x14ac:dyDescent="0.4">
      <c r="A117" t="s">
        <v>475</v>
      </c>
      <c r="C117" t="s">
        <v>466</v>
      </c>
      <c r="E117" s="9">
        <f>F10/D14/E28</f>
        <v>8.5919074074074082</v>
      </c>
      <c r="F117" s="9">
        <f>N10/D14/E28</f>
        <v>24.685185185185187</v>
      </c>
      <c r="G117" t="s">
        <v>756</v>
      </c>
      <c r="H117" s="49">
        <f>H116-H118</f>
        <v>1036575.6719500001</v>
      </c>
      <c r="I117" s="10"/>
      <c r="J117" s="10" t="s">
        <v>760</v>
      </c>
      <c r="K117" s="10"/>
      <c r="L117" s="51">
        <v>114.8</v>
      </c>
      <c r="M117" s="10" t="s">
        <v>466</v>
      </c>
      <c r="N117" s="55">
        <f>H127/J116</f>
        <v>114.8</v>
      </c>
      <c r="O117" s="55">
        <f>Q127/J116</f>
        <v>143.36946894999195</v>
      </c>
      <c r="P117" s="10"/>
    </row>
    <row r="118" spans="1:18" ht="21" x14ac:dyDescent="0.4">
      <c r="A118" t="s">
        <v>481</v>
      </c>
      <c r="C118" t="s">
        <v>466</v>
      </c>
      <c r="E118" s="9">
        <f>D16/D14/E28</f>
        <v>5.4495805555555554</v>
      </c>
      <c r="G118" t="s">
        <v>749</v>
      </c>
      <c r="H118" s="49">
        <f>0.3*H116</f>
        <v>444246.71655000001</v>
      </c>
      <c r="I118" s="10"/>
      <c r="J118" t="s">
        <v>757</v>
      </c>
      <c r="L118" s="48">
        <v>2.5000000000000001E-2</v>
      </c>
      <c r="M118" t="s">
        <v>754</v>
      </c>
      <c r="N118" s="10"/>
      <c r="O118" s="10"/>
      <c r="P118" s="10"/>
    </row>
    <row r="119" spans="1:18" x14ac:dyDescent="0.3">
      <c r="A119" t="s">
        <v>673</v>
      </c>
      <c r="E119" s="13"/>
      <c r="F119" s="13">
        <f>SUM(H120:Q120)</f>
        <v>1040288.1047550001</v>
      </c>
      <c r="G119" t="s">
        <v>752</v>
      </c>
      <c r="H119">
        <v>2014</v>
      </c>
      <c r="I119">
        <v>2015</v>
      </c>
      <c r="J119">
        <v>2016</v>
      </c>
      <c r="K119">
        <v>2017</v>
      </c>
      <c r="L119">
        <v>2018</v>
      </c>
      <c r="M119">
        <v>2019</v>
      </c>
      <c r="N119">
        <v>2020</v>
      </c>
      <c r="O119">
        <v>2021</v>
      </c>
      <c r="P119">
        <v>2022</v>
      </c>
      <c r="Q119" s="13">
        <v>2023</v>
      </c>
      <c r="R119" s="13"/>
    </row>
    <row r="120" spans="1:18" x14ac:dyDescent="0.3">
      <c r="E120" s="9"/>
      <c r="F120" s="9"/>
      <c r="G120" t="s">
        <v>750</v>
      </c>
      <c r="H120" s="10">
        <f>$H$117/10</f>
        <v>103657.56719500001</v>
      </c>
      <c r="I120" s="10">
        <f t="shared" ref="I120:P120" si="53">$H$117/10</f>
        <v>103657.56719500001</v>
      </c>
      <c r="J120" s="10">
        <f t="shared" si="53"/>
        <v>103657.56719500001</v>
      </c>
      <c r="K120" s="10">
        <f t="shared" si="53"/>
        <v>103657.56719500001</v>
      </c>
      <c r="L120" s="10">
        <f t="shared" si="53"/>
        <v>103657.56719500001</v>
      </c>
      <c r="M120" s="10">
        <f t="shared" si="53"/>
        <v>103657.56719500001</v>
      </c>
      <c r="N120" s="10">
        <f t="shared" si="53"/>
        <v>103657.56719500001</v>
      </c>
      <c r="O120" s="10">
        <f t="shared" si="53"/>
        <v>103657.56719500001</v>
      </c>
      <c r="P120" s="10">
        <f t="shared" si="53"/>
        <v>103657.56719500001</v>
      </c>
      <c r="Q120" s="13">
        <v>107370</v>
      </c>
      <c r="R120" s="13"/>
    </row>
    <row r="121" spans="1:18" x14ac:dyDescent="0.3">
      <c r="E121" s="9"/>
      <c r="F121" s="13"/>
      <c r="G121" t="s">
        <v>732</v>
      </c>
      <c r="H121" s="13">
        <f>H117-H120</f>
        <v>932918.10475500009</v>
      </c>
      <c r="I121" s="13">
        <f>H121-I120</f>
        <v>829260.53756000008</v>
      </c>
      <c r="J121" s="13">
        <f t="shared" ref="J121:P121" si="54">I121-J120</f>
        <v>725602.97036500007</v>
      </c>
      <c r="K121" s="13">
        <f t="shared" si="54"/>
        <v>621945.40317000006</v>
      </c>
      <c r="L121" s="13">
        <f t="shared" si="54"/>
        <v>518287.83597500005</v>
      </c>
      <c r="M121" s="13">
        <f t="shared" si="54"/>
        <v>414630.26878000004</v>
      </c>
      <c r="N121" s="13">
        <f t="shared" si="54"/>
        <v>310972.70158500003</v>
      </c>
      <c r="O121" s="13">
        <f t="shared" si="54"/>
        <v>207315.13439000002</v>
      </c>
      <c r="P121" s="13">
        <f t="shared" si="54"/>
        <v>103657.56719500001</v>
      </c>
      <c r="Q121" s="13">
        <f>H117-SUM(H120:Q120)</f>
        <v>-3712.4328049999895</v>
      </c>
      <c r="R121" s="13"/>
    </row>
    <row r="122" spans="1:18" x14ac:dyDescent="0.3">
      <c r="A122" t="s">
        <v>482</v>
      </c>
      <c r="C122" t="s">
        <v>466</v>
      </c>
      <c r="E122">
        <v>1</v>
      </c>
      <c r="G122" t="s">
        <v>733</v>
      </c>
      <c r="H122" s="13">
        <f>$F$17*H121</f>
        <v>46645.905237750005</v>
      </c>
      <c r="I122" s="13">
        <f>$F$17*I121</f>
        <v>41463.026878000004</v>
      </c>
      <c r="J122" s="13">
        <f t="shared" ref="J122:P122" si="55">$F$17*J121</f>
        <v>36280.148518250004</v>
      </c>
      <c r="K122" s="13">
        <f t="shared" si="55"/>
        <v>31097.270158500003</v>
      </c>
      <c r="L122" s="13">
        <f t="shared" si="55"/>
        <v>25914.391798750003</v>
      </c>
      <c r="M122" s="13">
        <f t="shared" si="55"/>
        <v>20731.513439000002</v>
      </c>
      <c r="N122" s="13">
        <f t="shared" si="55"/>
        <v>15548.635079250002</v>
      </c>
      <c r="O122" s="13">
        <f t="shared" si="55"/>
        <v>10365.756719500001</v>
      </c>
      <c r="P122" s="13">
        <f t="shared" si="55"/>
        <v>5182.8783597500005</v>
      </c>
      <c r="Q122" s="13">
        <f>Q121*F17</f>
        <v>-185.62164024999947</v>
      </c>
    </row>
    <row r="123" spans="1:18" x14ac:dyDescent="0.3">
      <c r="A123" t="s">
        <v>454</v>
      </c>
      <c r="C123" t="s">
        <v>466</v>
      </c>
      <c r="E123">
        <f>D21*E124</f>
        <v>45.15</v>
      </c>
      <c r="G123" t="s">
        <v>454</v>
      </c>
      <c r="H123" s="13">
        <f>$E$124*$J$45*E101</f>
        <v>121905</v>
      </c>
      <c r="I123" s="13">
        <f>(1+$L$118)*H123</f>
        <v>124952.62499999999</v>
      </c>
      <c r="J123" s="13">
        <f t="shared" ref="J123:Q123" si="56">(1+$L$47)*I123</f>
        <v>128076.44062499997</v>
      </c>
      <c r="K123" s="13">
        <f t="shared" si="56"/>
        <v>131278.35164062495</v>
      </c>
      <c r="L123" s="13">
        <f t="shared" si="56"/>
        <v>134560.31043164057</v>
      </c>
      <c r="M123" s="13">
        <f t="shared" si="56"/>
        <v>137924.31819243156</v>
      </c>
      <c r="N123" s="13">
        <f t="shared" si="56"/>
        <v>141372.42614724234</v>
      </c>
      <c r="O123" s="13">
        <f t="shared" si="56"/>
        <v>144906.73680092339</v>
      </c>
      <c r="P123" s="13">
        <f t="shared" si="56"/>
        <v>148529.40522094647</v>
      </c>
      <c r="Q123" s="13">
        <f t="shared" si="56"/>
        <v>152242.64035147012</v>
      </c>
    </row>
    <row r="124" spans="1:18" x14ac:dyDescent="0.3">
      <c r="A124" t="s">
        <v>555</v>
      </c>
      <c r="E124" s="8">
        <v>0.5</v>
      </c>
      <c r="G124" t="s">
        <v>482</v>
      </c>
      <c r="H124" s="13">
        <f>$E$122*$J$116</f>
        <v>2700</v>
      </c>
      <c r="I124" s="13">
        <f>(1+$L$118)*H124</f>
        <v>2767.4999999999995</v>
      </c>
      <c r="J124" s="13">
        <f t="shared" ref="J124:Q124" si="57">(1+$L$118)*I124</f>
        <v>2836.6874999999991</v>
      </c>
      <c r="K124" s="13">
        <f t="shared" si="57"/>
        <v>2907.6046874999988</v>
      </c>
      <c r="L124" s="13">
        <f t="shared" si="57"/>
        <v>2980.2948046874985</v>
      </c>
      <c r="M124" s="13">
        <f t="shared" si="57"/>
        <v>3054.8021748046858</v>
      </c>
      <c r="N124" s="13">
        <f t="shared" si="57"/>
        <v>3131.1722291748029</v>
      </c>
      <c r="O124" s="13">
        <f t="shared" si="57"/>
        <v>3209.4515349041726</v>
      </c>
      <c r="P124" s="13">
        <f t="shared" si="57"/>
        <v>3289.6878232767767</v>
      </c>
      <c r="Q124" s="13">
        <f t="shared" si="57"/>
        <v>3371.9300188586958</v>
      </c>
    </row>
    <row r="125" spans="1:18" x14ac:dyDescent="0.3">
      <c r="E125" s="9"/>
      <c r="F125" s="19"/>
      <c r="G125" t="s">
        <v>759</v>
      </c>
      <c r="H125" s="13">
        <f>$H$116/20</f>
        <v>74041.119425000012</v>
      </c>
      <c r="I125" s="13">
        <f t="shared" ref="I125:Q125" si="58">$H$116/20</f>
        <v>74041.119425000012</v>
      </c>
      <c r="J125" s="13">
        <f t="shared" si="58"/>
        <v>74041.119425000012</v>
      </c>
      <c r="K125" s="13">
        <f t="shared" si="58"/>
        <v>74041.119425000012</v>
      </c>
      <c r="L125" s="13">
        <f t="shared" si="58"/>
        <v>74041.119425000012</v>
      </c>
      <c r="M125" s="13">
        <f t="shared" si="58"/>
        <v>74041.119425000012</v>
      </c>
      <c r="N125" s="13">
        <f t="shared" si="58"/>
        <v>74041.119425000012</v>
      </c>
      <c r="O125" s="13">
        <f t="shared" si="58"/>
        <v>74041.119425000012</v>
      </c>
      <c r="P125" s="13">
        <f t="shared" si="58"/>
        <v>74041.119425000012</v>
      </c>
      <c r="Q125" s="13">
        <f t="shared" si="58"/>
        <v>74041.119425000012</v>
      </c>
    </row>
    <row r="126" spans="1:18" x14ac:dyDescent="0.3">
      <c r="G126" t="s">
        <v>758</v>
      </c>
      <c r="H126" s="13">
        <f>H122+H123+H124+H125</f>
        <v>245292.02466275002</v>
      </c>
      <c r="I126" s="13">
        <f t="shared" ref="I126:Q126" si="59">I122+I123+I124+I125</f>
        <v>243224.27130300002</v>
      </c>
      <c r="J126" s="13">
        <f t="shared" si="59"/>
        <v>241234.39606824997</v>
      </c>
      <c r="K126" s="13">
        <f t="shared" si="59"/>
        <v>239324.34591162496</v>
      </c>
      <c r="L126" s="13">
        <f t="shared" si="59"/>
        <v>237496.11646007808</v>
      </c>
      <c r="M126" s="13">
        <f t="shared" si="59"/>
        <v>235751.75323123625</v>
      </c>
      <c r="N126" s="13">
        <f t="shared" si="59"/>
        <v>234093.35288066717</v>
      </c>
      <c r="O126" s="13">
        <f t="shared" si="59"/>
        <v>232523.06448032756</v>
      </c>
      <c r="P126" s="13">
        <f t="shared" si="59"/>
        <v>231043.09082897325</v>
      </c>
      <c r="Q126" s="13">
        <f t="shared" si="59"/>
        <v>229470.06815507883</v>
      </c>
    </row>
    <row r="127" spans="1:18" x14ac:dyDescent="0.3">
      <c r="A127" s="33"/>
      <c r="B127" s="33"/>
      <c r="C127" s="33"/>
      <c r="D127" t="s">
        <v>466</v>
      </c>
      <c r="E127" s="39"/>
      <c r="F127" s="9"/>
      <c r="G127" t="s">
        <v>549</v>
      </c>
      <c r="H127" s="13">
        <f>$J$116*$L$117</f>
        <v>309960</v>
      </c>
      <c r="I127" s="13">
        <f>H127*(1+$L$118)</f>
        <v>317709</v>
      </c>
      <c r="J127" s="13">
        <f t="shared" ref="J127:Q127" si="60">I127*(1+$L$118)</f>
        <v>325651.72499999998</v>
      </c>
      <c r="K127" s="13">
        <f t="shared" si="60"/>
        <v>333793.01812499994</v>
      </c>
      <c r="L127" s="13">
        <f t="shared" si="60"/>
        <v>342137.84357812488</v>
      </c>
      <c r="M127" s="13">
        <f t="shared" si="60"/>
        <v>350691.28966757795</v>
      </c>
      <c r="N127" s="13">
        <f t="shared" si="60"/>
        <v>359458.57190926734</v>
      </c>
      <c r="O127" s="13">
        <f t="shared" si="60"/>
        <v>368445.03620699898</v>
      </c>
      <c r="P127" s="13">
        <f t="shared" si="60"/>
        <v>377656.16211217392</v>
      </c>
      <c r="Q127" s="13">
        <f t="shared" si="60"/>
        <v>387097.56616497826</v>
      </c>
    </row>
    <row r="128" spans="1:18" x14ac:dyDescent="0.3">
      <c r="G128" t="s">
        <v>740</v>
      </c>
      <c r="H128" s="10">
        <f>H127-H126</f>
        <v>64667.975337249984</v>
      </c>
      <c r="I128" s="10">
        <f t="shared" ref="I128:Q128" si="61">I127-I126</f>
        <v>74484.728696999984</v>
      </c>
      <c r="J128" s="10">
        <f t="shared" si="61"/>
        <v>84417.328931750002</v>
      </c>
      <c r="K128" s="10">
        <f t="shared" si="61"/>
        <v>94468.672213374986</v>
      </c>
      <c r="L128" s="10">
        <f t="shared" si="61"/>
        <v>104641.72711804681</v>
      </c>
      <c r="M128" s="10">
        <f t="shared" si="61"/>
        <v>114939.5364363417</v>
      </c>
      <c r="N128" s="10">
        <f t="shared" si="61"/>
        <v>125365.21902860017</v>
      </c>
      <c r="O128" s="10">
        <f t="shared" si="61"/>
        <v>135921.97172667141</v>
      </c>
      <c r="P128" s="10">
        <f t="shared" si="61"/>
        <v>146613.07128320067</v>
      </c>
      <c r="Q128" s="10">
        <f t="shared" si="61"/>
        <v>157627.49800989943</v>
      </c>
    </row>
    <row r="129" spans="2:18" x14ac:dyDescent="0.3">
      <c r="G129" t="s">
        <v>755</v>
      </c>
      <c r="H129" s="10">
        <f>H128+H125+H117+H118-H116-H120</f>
        <v>35051.527567250072</v>
      </c>
      <c r="I129" s="10">
        <f>I128+I125-I120</f>
        <v>44868.280926999985</v>
      </c>
      <c r="J129" s="10">
        <f t="shared" ref="J129:Q129" si="62">J128+J125-J120</f>
        <v>54800.881161750003</v>
      </c>
      <c r="K129" s="10">
        <f t="shared" si="62"/>
        <v>64852.224443374987</v>
      </c>
      <c r="L129" s="10">
        <f t="shared" si="62"/>
        <v>75025.27934804681</v>
      </c>
      <c r="M129" s="10">
        <f t="shared" si="62"/>
        <v>85323.088666341704</v>
      </c>
      <c r="N129" s="10">
        <f t="shared" si="62"/>
        <v>95748.771258600173</v>
      </c>
      <c r="O129" s="10">
        <f t="shared" si="62"/>
        <v>106305.52395667142</v>
      </c>
      <c r="P129" s="10">
        <f t="shared" si="62"/>
        <v>116996.62351320067</v>
      </c>
      <c r="Q129" s="10">
        <f t="shared" si="62"/>
        <v>124298.61743489944</v>
      </c>
    </row>
    <row r="130" spans="2:18" x14ac:dyDescent="0.3">
      <c r="G130" t="s">
        <v>743</v>
      </c>
      <c r="H130" s="44">
        <v>0.1</v>
      </c>
      <c r="I130" s="53">
        <f>NPV(H130,H129:Q129)-H118</f>
        <v>1181.700333468616</v>
      </c>
      <c r="J130" s="76"/>
      <c r="K130" s="10"/>
      <c r="L130" s="10"/>
      <c r="M130" s="10"/>
      <c r="N130" s="10"/>
      <c r="O130" s="10"/>
      <c r="P130" s="10"/>
    </row>
    <row r="131" spans="2:18" x14ac:dyDescent="0.3">
      <c r="H131" s="59">
        <f>$A$44*$C$44*H127/$J$31/1000</f>
        <v>688.8</v>
      </c>
      <c r="I131" s="59">
        <f t="shared" ref="I131:Q131" si="63">$A$44*$C$44*I127/$J$31/1000</f>
        <v>706.02</v>
      </c>
      <c r="J131" s="59">
        <f t="shared" si="63"/>
        <v>723.67049999999983</v>
      </c>
      <c r="K131" s="59">
        <f t="shared" si="63"/>
        <v>741.76226249999991</v>
      </c>
      <c r="L131" s="59">
        <f t="shared" si="63"/>
        <v>760.30631906249971</v>
      </c>
      <c r="M131" s="59">
        <f t="shared" si="63"/>
        <v>779.31397703906202</v>
      </c>
      <c r="N131" s="59">
        <f t="shared" si="63"/>
        <v>798.79682646503863</v>
      </c>
      <c r="O131" s="59">
        <f t="shared" si="63"/>
        <v>818.76674712666443</v>
      </c>
      <c r="P131" s="59">
        <f t="shared" si="63"/>
        <v>839.23591580483094</v>
      </c>
      <c r="Q131" s="59">
        <f t="shared" si="63"/>
        <v>860.21681369995179</v>
      </c>
      <c r="R131" s="60">
        <f>SUM(H131:Q131)</f>
        <v>7716.8893616980477</v>
      </c>
    </row>
    <row r="134" spans="2:18" x14ac:dyDescent="0.3">
      <c r="B134" t="s">
        <v>988</v>
      </c>
    </row>
    <row r="135" spans="2:18" x14ac:dyDescent="0.3">
      <c r="E135">
        <v>2014</v>
      </c>
      <c r="F135">
        <v>2023</v>
      </c>
    </row>
    <row r="136" spans="2:18" x14ac:dyDescent="0.3">
      <c r="C136" s="8">
        <v>0.3</v>
      </c>
      <c r="E136">
        <v>96</v>
      </c>
      <c r="F136">
        <v>120</v>
      </c>
    </row>
    <row r="137" spans="2:18" x14ac:dyDescent="0.3">
      <c r="C137" s="8">
        <v>0.35</v>
      </c>
      <c r="E137">
        <v>101</v>
      </c>
      <c r="F137">
        <v>126</v>
      </c>
    </row>
    <row r="138" spans="2:18" x14ac:dyDescent="0.3">
      <c r="C138" s="8">
        <v>0.4</v>
      </c>
      <c r="E138">
        <v>106</v>
      </c>
      <c r="F138">
        <v>132</v>
      </c>
    </row>
    <row r="139" spans="2:18" x14ac:dyDescent="0.3">
      <c r="C139" s="8">
        <v>0.45</v>
      </c>
      <c r="E139">
        <v>110</v>
      </c>
      <c r="F139">
        <v>137</v>
      </c>
    </row>
    <row r="140" spans="2:18" x14ac:dyDescent="0.3">
      <c r="C140" s="8">
        <v>0.5</v>
      </c>
      <c r="E140">
        <v>115</v>
      </c>
      <c r="F140">
        <v>144</v>
      </c>
    </row>
    <row r="151" spans="2:6" x14ac:dyDescent="0.3">
      <c r="B151" t="s">
        <v>989</v>
      </c>
    </row>
    <row r="152" spans="2:6" x14ac:dyDescent="0.3">
      <c r="E152">
        <v>2014</v>
      </c>
      <c r="F152">
        <v>2023</v>
      </c>
    </row>
    <row r="153" spans="2:6" x14ac:dyDescent="0.3">
      <c r="C153" s="8">
        <v>0.3</v>
      </c>
      <c r="E153">
        <v>81</v>
      </c>
      <c r="F153">
        <v>101</v>
      </c>
    </row>
    <row r="154" spans="2:6" x14ac:dyDescent="0.3">
      <c r="C154" s="8">
        <v>0.35</v>
      </c>
      <c r="E154">
        <v>85</v>
      </c>
      <c r="F154">
        <v>106</v>
      </c>
    </row>
    <row r="155" spans="2:6" x14ac:dyDescent="0.3">
      <c r="C155" s="8">
        <v>0.4</v>
      </c>
      <c r="E155">
        <v>90</v>
      </c>
      <c r="F155">
        <v>112</v>
      </c>
    </row>
    <row r="156" spans="2:6" x14ac:dyDescent="0.3">
      <c r="C156" s="8">
        <v>0.45</v>
      </c>
      <c r="E156">
        <v>94</v>
      </c>
      <c r="F156">
        <v>117</v>
      </c>
    </row>
    <row r="157" spans="2:6" x14ac:dyDescent="0.3">
      <c r="C157" s="8">
        <v>0.5</v>
      </c>
      <c r="E157">
        <v>99</v>
      </c>
      <c r="F157">
        <v>124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opLeftCell="A33" workbookViewId="0">
      <selection activeCell="T55" sqref="T55"/>
    </sheetView>
  </sheetViews>
  <sheetFormatPr defaultRowHeight="14.4" x14ac:dyDescent="0.3"/>
  <cols>
    <col min="2" max="2" width="12.109375" bestFit="1" customWidth="1"/>
  </cols>
  <sheetData>
    <row r="1" spans="1:23" ht="15" thickBot="1" x14ac:dyDescent="0.35"/>
    <row r="2" spans="1:23" ht="15" thickBot="1" x14ac:dyDescent="0.35">
      <c r="A2" s="29" t="s">
        <v>516</v>
      </c>
      <c r="B2" s="22"/>
      <c r="C2" s="22"/>
      <c r="D2" s="12"/>
    </row>
    <row r="3" spans="1:23" x14ac:dyDescent="0.3">
      <c r="A3" s="1" t="s">
        <v>552</v>
      </c>
      <c r="B3" s="1"/>
      <c r="C3" s="1"/>
      <c r="D3" s="1"/>
      <c r="Q3" t="s">
        <v>836</v>
      </c>
    </row>
    <row r="4" spans="1:23" x14ac:dyDescent="0.3">
      <c r="A4" t="s">
        <v>517</v>
      </c>
      <c r="P4" s="62" t="s">
        <v>831</v>
      </c>
      <c r="Q4" s="2"/>
      <c r="R4" s="2"/>
      <c r="S4" s="2"/>
      <c r="T4" s="2"/>
      <c r="U4" s="2"/>
      <c r="V4" s="2"/>
      <c r="W4" s="2"/>
    </row>
    <row r="5" spans="1:23" x14ac:dyDescent="0.3">
      <c r="A5" t="s">
        <v>518</v>
      </c>
      <c r="D5">
        <v>1</v>
      </c>
      <c r="G5" t="s">
        <v>539</v>
      </c>
      <c r="I5" t="s">
        <v>466</v>
      </c>
      <c r="J5" s="14">
        <f>N6*N5/J12</f>
        <v>2.2825833333333332</v>
      </c>
      <c r="L5" t="s">
        <v>782</v>
      </c>
      <c r="N5">
        <v>90.3</v>
      </c>
      <c r="P5" s="62" t="s">
        <v>832</v>
      </c>
      <c r="Q5" s="2"/>
      <c r="R5" s="2"/>
      <c r="S5" s="2"/>
      <c r="T5" s="2"/>
      <c r="U5" s="2"/>
      <c r="V5" s="2"/>
      <c r="W5" s="2"/>
    </row>
    <row r="6" spans="1:23" x14ac:dyDescent="0.3">
      <c r="A6" t="s">
        <v>519</v>
      </c>
      <c r="D6">
        <v>1</v>
      </c>
      <c r="G6" t="s">
        <v>540</v>
      </c>
      <c r="I6" t="s">
        <v>466</v>
      </c>
      <c r="J6">
        <v>3.8</v>
      </c>
      <c r="K6" t="s">
        <v>976</v>
      </c>
      <c r="N6">
        <v>75</v>
      </c>
      <c r="O6" t="s">
        <v>753</v>
      </c>
      <c r="P6" s="62" t="s">
        <v>833</v>
      </c>
      <c r="Q6" s="2"/>
      <c r="R6" s="2"/>
      <c r="S6" s="2"/>
      <c r="T6" s="2"/>
      <c r="U6" s="2"/>
      <c r="V6" s="2"/>
      <c r="W6" s="2"/>
    </row>
    <row r="7" spans="1:23" ht="21" x14ac:dyDescent="0.4">
      <c r="A7" t="s">
        <v>520</v>
      </c>
      <c r="D7" s="47">
        <v>2700</v>
      </c>
      <c r="G7" t="s">
        <v>538</v>
      </c>
      <c r="J7" s="27">
        <v>0.04</v>
      </c>
      <c r="P7" s="62" t="s">
        <v>834</v>
      </c>
      <c r="Q7" s="2"/>
      <c r="R7" s="2"/>
      <c r="S7" s="2"/>
      <c r="T7" s="2"/>
      <c r="U7" s="2"/>
      <c r="V7" s="2"/>
      <c r="W7" s="2"/>
    </row>
    <row r="8" spans="1:23" x14ac:dyDescent="0.3">
      <c r="A8" t="s">
        <v>521</v>
      </c>
      <c r="D8">
        <v>0.86</v>
      </c>
      <c r="G8" t="s">
        <v>541</v>
      </c>
      <c r="J8" s="27">
        <v>1.4999999999999999E-2</v>
      </c>
      <c r="P8" s="63" t="s">
        <v>835</v>
      </c>
    </row>
    <row r="9" spans="1:23" x14ac:dyDescent="0.3">
      <c r="A9" t="s">
        <v>522</v>
      </c>
      <c r="D9" s="8">
        <v>0.09</v>
      </c>
      <c r="E9" s="77"/>
      <c r="G9" t="s">
        <v>542</v>
      </c>
      <c r="J9" s="8">
        <v>0.1</v>
      </c>
      <c r="L9" t="s">
        <v>543</v>
      </c>
    </row>
    <row r="10" spans="1:23" x14ac:dyDescent="0.3">
      <c r="A10" t="s">
        <v>523</v>
      </c>
      <c r="D10">
        <v>18</v>
      </c>
      <c r="G10" t="s">
        <v>545</v>
      </c>
      <c r="J10">
        <v>55</v>
      </c>
      <c r="L10" t="s">
        <v>556</v>
      </c>
    </row>
    <row r="11" spans="1:23" x14ac:dyDescent="0.3">
      <c r="A11" t="s">
        <v>524</v>
      </c>
      <c r="D11" s="10">
        <f>D12+D13</f>
        <v>650000</v>
      </c>
      <c r="G11" t="s">
        <v>687</v>
      </c>
      <c r="J11">
        <v>4000</v>
      </c>
      <c r="L11" t="s">
        <v>977</v>
      </c>
    </row>
    <row r="12" spans="1:23" x14ac:dyDescent="0.3">
      <c r="A12" t="s">
        <v>525</v>
      </c>
      <c r="D12" s="10">
        <v>350000</v>
      </c>
      <c r="G12" t="s">
        <v>972</v>
      </c>
      <c r="I12" t="s">
        <v>490</v>
      </c>
      <c r="J12" s="13">
        <f>D7/(1-0.09)</f>
        <v>2967.032967032967</v>
      </c>
    </row>
    <row r="13" spans="1:23" x14ac:dyDescent="0.3">
      <c r="A13" t="s">
        <v>526</v>
      </c>
      <c r="D13" s="10">
        <v>300000</v>
      </c>
      <c r="G13" t="s">
        <v>973</v>
      </c>
      <c r="I13" t="s">
        <v>490</v>
      </c>
      <c r="J13" s="32">
        <f>J12*D9</f>
        <v>267.03296703296701</v>
      </c>
    </row>
    <row r="14" spans="1:23" x14ac:dyDescent="0.3">
      <c r="A14" t="s">
        <v>527</v>
      </c>
      <c r="D14" s="10">
        <f>(D12+D13)*0.7</f>
        <v>455000</v>
      </c>
      <c r="E14" t="s">
        <v>747</v>
      </c>
      <c r="F14" s="10">
        <f>D11-D14</f>
        <v>195000</v>
      </c>
    </row>
    <row r="15" spans="1:23" x14ac:dyDescent="0.3">
      <c r="A15" t="s">
        <v>528</v>
      </c>
      <c r="D15" s="8">
        <v>0.05</v>
      </c>
    </row>
    <row r="16" spans="1:23" x14ac:dyDescent="0.3">
      <c r="A16" t="s">
        <v>529</v>
      </c>
      <c r="D16" s="10">
        <v>20</v>
      </c>
      <c r="G16" t="s">
        <v>726</v>
      </c>
      <c r="J16" s="8">
        <v>0.05</v>
      </c>
      <c r="L16" s="41" t="s">
        <v>728</v>
      </c>
    </row>
    <row r="17" spans="1:24" x14ac:dyDescent="0.3">
      <c r="A17" t="s">
        <v>530</v>
      </c>
      <c r="D17" s="10">
        <v>2</v>
      </c>
      <c r="G17" t="s">
        <v>727</v>
      </c>
      <c r="J17" s="26">
        <f>1/40</f>
        <v>2.5000000000000001E-2</v>
      </c>
    </row>
    <row r="18" spans="1:24" x14ac:dyDescent="0.3">
      <c r="A18" t="s">
        <v>531</v>
      </c>
      <c r="D18" s="27">
        <v>1.4999999999999999E-2</v>
      </c>
      <c r="J18">
        <f>J16*D12+J17*D13</f>
        <v>25000</v>
      </c>
    </row>
    <row r="19" spans="1:24" x14ac:dyDescent="0.3">
      <c r="A19" t="s">
        <v>532</v>
      </c>
      <c r="D19" s="10">
        <v>900</v>
      </c>
      <c r="V19" t="s">
        <v>708</v>
      </c>
    </row>
    <row r="20" spans="1:24" x14ac:dyDescent="0.3">
      <c r="A20" t="s">
        <v>533</v>
      </c>
      <c r="D20" s="27">
        <v>1.4999999999999999E-2</v>
      </c>
      <c r="V20" t="s">
        <v>709</v>
      </c>
    </row>
    <row r="21" spans="1:24" x14ac:dyDescent="0.3">
      <c r="A21" t="s">
        <v>534</v>
      </c>
      <c r="D21" s="8">
        <v>0.05</v>
      </c>
    </row>
    <row r="22" spans="1:24" ht="15" thickBot="1" x14ac:dyDescent="0.35">
      <c r="E22" s="31">
        <v>2014</v>
      </c>
      <c r="F22" s="31">
        <v>2015</v>
      </c>
      <c r="G22" s="31">
        <v>2016</v>
      </c>
      <c r="H22" s="31">
        <v>2017</v>
      </c>
      <c r="I22" s="31">
        <v>2018</v>
      </c>
      <c r="J22" s="31">
        <v>2019</v>
      </c>
      <c r="K22" s="31">
        <v>2020</v>
      </c>
      <c r="L22" s="31">
        <v>2021</v>
      </c>
      <c r="M22" s="31">
        <v>2022</v>
      </c>
      <c r="N22" s="31">
        <v>2023</v>
      </c>
      <c r="O22" s="31">
        <v>2024</v>
      </c>
      <c r="P22" s="31">
        <v>2025</v>
      </c>
      <c r="Q22" s="31">
        <v>2026</v>
      </c>
      <c r="R22" s="31">
        <v>2027</v>
      </c>
      <c r="S22" s="31">
        <v>2028</v>
      </c>
      <c r="T22" s="31">
        <v>2029</v>
      </c>
      <c r="U22" s="31">
        <v>2030</v>
      </c>
      <c r="V22" s="31"/>
    </row>
    <row r="23" spans="1:24" x14ac:dyDescent="0.3">
      <c r="A23" t="s">
        <v>535</v>
      </c>
      <c r="E23" s="13">
        <f>(D7+J13)/D8*D10</f>
        <v>62100.690007666752</v>
      </c>
      <c r="F23" s="13">
        <f t="shared" ref="F23:U23" si="0">E23*1.015</f>
        <v>63032.200357781745</v>
      </c>
      <c r="G23" s="13">
        <f t="shared" si="0"/>
        <v>63977.683363148462</v>
      </c>
      <c r="H23" s="13">
        <f t="shared" si="0"/>
        <v>64937.348613595685</v>
      </c>
      <c r="I23" s="13">
        <f t="shared" si="0"/>
        <v>65911.408842799618</v>
      </c>
      <c r="J23" s="13">
        <f t="shared" si="0"/>
        <v>66900.079975441608</v>
      </c>
      <c r="K23" s="13">
        <f t="shared" si="0"/>
        <v>67903.581175073225</v>
      </c>
      <c r="L23" s="13">
        <f t="shared" si="0"/>
        <v>68922.134892699323</v>
      </c>
      <c r="M23" s="13">
        <f t="shared" si="0"/>
        <v>69955.966916089805</v>
      </c>
      <c r="N23" s="13">
        <f t="shared" si="0"/>
        <v>71005.306419831148</v>
      </c>
      <c r="O23" s="13">
        <f t="shared" si="0"/>
        <v>72070.386016128614</v>
      </c>
      <c r="P23" s="13">
        <f t="shared" si="0"/>
        <v>73151.441806370538</v>
      </c>
      <c r="Q23" s="13">
        <f t="shared" si="0"/>
        <v>74248.713433466095</v>
      </c>
      <c r="R23" s="13">
        <f t="shared" si="0"/>
        <v>75362.444134968086</v>
      </c>
      <c r="S23" s="13">
        <f t="shared" si="0"/>
        <v>76492.880796992598</v>
      </c>
      <c r="T23" s="13">
        <f t="shared" si="0"/>
        <v>77640.274008947483</v>
      </c>
      <c r="U23" s="13">
        <f t="shared" si="0"/>
        <v>78804.878119081681</v>
      </c>
      <c r="V23" s="14"/>
      <c r="W23" s="14">
        <f>(D7+E9)/D8*21.6/D7</f>
        <v>25.116279069767447</v>
      </c>
      <c r="X23" t="s">
        <v>710</v>
      </c>
    </row>
    <row r="24" spans="1:24" x14ac:dyDescent="0.3">
      <c r="A24" t="s">
        <v>544</v>
      </c>
      <c r="E24" s="13">
        <f>D19*1.34*12*D17</f>
        <v>28944</v>
      </c>
      <c r="F24" s="13">
        <f>E24*1.05</f>
        <v>30391.200000000001</v>
      </c>
      <c r="G24" s="13">
        <f t="shared" ref="G24:U24" si="1">F24*1.015</f>
        <v>30847.067999999999</v>
      </c>
      <c r="H24" s="13">
        <f t="shared" si="1"/>
        <v>31309.774019999997</v>
      </c>
      <c r="I24" s="13">
        <f t="shared" si="1"/>
        <v>31779.420630299996</v>
      </c>
      <c r="J24" s="13">
        <f t="shared" si="1"/>
        <v>32256.111939754494</v>
      </c>
      <c r="K24" s="13">
        <f t="shared" si="1"/>
        <v>32739.953618850806</v>
      </c>
      <c r="L24" s="13">
        <f t="shared" si="1"/>
        <v>33231.052923133568</v>
      </c>
      <c r="M24" s="13">
        <f t="shared" si="1"/>
        <v>33729.518716980565</v>
      </c>
      <c r="N24" s="13">
        <f t="shared" si="1"/>
        <v>34235.461497735268</v>
      </c>
      <c r="O24" s="13">
        <f t="shared" si="1"/>
        <v>34748.993420201296</v>
      </c>
      <c r="P24" s="13">
        <f t="shared" si="1"/>
        <v>35270.228321504313</v>
      </c>
      <c r="Q24" s="13">
        <f t="shared" si="1"/>
        <v>35799.281746326873</v>
      </c>
      <c r="R24" s="13">
        <f t="shared" si="1"/>
        <v>36336.270972521772</v>
      </c>
      <c r="S24" s="13">
        <f t="shared" si="1"/>
        <v>36881.315037109598</v>
      </c>
      <c r="T24" s="13">
        <f t="shared" si="1"/>
        <v>37434.534762666241</v>
      </c>
      <c r="U24" s="13">
        <f t="shared" si="1"/>
        <v>37996.052784106229</v>
      </c>
      <c r="V24" s="14"/>
    </row>
    <row r="25" spans="1:24" x14ac:dyDescent="0.3">
      <c r="A25" t="s">
        <v>536</v>
      </c>
      <c r="E25" s="13">
        <f>2.3*(D7+E9)</f>
        <v>6209.9999999999991</v>
      </c>
      <c r="F25" s="13">
        <f>E25*1.015</f>
        <v>6303.1499999999987</v>
      </c>
      <c r="G25" s="13">
        <f t="shared" ref="G25:U25" si="2">F25*1.015</f>
        <v>6397.6972499999983</v>
      </c>
      <c r="H25" s="13">
        <f t="shared" si="2"/>
        <v>6493.6627087499974</v>
      </c>
      <c r="I25" s="13">
        <f t="shared" si="2"/>
        <v>6591.0676493812471</v>
      </c>
      <c r="J25" s="13">
        <f t="shared" si="2"/>
        <v>6689.9336641219652</v>
      </c>
      <c r="K25" s="13">
        <f t="shared" si="2"/>
        <v>6790.2826690837937</v>
      </c>
      <c r="L25" s="13">
        <f t="shared" si="2"/>
        <v>6892.1369091200504</v>
      </c>
      <c r="M25" s="13">
        <f t="shared" si="2"/>
        <v>6995.5189627568507</v>
      </c>
      <c r="N25" s="13">
        <f t="shared" si="2"/>
        <v>7100.4517471982026</v>
      </c>
      <c r="O25" s="13">
        <f t="shared" si="2"/>
        <v>7206.9585234061751</v>
      </c>
      <c r="P25" s="13">
        <f t="shared" si="2"/>
        <v>7315.0629012572672</v>
      </c>
      <c r="Q25" s="13">
        <f t="shared" si="2"/>
        <v>7424.7888447761252</v>
      </c>
      <c r="R25" s="13">
        <f t="shared" si="2"/>
        <v>7536.1606774477659</v>
      </c>
      <c r="S25" s="13">
        <f t="shared" si="2"/>
        <v>7649.2030876094814</v>
      </c>
      <c r="T25" s="13">
        <f t="shared" si="2"/>
        <v>7763.9411339236231</v>
      </c>
      <c r="U25" s="13">
        <f t="shared" si="2"/>
        <v>7880.4002509324764</v>
      </c>
      <c r="V25" s="14"/>
    </row>
    <row r="26" spans="1:24" x14ac:dyDescent="0.3">
      <c r="A26" t="s">
        <v>537</v>
      </c>
      <c r="E26" s="13">
        <f>3.8*(D7+J13)</f>
        <v>11274.725274725273</v>
      </c>
      <c r="F26" s="13">
        <f t="shared" ref="F26:U26" si="3">E26*1.1</f>
        <v>12402.197802197801</v>
      </c>
      <c r="G26" s="13">
        <f t="shared" si="3"/>
        <v>13642.417582417582</v>
      </c>
      <c r="H26" s="13">
        <f t="shared" si="3"/>
        <v>15006.659340659342</v>
      </c>
      <c r="I26" s="13">
        <f t="shared" si="3"/>
        <v>16507.325274725277</v>
      </c>
      <c r="J26" s="13">
        <f t="shared" si="3"/>
        <v>18158.057802197807</v>
      </c>
      <c r="K26" s="13">
        <f t="shared" si="3"/>
        <v>19973.863582417591</v>
      </c>
      <c r="L26" s="13">
        <f t="shared" si="3"/>
        <v>21971.249940659352</v>
      </c>
      <c r="M26" s="13">
        <f t="shared" si="3"/>
        <v>24168.374934725289</v>
      </c>
      <c r="N26" s="13">
        <f t="shared" si="3"/>
        <v>26585.212428197821</v>
      </c>
      <c r="O26" s="13">
        <f t="shared" si="3"/>
        <v>29243.733671017606</v>
      </c>
      <c r="P26" s="13">
        <f t="shared" si="3"/>
        <v>32168.107038119368</v>
      </c>
      <c r="Q26" s="13">
        <f t="shared" si="3"/>
        <v>35384.917741931305</v>
      </c>
      <c r="R26" s="13">
        <f t="shared" si="3"/>
        <v>38923.40951612444</v>
      </c>
      <c r="S26" s="13">
        <f t="shared" si="3"/>
        <v>42815.750467736885</v>
      </c>
      <c r="T26" s="13">
        <f t="shared" si="3"/>
        <v>47097.32551451058</v>
      </c>
      <c r="U26" s="13">
        <f t="shared" si="3"/>
        <v>51807.058065961639</v>
      </c>
      <c r="V26" s="14"/>
    </row>
    <row r="27" spans="1:24" x14ac:dyDescent="0.3">
      <c r="A27" t="s">
        <v>546</v>
      </c>
      <c r="E27" s="13">
        <f>SUM(E23:E26)*J7</f>
        <v>4341.1766112956811</v>
      </c>
      <c r="F27" s="13">
        <f>SUM(F23:F26)*J7</f>
        <v>4485.1499263991818</v>
      </c>
      <c r="G27" s="13">
        <f>SUM(G23:G26)*J7</f>
        <v>4594.5946478226415</v>
      </c>
      <c r="H27" s="13">
        <f>SUM(H23:H26)*J7</f>
        <v>4709.8977873202011</v>
      </c>
      <c r="I27" s="13">
        <f>SUM(I23:I26)*J7</f>
        <v>4831.5688958882456</v>
      </c>
      <c r="J27" s="13">
        <f>SUM(J23:J26)*J7</f>
        <v>4960.1673352606349</v>
      </c>
      <c r="K27" s="13">
        <f>SUM(K23:K26)*J7</f>
        <v>5096.3072418170168</v>
      </c>
      <c r="L27" s="13">
        <f>SUM(L23:L26)*J7</f>
        <v>5240.6629866244921</v>
      </c>
      <c r="M27" s="13">
        <f>SUM(M23:M26)*J7</f>
        <v>5393.9751812221002</v>
      </c>
      <c r="N27" s="13">
        <f>SUM(N23:N26)*J7</f>
        <v>5557.0572837184973</v>
      </c>
      <c r="O27" s="13">
        <f>SUM(O23:O26)*J7</f>
        <v>5730.8028652301482</v>
      </c>
      <c r="P27" s="13">
        <f>SUM(P23:P26)*J7</f>
        <v>5916.1936026900585</v>
      </c>
      <c r="Q27" s="13">
        <f>SUM(Q23:Q26)*J7</f>
        <v>6114.3080706600158</v>
      </c>
      <c r="R27" s="13">
        <f>SUM(R23:R26)*J7</f>
        <v>6326.331412042483</v>
      </c>
      <c r="S27" s="13">
        <f>SUM(S23:S26)*J7</f>
        <v>6553.5659755779434</v>
      </c>
      <c r="T27" s="13">
        <f>SUM(T23:T26)*0.04</f>
        <v>6797.4430168019171</v>
      </c>
      <c r="U27" s="13">
        <f>SUM(U23:U26)*0.04</f>
        <v>7059.5355688032814</v>
      </c>
      <c r="V27" s="14"/>
    </row>
    <row r="28" spans="1:24" x14ac:dyDescent="0.3">
      <c r="A28" t="s">
        <v>731</v>
      </c>
      <c r="E28" s="13">
        <f>SUM(E23:E27)</f>
        <v>112870.59189368771</v>
      </c>
      <c r="F28" s="13">
        <f t="shared" ref="F28:U28" si="4">SUM(F23:F27)</f>
        <v>116613.89808637873</v>
      </c>
      <c r="G28" s="13">
        <f t="shared" si="4"/>
        <v>119459.46084338868</v>
      </c>
      <c r="H28" s="13">
        <f t="shared" si="4"/>
        <v>122457.34247032522</v>
      </c>
      <c r="I28" s="13">
        <f t="shared" si="4"/>
        <v>125620.7912930944</v>
      </c>
      <c r="J28" s="13">
        <f t="shared" si="4"/>
        <v>128964.35071677651</v>
      </c>
      <c r="K28" s="13">
        <f t="shared" si="4"/>
        <v>132503.98828724242</v>
      </c>
      <c r="L28" s="13">
        <f t="shared" si="4"/>
        <v>136257.2376522368</v>
      </c>
      <c r="M28" s="13">
        <f t="shared" si="4"/>
        <v>140243.35471177462</v>
      </c>
      <c r="N28" s="13">
        <f t="shared" si="4"/>
        <v>144483.48937668093</v>
      </c>
      <c r="O28" s="13">
        <f t="shared" si="4"/>
        <v>149000.87449598385</v>
      </c>
      <c r="P28" s="13">
        <f t="shared" si="4"/>
        <v>153821.03366994153</v>
      </c>
      <c r="Q28" s="13">
        <f t="shared" si="4"/>
        <v>158972.00983716041</v>
      </c>
      <c r="R28" s="13">
        <f t="shared" si="4"/>
        <v>164484.61671310457</v>
      </c>
      <c r="S28" s="13">
        <f t="shared" si="4"/>
        <v>170392.71536502652</v>
      </c>
      <c r="T28" s="13">
        <f t="shared" si="4"/>
        <v>176733.51843684982</v>
      </c>
      <c r="U28" s="13">
        <f t="shared" si="4"/>
        <v>183547.92478888531</v>
      </c>
      <c r="V28" s="13"/>
    </row>
    <row r="29" spans="1:24" x14ac:dyDescent="0.3">
      <c r="A29" t="s">
        <v>547</v>
      </c>
      <c r="E29">
        <f>(J16*D12+D13*J17)</f>
        <v>25000</v>
      </c>
      <c r="F29" s="13">
        <f>$J$16*$D$12+$J$17*$D$13</f>
        <v>25000</v>
      </c>
      <c r="G29" s="13">
        <f t="shared" ref="G29:U29" si="5">$J$16*$D$12+$J$17*$D$13</f>
        <v>25000</v>
      </c>
      <c r="H29" s="13">
        <f t="shared" si="5"/>
        <v>25000</v>
      </c>
      <c r="I29" s="13">
        <f t="shared" si="5"/>
        <v>25000</v>
      </c>
      <c r="J29" s="13">
        <f t="shared" si="5"/>
        <v>25000</v>
      </c>
      <c r="K29" s="13">
        <f t="shared" si="5"/>
        <v>25000</v>
      </c>
      <c r="L29" s="13">
        <f t="shared" si="5"/>
        <v>25000</v>
      </c>
      <c r="M29" s="13">
        <f t="shared" si="5"/>
        <v>25000</v>
      </c>
      <c r="N29" s="13">
        <f t="shared" si="5"/>
        <v>25000</v>
      </c>
      <c r="O29" s="13">
        <f t="shared" si="5"/>
        <v>25000</v>
      </c>
      <c r="P29" s="13">
        <f t="shared" si="5"/>
        <v>25000</v>
      </c>
      <c r="Q29" s="13">
        <f t="shared" si="5"/>
        <v>25000</v>
      </c>
      <c r="R29" s="13">
        <f t="shared" si="5"/>
        <v>25000</v>
      </c>
      <c r="S29" s="13">
        <f t="shared" si="5"/>
        <v>25000</v>
      </c>
      <c r="T29" s="13">
        <f t="shared" si="5"/>
        <v>25000</v>
      </c>
      <c r="U29" s="13">
        <f t="shared" si="5"/>
        <v>25000</v>
      </c>
      <c r="V29" s="13"/>
    </row>
    <row r="30" spans="1:24" x14ac:dyDescent="0.3">
      <c r="A30" t="s">
        <v>730</v>
      </c>
      <c r="E30">
        <f>$D$14/10</f>
        <v>45500</v>
      </c>
      <c r="F30">
        <f>$D$14/10</f>
        <v>45500</v>
      </c>
      <c r="G30">
        <f t="shared" ref="G30:N30" si="6">$D$14/10</f>
        <v>45500</v>
      </c>
      <c r="H30">
        <f t="shared" si="6"/>
        <v>45500</v>
      </c>
      <c r="I30">
        <f t="shared" si="6"/>
        <v>45500</v>
      </c>
      <c r="J30">
        <f t="shared" si="6"/>
        <v>45500</v>
      </c>
      <c r="K30">
        <f t="shared" si="6"/>
        <v>45500</v>
      </c>
      <c r="L30">
        <f t="shared" si="6"/>
        <v>45500</v>
      </c>
      <c r="M30">
        <f t="shared" si="6"/>
        <v>45500</v>
      </c>
      <c r="N30">
        <f t="shared" si="6"/>
        <v>45500</v>
      </c>
      <c r="O30" s="13">
        <f>D14-SUM(E30:N30)</f>
        <v>0</v>
      </c>
      <c r="P30" s="13"/>
      <c r="Q30" s="13"/>
      <c r="R30" s="13"/>
      <c r="S30" s="13"/>
      <c r="T30" s="13"/>
      <c r="U30" s="13"/>
      <c r="V30" s="13"/>
    </row>
    <row r="31" spans="1:24" x14ac:dyDescent="0.3">
      <c r="A31" t="s">
        <v>732</v>
      </c>
      <c r="E31" s="10">
        <f>$D$14-E30</f>
        <v>409500</v>
      </c>
      <c r="F31" s="10">
        <f>E31-F30</f>
        <v>364000</v>
      </c>
      <c r="G31" s="10">
        <f t="shared" ref="G31:O31" si="7">F31-G30</f>
        <v>318500</v>
      </c>
      <c r="H31" s="10">
        <f t="shared" si="7"/>
        <v>273000</v>
      </c>
      <c r="I31" s="10">
        <f t="shared" si="7"/>
        <v>227500</v>
      </c>
      <c r="J31" s="10">
        <f t="shared" si="7"/>
        <v>182000</v>
      </c>
      <c r="K31" s="10">
        <f t="shared" si="7"/>
        <v>136500</v>
      </c>
      <c r="L31" s="10">
        <f t="shared" si="7"/>
        <v>91000</v>
      </c>
      <c r="M31" s="10">
        <f t="shared" si="7"/>
        <v>45500</v>
      </c>
      <c r="N31" s="10">
        <f t="shared" si="7"/>
        <v>0</v>
      </c>
      <c r="O31" s="10">
        <f t="shared" si="7"/>
        <v>0</v>
      </c>
      <c r="P31" s="13"/>
      <c r="Q31" s="13"/>
      <c r="R31" s="13"/>
      <c r="S31" s="13"/>
      <c r="T31" s="13"/>
      <c r="U31" s="13"/>
      <c r="V31" s="13"/>
    </row>
    <row r="32" spans="1:24" x14ac:dyDescent="0.3">
      <c r="A32" t="s">
        <v>733</v>
      </c>
      <c r="E32" s="13">
        <f>E31*$D$15</f>
        <v>20475</v>
      </c>
      <c r="F32" s="13">
        <f t="shared" ref="F32:O32" si="8">F31*$D$15</f>
        <v>18200</v>
      </c>
      <c r="G32" s="13">
        <f t="shared" si="8"/>
        <v>15925</v>
      </c>
      <c r="H32" s="13">
        <f t="shared" si="8"/>
        <v>13650</v>
      </c>
      <c r="I32" s="13">
        <f t="shared" si="8"/>
        <v>11375</v>
      </c>
      <c r="J32" s="13">
        <f t="shared" si="8"/>
        <v>9100</v>
      </c>
      <c r="K32" s="13">
        <f t="shared" si="8"/>
        <v>6825</v>
      </c>
      <c r="L32" s="13">
        <f t="shared" si="8"/>
        <v>4550</v>
      </c>
      <c r="M32" s="13">
        <f t="shared" si="8"/>
        <v>2275</v>
      </c>
      <c r="N32" s="13">
        <f t="shared" si="8"/>
        <v>0</v>
      </c>
      <c r="O32" s="13">
        <f t="shared" si="8"/>
        <v>0</v>
      </c>
      <c r="P32" s="13"/>
      <c r="Q32" s="13"/>
      <c r="R32" s="13"/>
      <c r="S32" s="13"/>
      <c r="T32" s="13"/>
      <c r="U32" s="13"/>
      <c r="V32" s="14"/>
    </row>
    <row r="33" spans="1:23" x14ac:dyDescent="0.3">
      <c r="A33" t="s">
        <v>734</v>
      </c>
      <c r="E33" s="13">
        <f>E28+E29+E32</f>
        <v>158345.59189368773</v>
      </c>
      <c r="F33" s="13">
        <f t="shared" ref="F33:U33" si="9">F28+F29+F32</f>
        <v>159813.89808637873</v>
      </c>
      <c r="G33" s="13">
        <f t="shared" si="9"/>
        <v>160384.46084338869</v>
      </c>
      <c r="H33" s="13">
        <f t="shared" si="9"/>
        <v>161107.34247032524</v>
      </c>
      <c r="I33" s="13">
        <f t="shared" si="9"/>
        <v>161995.7912930944</v>
      </c>
      <c r="J33" s="13">
        <f t="shared" si="9"/>
        <v>163064.35071677651</v>
      </c>
      <c r="K33" s="13">
        <f t="shared" si="9"/>
        <v>164328.98828724242</v>
      </c>
      <c r="L33" s="13">
        <f t="shared" si="9"/>
        <v>165807.2376522368</v>
      </c>
      <c r="M33" s="13">
        <f t="shared" si="9"/>
        <v>167518.35471177462</v>
      </c>
      <c r="N33" s="13">
        <f t="shared" si="9"/>
        <v>169483.48937668093</v>
      </c>
      <c r="O33" s="13">
        <f t="shared" si="9"/>
        <v>174000.87449598385</v>
      </c>
      <c r="P33" s="13">
        <f>P28+P29+P32</f>
        <v>178821.03366994153</v>
      </c>
      <c r="Q33" s="13">
        <f t="shared" si="9"/>
        <v>183972.00983716041</v>
      </c>
      <c r="R33" s="13">
        <f t="shared" si="9"/>
        <v>189484.61671310457</v>
      </c>
      <c r="S33" s="13">
        <f t="shared" si="9"/>
        <v>195392.71536502652</v>
      </c>
      <c r="T33" s="13">
        <f t="shared" si="9"/>
        <v>201733.51843684982</v>
      </c>
      <c r="U33" s="13">
        <f t="shared" si="9"/>
        <v>208547.92478888531</v>
      </c>
      <c r="V33" s="13"/>
    </row>
    <row r="34" spans="1:23" x14ac:dyDescent="0.3">
      <c r="A34" t="s">
        <v>736</v>
      </c>
      <c r="E34" s="13">
        <f>E33/$D$7</f>
        <v>58.646515516180642</v>
      </c>
      <c r="F34" s="13">
        <f t="shared" ref="F34:U34" si="10">F33/$D$7</f>
        <v>59.190332624584713</v>
      </c>
      <c r="G34" s="13">
        <f t="shared" si="10"/>
        <v>59.401652164218035</v>
      </c>
      <c r="H34" s="13">
        <f t="shared" si="10"/>
        <v>59.669386100120455</v>
      </c>
      <c r="I34" s="13">
        <f t="shared" si="10"/>
        <v>59.998441219664592</v>
      </c>
      <c r="J34" s="13">
        <f t="shared" si="10"/>
        <v>60.39420396917648</v>
      </c>
      <c r="K34" s="13">
        <f t="shared" si="10"/>
        <v>60.862588254534231</v>
      </c>
      <c r="L34" s="13">
        <f t="shared" si="10"/>
        <v>61.410088019346965</v>
      </c>
      <c r="M34" s="13">
        <f t="shared" si="10"/>
        <v>62.043835078435045</v>
      </c>
      <c r="N34" s="13">
        <f t="shared" si="10"/>
        <v>62.771662732104048</v>
      </c>
      <c r="O34" s="13">
        <f t="shared" si="10"/>
        <v>64.444768331845864</v>
      </c>
      <c r="P34" s="13">
        <f t="shared" si="10"/>
        <v>66.230012470348711</v>
      </c>
      <c r="Q34" s="13">
        <f t="shared" si="10"/>
        <v>68.137781421170516</v>
      </c>
      <c r="R34" s="13">
        <f t="shared" si="10"/>
        <v>70.179487671520207</v>
      </c>
      <c r="S34" s="13">
        <f t="shared" si="10"/>
        <v>72.367672357417234</v>
      </c>
      <c r="T34" s="13">
        <f t="shared" si="10"/>
        <v>74.716117939574005</v>
      </c>
      <c r="U34" s="13">
        <f t="shared" si="10"/>
        <v>77.239972144031597</v>
      </c>
      <c r="V34" s="13"/>
    </row>
    <row r="35" spans="1:23" x14ac:dyDescent="0.3">
      <c r="A35" t="s">
        <v>740</v>
      </c>
      <c r="E35" s="13">
        <f>E41-E28-E32</f>
        <v>21170.863979734233</v>
      </c>
      <c r="F35" s="13">
        <f t="shared" ref="F35:U35" si="11">F41-F28-F32</f>
        <v>39074.534745215933</v>
      </c>
      <c r="G35" s="13">
        <f t="shared" si="11"/>
        <v>40100.961152108488</v>
      </c>
      <c r="H35" s="13">
        <f t="shared" si="11"/>
        <v>41127.768356175788</v>
      </c>
      <c r="I35" s="13">
        <f t="shared" si="11"/>
        <v>42154.989478232717</v>
      </c>
      <c r="J35" s="13">
        <f t="shared" si="11"/>
        <v>43182.660876791953</v>
      </c>
      <c r="K35" s="13">
        <f t="shared" si="11"/>
        <v>44210.822470718122</v>
      </c>
      <c r="L35" s="13">
        <f t="shared" si="11"/>
        <v>45239.518094130588</v>
      </c>
      <c r="M35" s="13">
        <f t="shared" si="11"/>
        <v>46268.795886779437</v>
      </c>
      <c r="N35" s="13">
        <f t="shared" si="11"/>
        <v>47298.708723441698</v>
      </c>
      <c r="O35" s="13">
        <f t="shared" si="11"/>
        <v>46060.002186239959</v>
      </c>
      <c r="P35" s="13">
        <f t="shared" si="11"/>
        <v>44822.052584174846</v>
      </c>
      <c r="Q35" s="13">
        <f t="shared" si="11"/>
        <v>43584.930024592875</v>
      </c>
      <c r="R35" s="13">
        <f t="shared" si="11"/>
        <v>42348.711541782774</v>
      </c>
      <c r="S35" s="13">
        <f t="shared" si="11"/>
        <v>41113.48178841258</v>
      </c>
      <c r="T35" s="13">
        <f t="shared" si="11"/>
        <v>39879.333796092134</v>
      </c>
      <c r="U35" s="13">
        <f t="shared" si="11"/>
        <v>38646.369811972225</v>
      </c>
      <c r="V35" s="13"/>
    </row>
    <row r="36" spans="1:23" x14ac:dyDescent="0.3">
      <c r="A36" t="s">
        <v>741</v>
      </c>
      <c r="E36" s="13">
        <f>E41-E33</f>
        <v>-3829.1360202657816</v>
      </c>
      <c r="F36" s="13">
        <f t="shared" ref="F36:U36" si="12">F41-F33</f>
        <v>14074.534745215933</v>
      </c>
      <c r="G36" s="13">
        <f t="shared" si="12"/>
        <v>15100.961152108473</v>
      </c>
      <c r="H36" s="13">
        <f t="shared" si="12"/>
        <v>16127.768356175773</v>
      </c>
      <c r="I36" s="13">
        <f t="shared" si="12"/>
        <v>17154.989478232717</v>
      </c>
      <c r="J36" s="13">
        <f t="shared" si="12"/>
        <v>18182.660876791953</v>
      </c>
      <c r="K36" s="13">
        <f t="shared" si="12"/>
        <v>19210.822470718122</v>
      </c>
      <c r="L36" s="13">
        <f t="shared" si="12"/>
        <v>20239.518094130588</v>
      </c>
      <c r="M36" s="13">
        <f t="shared" si="12"/>
        <v>21268.795886779437</v>
      </c>
      <c r="N36" s="13">
        <f t="shared" si="12"/>
        <v>22298.708723441698</v>
      </c>
      <c r="O36" s="13">
        <f t="shared" si="12"/>
        <v>21060.002186239959</v>
      </c>
      <c r="P36" s="13">
        <f t="shared" si="12"/>
        <v>19822.052584174846</v>
      </c>
      <c r="Q36" s="13">
        <f t="shared" si="12"/>
        <v>18584.930024592875</v>
      </c>
      <c r="R36" s="13">
        <f t="shared" si="12"/>
        <v>17348.711541782774</v>
      </c>
      <c r="S36" s="13">
        <f t="shared" si="12"/>
        <v>16113.48178841258</v>
      </c>
      <c r="T36" s="13">
        <f t="shared" si="12"/>
        <v>14879.333796092134</v>
      </c>
      <c r="U36" s="13">
        <f t="shared" si="12"/>
        <v>13646.369811972225</v>
      </c>
      <c r="V36" s="13"/>
    </row>
    <row r="37" spans="1:23" x14ac:dyDescent="0.3">
      <c r="A37" t="s">
        <v>739</v>
      </c>
      <c r="E37" s="13">
        <f>D14-D11+E35+E29-E30</f>
        <v>-194329.13602026575</v>
      </c>
      <c r="F37" s="13">
        <f>F35+F29-F30</f>
        <v>18574.534745215933</v>
      </c>
      <c r="G37" s="13">
        <f t="shared" ref="G37:U37" si="13">G35+G29-G30</f>
        <v>19600.961152108488</v>
      </c>
      <c r="H37" s="13">
        <f t="shared" si="13"/>
        <v>20627.768356175788</v>
      </c>
      <c r="I37" s="13">
        <f t="shared" si="13"/>
        <v>21654.989478232717</v>
      </c>
      <c r="J37" s="13">
        <f t="shared" si="13"/>
        <v>22682.660876791953</v>
      </c>
      <c r="K37" s="13">
        <f t="shared" si="13"/>
        <v>23710.822470718122</v>
      </c>
      <c r="L37" s="13">
        <f t="shared" si="13"/>
        <v>24739.518094130588</v>
      </c>
      <c r="M37" s="13">
        <f t="shared" si="13"/>
        <v>25768.795886779437</v>
      </c>
      <c r="N37" s="13">
        <f t="shared" si="13"/>
        <v>26798.708723441698</v>
      </c>
      <c r="O37" s="13">
        <f t="shared" si="13"/>
        <v>71060.002186239959</v>
      </c>
      <c r="P37" s="13">
        <f t="shared" si="13"/>
        <v>69822.052584174846</v>
      </c>
      <c r="Q37" s="13">
        <f t="shared" si="13"/>
        <v>68584.930024592875</v>
      </c>
      <c r="R37" s="13">
        <f t="shared" si="13"/>
        <v>67348.711541782774</v>
      </c>
      <c r="S37" s="13">
        <f t="shared" si="13"/>
        <v>66113.48178841258</v>
      </c>
      <c r="T37" s="13">
        <f t="shared" si="13"/>
        <v>64879.333796092134</v>
      </c>
      <c r="U37" s="13">
        <f t="shared" si="13"/>
        <v>63646.369811972225</v>
      </c>
      <c r="V37" s="13"/>
    </row>
    <row r="38" spans="1:23" ht="15" thickBot="1" x14ac:dyDescent="0.35">
      <c r="A38" t="s">
        <v>742</v>
      </c>
      <c r="E38" s="13">
        <f>D38+E37</f>
        <v>-194329.13602026575</v>
      </c>
      <c r="F38" s="13">
        <f t="shared" ref="F38:U38" si="14">E38+F37</f>
        <v>-175754.60127504982</v>
      </c>
      <c r="G38" s="13">
        <f t="shared" si="14"/>
        <v>-156153.64012294135</v>
      </c>
      <c r="H38" s="13">
        <f t="shared" si="14"/>
        <v>-135525.87176676554</v>
      </c>
      <c r="I38" s="13">
        <f t="shared" si="14"/>
        <v>-113870.88228853283</v>
      </c>
      <c r="J38" s="13">
        <f t="shared" si="14"/>
        <v>-91188.221411740873</v>
      </c>
      <c r="K38" s="13">
        <f t="shared" si="14"/>
        <v>-67477.398941022751</v>
      </c>
      <c r="L38" s="13">
        <f t="shared" si="14"/>
        <v>-42737.880846892163</v>
      </c>
      <c r="M38" s="13">
        <f t="shared" si="14"/>
        <v>-16969.084960112727</v>
      </c>
      <c r="N38" s="13">
        <f t="shared" si="14"/>
        <v>9829.6237633289711</v>
      </c>
      <c r="O38" s="13">
        <f t="shared" si="14"/>
        <v>80889.62594956893</v>
      </c>
      <c r="P38" s="13">
        <f t="shared" si="14"/>
        <v>150711.67853374378</v>
      </c>
      <c r="Q38" s="13">
        <f t="shared" si="14"/>
        <v>219296.60855833665</v>
      </c>
      <c r="R38" s="13">
        <f t="shared" si="14"/>
        <v>286645.32010011945</v>
      </c>
      <c r="S38" s="13">
        <f t="shared" si="14"/>
        <v>352758.80188853201</v>
      </c>
      <c r="T38" s="13">
        <f t="shared" si="14"/>
        <v>417638.13568462414</v>
      </c>
      <c r="U38" s="13">
        <f t="shared" si="14"/>
        <v>481284.50549659634</v>
      </c>
      <c r="V38" s="13"/>
    </row>
    <row r="39" spans="1:23" ht="15" thickBot="1" x14ac:dyDescent="0.35">
      <c r="A39" t="s">
        <v>748</v>
      </c>
      <c r="B39" s="92">
        <f>NPV(E39,E37:V37)-F14</f>
        <v>-78189.129903432462</v>
      </c>
      <c r="E39" s="93">
        <v>7.8E-2</v>
      </c>
    </row>
    <row r="40" spans="1:23" x14ac:dyDescent="0.3">
      <c r="A40" t="s">
        <v>735</v>
      </c>
      <c r="D40">
        <v>0</v>
      </c>
      <c r="E40" s="10">
        <f>D12+D13</f>
        <v>650000</v>
      </c>
      <c r="F40">
        <f>E40-$D$12*$J$16-$J$17*$D$13</f>
        <v>625000</v>
      </c>
      <c r="G40">
        <f t="shared" ref="G40:U40" si="15">F40-$D$12*$J$16-$J$17*$D$13</f>
        <v>600000</v>
      </c>
      <c r="H40">
        <f t="shared" si="15"/>
        <v>575000</v>
      </c>
      <c r="I40">
        <f t="shared" si="15"/>
        <v>550000</v>
      </c>
      <c r="J40">
        <f t="shared" si="15"/>
        <v>525000</v>
      </c>
      <c r="K40">
        <f t="shared" si="15"/>
        <v>500000</v>
      </c>
      <c r="L40">
        <f t="shared" si="15"/>
        <v>475000</v>
      </c>
      <c r="M40">
        <f t="shared" si="15"/>
        <v>450000</v>
      </c>
      <c r="N40">
        <f t="shared" si="15"/>
        <v>425000</v>
      </c>
      <c r="O40">
        <f t="shared" si="15"/>
        <v>400000</v>
      </c>
      <c r="P40">
        <f t="shared" si="15"/>
        <v>375000</v>
      </c>
      <c r="Q40">
        <f t="shared" si="15"/>
        <v>350000</v>
      </c>
      <c r="R40">
        <f t="shared" si="15"/>
        <v>325000</v>
      </c>
      <c r="S40">
        <f t="shared" si="15"/>
        <v>300000</v>
      </c>
      <c r="T40">
        <f t="shared" si="15"/>
        <v>275000</v>
      </c>
      <c r="U40">
        <f t="shared" si="15"/>
        <v>250000</v>
      </c>
    </row>
    <row r="41" spans="1:23" x14ac:dyDescent="0.3">
      <c r="A41" t="s">
        <v>549</v>
      </c>
      <c r="E41" s="13">
        <f>E44</f>
        <v>154516.45587342195</v>
      </c>
      <c r="F41" s="13">
        <f>F45*D7</f>
        <v>173888.43283159466</v>
      </c>
      <c r="G41" s="13">
        <f>G45*D7</f>
        <v>175485.42199549716</v>
      </c>
      <c r="H41" s="13">
        <f>H45*D7</f>
        <v>177235.11082650101</v>
      </c>
      <c r="I41" s="13">
        <f>I45*D7</f>
        <v>179150.78077132712</v>
      </c>
      <c r="J41" s="13">
        <f>J45*D7</f>
        <v>181247.01159356846</v>
      </c>
      <c r="K41" s="13">
        <f>K45*D7</f>
        <v>183539.81075796054</v>
      </c>
      <c r="L41" s="13">
        <f>L45*D7</f>
        <v>186046.75574636739</v>
      </c>
      <c r="M41">
        <f>M45*D7</f>
        <v>188787.15059855406</v>
      </c>
      <c r="N41" s="13">
        <f>N45*D7</f>
        <v>191782.19810012262</v>
      </c>
      <c r="O41" s="13">
        <f>O45*D7</f>
        <v>195060.87668222381</v>
      </c>
      <c r="P41" s="13">
        <f>P45*D7</f>
        <v>198643.08625411638</v>
      </c>
      <c r="Q41" s="13">
        <f>Q45*D7</f>
        <v>202556.93986175329</v>
      </c>
      <c r="R41" s="13">
        <f>R45*D7</f>
        <v>206833.32825488734</v>
      </c>
      <c r="S41" s="13">
        <f>S45*D7</f>
        <v>211506.19715343911</v>
      </c>
      <c r="T41" s="13">
        <f>T45*D7</f>
        <v>216612.85223294195</v>
      </c>
      <c r="U41" s="13">
        <f>U45*D7</f>
        <v>222194.29460085754</v>
      </c>
    </row>
    <row r="42" spans="1:23" x14ac:dyDescent="0.3">
      <c r="A42" t="s">
        <v>729</v>
      </c>
      <c r="E42" s="13">
        <f>(E40+D40)/2+E33*0.05</f>
        <v>332917.27959468437</v>
      </c>
      <c r="F42" s="13">
        <f t="shared" ref="F42:U42" si="16">(F40+E40)/2+F33*0.05</f>
        <v>645490.69490431889</v>
      </c>
      <c r="G42" s="13">
        <f t="shared" si="16"/>
        <v>620519.22304216947</v>
      </c>
      <c r="H42" s="13">
        <f t="shared" si="16"/>
        <v>595555.36712351628</v>
      </c>
      <c r="I42" s="13">
        <f t="shared" si="16"/>
        <v>570599.7895646547</v>
      </c>
      <c r="J42" s="13">
        <f t="shared" si="16"/>
        <v>545653.21753583883</v>
      </c>
      <c r="K42" s="13">
        <f t="shared" si="16"/>
        <v>520716.44941436214</v>
      </c>
      <c r="L42" s="13">
        <f t="shared" si="16"/>
        <v>495790.36188261182</v>
      </c>
      <c r="M42" s="13">
        <f t="shared" si="16"/>
        <v>470875.91773558874</v>
      </c>
      <c r="N42" s="13">
        <f t="shared" si="16"/>
        <v>445974.17446883407</v>
      </c>
      <c r="O42" s="13">
        <f t="shared" si="16"/>
        <v>421200.04372479918</v>
      </c>
      <c r="P42" s="13">
        <f t="shared" si="16"/>
        <v>396441.05168349709</v>
      </c>
      <c r="Q42" s="13">
        <f t="shared" si="16"/>
        <v>371698.60049185803</v>
      </c>
      <c r="R42" s="13">
        <f t="shared" si="16"/>
        <v>346974.23083565524</v>
      </c>
      <c r="S42" s="13">
        <f t="shared" si="16"/>
        <v>322269.63576825132</v>
      </c>
      <c r="T42" s="13">
        <f t="shared" si="16"/>
        <v>297586.67592184251</v>
      </c>
      <c r="U42" s="13">
        <f t="shared" si="16"/>
        <v>272927.39623944426</v>
      </c>
      <c r="V42" s="13"/>
    </row>
    <row r="43" spans="1:23" x14ac:dyDescent="0.3">
      <c r="A43" t="s">
        <v>550</v>
      </c>
      <c r="E43" s="13">
        <f>E42*$D$21</f>
        <v>16645.863979734218</v>
      </c>
      <c r="F43" s="13">
        <f t="shared" ref="F43:U43" si="17">F42*$D$21</f>
        <v>32274.534745215948</v>
      </c>
      <c r="G43" s="13">
        <f t="shared" si="17"/>
        <v>31025.961152108473</v>
      </c>
      <c r="H43" s="13">
        <f t="shared" si="17"/>
        <v>29777.768356175817</v>
      </c>
      <c r="I43" s="13">
        <f t="shared" si="17"/>
        <v>28529.989478232736</v>
      </c>
      <c r="J43" s="13">
        <f t="shared" si="17"/>
        <v>27282.660876791942</v>
      </c>
      <c r="K43" s="13">
        <f t="shared" si="17"/>
        <v>26035.822470718107</v>
      </c>
      <c r="L43" s="13">
        <f t="shared" si="17"/>
        <v>24789.518094130592</v>
      </c>
      <c r="M43" s="13">
        <f t="shared" si="17"/>
        <v>23543.795886779437</v>
      </c>
      <c r="N43" s="13">
        <f t="shared" si="17"/>
        <v>22298.708723441705</v>
      </c>
      <c r="O43" s="13">
        <f t="shared" si="17"/>
        <v>21060.002186239959</v>
      </c>
      <c r="P43" s="13">
        <f t="shared" si="17"/>
        <v>19822.052584174857</v>
      </c>
      <c r="Q43" s="13">
        <f t="shared" si="17"/>
        <v>18584.930024592901</v>
      </c>
      <c r="R43" s="13">
        <f t="shared" si="17"/>
        <v>17348.711541782763</v>
      </c>
      <c r="S43" s="13">
        <f t="shared" si="17"/>
        <v>16113.481788412566</v>
      </c>
      <c r="T43" s="13">
        <f t="shared" si="17"/>
        <v>14879.333796092127</v>
      </c>
      <c r="U43" s="13">
        <f t="shared" si="17"/>
        <v>13646.369811972214</v>
      </c>
      <c r="V43" s="13"/>
    </row>
    <row r="44" spans="1:23" x14ac:dyDescent="0.3">
      <c r="A44" t="s">
        <v>737</v>
      </c>
      <c r="E44" s="13">
        <f t="shared" ref="E44:U44" si="18">E43+E33-E32</f>
        <v>154516.45587342195</v>
      </c>
      <c r="F44" s="13">
        <f t="shared" si="18"/>
        <v>173888.43283159466</v>
      </c>
      <c r="G44" s="13">
        <f t="shared" si="18"/>
        <v>175485.42199549716</v>
      </c>
      <c r="H44" s="13">
        <f t="shared" si="18"/>
        <v>177235.11082650104</v>
      </c>
      <c r="I44" s="13">
        <f t="shared" si="18"/>
        <v>179150.78077132715</v>
      </c>
      <c r="J44" s="13">
        <f t="shared" si="18"/>
        <v>181247.01159356846</v>
      </c>
      <c r="K44" s="13">
        <f t="shared" si="18"/>
        <v>183539.81075796054</v>
      </c>
      <c r="L44" s="13">
        <f t="shared" si="18"/>
        <v>186046.75574636739</v>
      </c>
      <c r="M44" s="13">
        <f t="shared" si="18"/>
        <v>188787.15059855406</v>
      </c>
      <c r="N44" s="13">
        <f t="shared" si="18"/>
        <v>191782.19810012262</v>
      </c>
      <c r="O44" s="13">
        <f t="shared" si="18"/>
        <v>195060.87668222381</v>
      </c>
      <c r="P44" s="13">
        <f t="shared" si="18"/>
        <v>198643.08625411638</v>
      </c>
      <c r="Q44" s="13">
        <f t="shared" si="18"/>
        <v>202556.93986175332</v>
      </c>
      <c r="R44" s="13">
        <f t="shared" si="18"/>
        <v>206833.32825488734</v>
      </c>
      <c r="S44" s="13">
        <f t="shared" si="18"/>
        <v>211506.19715343911</v>
      </c>
      <c r="T44" s="13">
        <f t="shared" si="18"/>
        <v>216612.85223294195</v>
      </c>
      <c r="U44" s="13">
        <f t="shared" si="18"/>
        <v>222194.29460085754</v>
      </c>
      <c r="V44" s="13"/>
    </row>
    <row r="45" spans="1:23" ht="15" thickBot="1" x14ac:dyDescent="0.35">
      <c r="A45" t="s">
        <v>738</v>
      </c>
      <c r="E45" s="13">
        <f>E44/$D$7</f>
        <v>57.228316990156273</v>
      </c>
      <c r="F45" s="13">
        <f>F44/$D$7</f>
        <v>64.40312327096099</v>
      </c>
      <c r="G45" s="13">
        <f t="shared" ref="G45:U45" si="19">G44/$D$7</f>
        <v>64.994600739073022</v>
      </c>
      <c r="H45" s="13">
        <f t="shared" si="19"/>
        <v>65.642633639444824</v>
      </c>
      <c r="I45" s="13">
        <f t="shared" si="19"/>
        <v>66.352141026417456</v>
      </c>
      <c r="J45" s="13">
        <f t="shared" si="19"/>
        <v>67.128522812432763</v>
      </c>
      <c r="K45" s="13">
        <f t="shared" si="19"/>
        <v>67.977707688133535</v>
      </c>
      <c r="L45" s="13">
        <f t="shared" si="19"/>
        <v>68.906205831987918</v>
      </c>
      <c r="M45" s="13">
        <f t="shared" si="19"/>
        <v>69.921166888353355</v>
      </c>
      <c r="N45" s="13">
        <f t="shared" si="19"/>
        <v>71.030443740786154</v>
      </c>
      <c r="O45" s="13">
        <f t="shared" si="19"/>
        <v>72.244769141564376</v>
      </c>
      <c r="P45" s="13">
        <f t="shared" si="19"/>
        <v>73.571513427450512</v>
      </c>
      <c r="Q45" s="13">
        <f t="shared" si="19"/>
        <v>75.021088837686406</v>
      </c>
      <c r="R45" s="13">
        <f t="shared" si="19"/>
        <v>76.60493639069901</v>
      </c>
      <c r="S45" s="13">
        <f t="shared" si="19"/>
        <v>78.335628575347812</v>
      </c>
      <c r="T45" s="13">
        <f t="shared" si="19"/>
        <v>80.226982308497014</v>
      </c>
      <c r="U45" s="13">
        <f t="shared" si="19"/>
        <v>82.294183185502789</v>
      </c>
      <c r="V45" s="13"/>
      <c r="W45" s="14">
        <f>W23+V24+V25+V26+V27+V29+V32+V43</f>
        <v>25.116279069767447</v>
      </c>
    </row>
    <row r="46" spans="1:23" ht="15" thickBot="1" x14ac:dyDescent="0.35">
      <c r="A46" s="1" t="s">
        <v>548</v>
      </c>
      <c r="B46" s="1"/>
      <c r="C46" s="1"/>
      <c r="D46" s="1"/>
      <c r="E46" s="1"/>
      <c r="F46" s="1"/>
      <c r="G46" s="1"/>
      <c r="H46" s="1"/>
      <c r="I46" s="30">
        <f>U45</f>
        <v>82.294183185502789</v>
      </c>
      <c r="J46" t="s">
        <v>466</v>
      </c>
    </row>
    <row r="47" spans="1:23" x14ac:dyDescent="0.3">
      <c r="A47">
        <v>60</v>
      </c>
      <c r="B47" t="s">
        <v>779</v>
      </c>
      <c r="C47">
        <v>100</v>
      </c>
      <c r="D47" t="s">
        <v>780</v>
      </c>
      <c r="E47" s="13">
        <f>E45*$C$47*$A$47/1000</f>
        <v>343.36990194093761</v>
      </c>
      <c r="F47" s="13">
        <f t="shared" ref="F47:O47" si="20">F45*$C$47*$A$47/1000</f>
        <v>386.41873962576597</v>
      </c>
      <c r="G47" s="13">
        <f t="shared" si="20"/>
        <v>389.9676044344381</v>
      </c>
      <c r="H47" s="13">
        <f t="shared" si="20"/>
        <v>393.85580183666895</v>
      </c>
      <c r="I47" s="13">
        <f t="shared" si="20"/>
        <v>398.11284615850474</v>
      </c>
      <c r="J47" s="13">
        <f t="shared" si="20"/>
        <v>402.77113687459661</v>
      </c>
      <c r="K47" s="13">
        <f t="shared" si="20"/>
        <v>407.86624612880121</v>
      </c>
      <c r="L47" s="13">
        <f t="shared" si="20"/>
        <v>413.43723499192754</v>
      </c>
      <c r="M47" s="13">
        <f t="shared" si="20"/>
        <v>419.52700133012013</v>
      </c>
      <c r="N47" s="13">
        <f t="shared" si="20"/>
        <v>426.18266244471698</v>
      </c>
      <c r="O47" s="13">
        <f t="shared" si="20"/>
        <v>433.46861484938626</v>
      </c>
    </row>
    <row r="48" spans="1:23" x14ac:dyDescent="0.3">
      <c r="A48" t="s">
        <v>551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>SUM(E47:O47)</f>
        <v>4414.9777906158643</v>
      </c>
    </row>
    <row r="50" spans="1:24" x14ac:dyDescent="0.3">
      <c r="E50">
        <v>2031</v>
      </c>
      <c r="F50">
        <v>2032</v>
      </c>
      <c r="G50">
        <v>2033</v>
      </c>
      <c r="H50">
        <v>2034</v>
      </c>
      <c r="I50">
        <v>2035</v>
      </c>
      <c r="J50">
        <v>2036</v>
      </c>
      <c r="K50">
        <v>2037</v>
      </c>
      <c r="L50">
        <v>2038</v>
      </c>
      <c r="M50">
        <v>2039</v>
      </c>
      <c r="N50">
        <v>2040</v>
      </c>
      <c r="O50">
        <v>2041</v>
      </c>
      <c r="P50">
        <v>2042</v>
      </c>
      <c r="Q50">
        <v>2043</v>
      </c>
      <c r="R50">
        <v>2044</v>
      </c>
      <c r="S50">
        <v>2045</v>
      </c>
      <c r="T50">
        <v>2046</v>
      </c>
      <c r="U50">
        <v>2047</v>
      </c>
      <c r="V50">
        <v>2048</v>
      </c>
      <c r="W50">
        <v>2049</v>
      </c>
      <c r="X50" s="1">
        <v>2050</v>
      </c>
    </row>
    <row r="51" spans="1:24" x14ac:dyDescent="0.3">
      <c r="E51" s="13">
        <f>I46*1.02</f>
        <v>83.94006684921284</v>
      </c>
      <c r="F51" s="13">
        <f t="shared" ref="F51:X51" si="21">E51*1.02</f>
        <v>85.618868186197105</v>
      </c>
      <c r="G51" s="13">
        <f t="shared" si="21"/>
        <v>87.33124554992105</v>
      </c>
      <c r="H51" s="13">
        <f t="shared" si="21"/>
        <v>89.07787046091947</v>
      </c>
      <c r="I51" s="13">
        <f t="shared" si="21"/>
        <v>90.859427870137864</v>
      </c>
      <c r="J51" s="13">
        <f t="shared" si="21"/>
        <v>92.676616427540623</v>
      </c>
      <c r="K51" s="13">
        <f t="shared" si="21"/>
        <v>94.530148756091435</v>
      </c>
      <c r="L51" s="13">
        <f t="shared" si="21"/>
        <v>96.420751731213272</v>
      </c>
      <c r="M51" s="13">
        <f t="shared" si="21"/>
        <v>98.349166765837538</v>
      </c>
      <c r="N51" s="13">
        <f t="shared" si="21"/>
        <v>100.31615010115429</v>
      </c>
      <c r="O51" s="13">
        <f t="shared" si="21"/>
        <v>102.32247310317739</v>
      </c>
      <c r="P51" s="13">
        <f t="shared" si="21"/>
        <v>104.36892256524094</v>
      </c>
      <c r="Q51" s="13">
        <f t="shared" si="21"/>
        <v>106.45630101654575</v>
      </c>
      <c r="R51" s="13">
        <f t="shared" si="21"/>
        <v>108.58542703687667</v>
      </c>
      <c r="S51" s="13">
        <f t="shared" si="21"/>
        <v>110.75713557761421</v>
      </c>
      <c r="T51" s="13">
        <f t="shared" si="21"/>
        <v>112.9722782891665</v>
      </c>
      <c r="U51" s="13">
        <f t="shared" si="21"/>
        <v>115.23172385494983</v>
      </c>
      <c r="V51" s="13">
        <f t="shared" si="21"/>
        <v>117.53635833204883</v>
      </c>
      <c r="W51" s="13">
        <f t="shared" si="21"/>
        <v>119.88708549868981</v>
      </c>
      <c r="X51" s="32">
        <f t="shared" si="21"/>
        <v>122.28482720866361</v>
      </c>
    </row>
    <row r="53" spans="1:24" x14ac:dyDescent="0.3">
      <c r="B53" t="s">
        <v>978</v>
      </c>
    </row>
    <row r="54" spans="1:24" x14ac:dyDescent="0.3">
      <c r="A54" s="28"/>
      <c r="B54" s="28"/>
      <c r="C54" s="28"/>
    </row>
    <row r="55" spans="1:24" x14ac:dyDescent="0.3">
      <c r="B55">
        <v>1500</v>
      </c>
      <c r="C55">
        <v>1600</v>
      </c>
      <c r="D55">
        <v>1700</v>
      </c>
      <c r="E55">
        <v>1800</v>
      </c>
      <c r="F55">
        <v>1900</v>
      </c>
      <c r="G55">
        <v>2000</v>
      </c>
      <c r="H55">
        <v>2100</v>
      </c>
      <c r="I55">
        <v>2200</v>
      </c>
      <c r="J55">
        <v>2300</v>
      </c>
      <c r="K55">
        <v>2400</v>
      </c>
      <c r="L55">
        <v>2500</v>
      </c>
      <c r="M55">
        <v>2600</v>
      </c>
      <c r="N55">
        <v>2700</v>
      </c>
      <c r="O55">
        <v>2800</v>
      </c>
      <c r="P55">
        <v>2900</v>
      </c>
      <c r="Q55">
        <v>3000</v>
      </c>
    </row>
    <row r="56" spans="1:24" x14ac:dyDescent="0.3">
      <c r="B56">
        <v>104</v>
      </c>
      <c r="C56">
        <v>101</v>
      </c>
      <c r="D56">
        <v>99</v>
      </c>
      <c r="E56">
        <v>96</v>
      </c>
      <c r="F56">
        <v>94</v>
      </c>
      <c r="G56">
        <v>92</v>
      </c>
      <c r="H56">
        <v>91</v>
      </c>
      <c r="I56">
        <v>89</v>
      </c>
      <c r="J56">
        <v>88</v>
      </c>
      <c r="K56">
        <v>86</v>
      </c>
      <c r="L56">
        <v>85</v>
      </c>
      <c r="M56">
        <v>84</v>
      </c>
      <c r="N56">
        <v>83</v>
      </c>
      <c r="O56">
        <v>82</v>
      </c>
      <c r="P56">
        <v>81</v>
      </c>
      <c r="Q56">
        <v>80</v>
      </c>
    </row>
    <row r="57" spans="1:24" x14ac:dyDescent="0.3">
      <c r="O57" s="14"/>
    </row>
    <row r="61" spans="1:24" x14ac:dyDescent="0.3">
      <c r="U61" s="14"/>
    </row>
    <row r="62" spans="1:24" x14ac:dyDescent="0.3">
      <c r="F62" s="61"/>
      <c r="U62" s="14"/>
    </row>
    <row r="63" spans="1:24" x14ac:dyDescent="0.3">
      <c r="F63" s="9"/>
      <c r="U63" s="14"/>
    </row>
    <row r="64" spans="1:24" x14ac:dyDescent="0.3">
      <c r="F64" s="9"/>
      <c r="U64" s="14"/>
    </row>
    <row r="65" spans="6:21" x14ac:dyDescent="0.3">
      <c r="U65" s="14"/>
    </row>
    <row r="67" spans="6:21" x14ac:dyDescent="0.3">
      <c r="U67" s="14"/>
    </row>
    <row r="68" spans="6:21" x14ac:dyDescent="0.3">
      <c r="F68" s="8"/>
      <c r="R68" s="14"/>
    </row>
    <row r="69" spans="6:21" x14ac:dyDescent="0.3">
      <c r="F69" s="10"/>
    </row>
    <row r="70" spans="6:21" x14ac:dyDescent="0.3">
      <c r="F70" s="10"/>
    </row>
    <row r="72" spans="6:21" x14ac:dyDescent="0.3">
      <c r="F72" s="8"/>
    </row>
    <row r="73" spans="6:21" x14ac:dyDescent="0.3">
      <c r="F73" s="8"/>
    </row>
    <row r="74" spans="6:21" x14ac:dyDescent="0.3">
      <c r="F74" s="27"/>
    </row>
    <row r="77" spans="6:21" x14ac:dyDescent="0.3">
      <c r="F77" s="8"/>
    </row>
  </sheetData>
  <hyperlinks>
    <hyperlink ref="P4" r:id="rId1" display="http://elering.ee/public/Infokeskus/Kuukokkuvotted/2012/NPS_Eesti_2012_aasta_kokkuvote.pdf"/>
    <hyperlink ref="P5" r:id="rId2" display="https://www.elektrilevi.ee/hind"/>
    <hyperlink ref="P6" r:id="rId3" display="https://www.elektrilevi.ee/hind"/>
    <hyperlink ref="P7" r:id="rId4" display="https://www.elektrilevi.ee/hind"/>
  </hyperlinks>
  <pageMargins left="0.7" right="0.7" top="0.75" bottom="0.75" header="0.3" footer="0.3"/>
  <pageSetup paperSize="9" orientation="portrait" r:id="rId5"/>
  <ignoredErrors>
    <ignoredError sqref="F24" formula="1"/>
  </ignoredError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1"/>
  <sheetViews>
    <sheetView topLeftCell="A32" workbookViewId="0">
      <selection activeCell="U44" sqref="U44"/>
    </sheetView>
  </sheetViews>
  <sheetFormatPr defaultRowHeight="14.4" x14ac:dyDescent="0.3"/>
  <cols>
    <col min="2" max="2" width="13.33203125" bestFit="1" customWidth="1"/>
    <col min="5" max="23" width="9.5546875" bestFit="1" customWidth="1"/>
  </cols>
  <sheetData>
    <row r="2" spans="1:12" x14ac:dyDescent="0.3">
      <c r="A2" t="s">
        <v>516</v>
      </c>
    </row>
    <row r="3" spans="1:12" x14ac:dyDescent="0.3">
      <c r="A3" t="s">
        <v>552</v>
      </c>
    </row>
    <row r="4" spans="1:12" x14ac:dyDescent="0.3">
      <c r="A4" t="s">
        <v>517</v>
      </c>
    </row>
    <row r="5" spans="1:12" x14ac:dyDescent="0.3">
      <c r="A5" t="s">
        <v>518</v>
      </c>
      <c r="D5">
        <v>1</v>
      </c>
      <c r="G5" t="s">
        <v>539</v>
      </c>
      <c r="I5" t="s">
        <v>466</v>
      </c>
      <c r="J5">
        <v>2.2999999999999998</v>
      </c>
    </row>
    <row r="6" spans="1:12" x14ac:dyDescent="0.3">
      <c r="A6" t="s">
        <v>519</v>
      </c>
      <c r="D6">
        <v>1</v>
      </c>
      <c r="G6" t="s">
        <v>540</v>
      </c>
      <c r="I6" t="s">
        <v>466</v>
      </c>
      <c r="J6">
        <v>3.8</v>
      </c>
    </row>
    <row r="7" spans="1:12" ht="21" x14ac:dyDescent="0.4">
      <c r="A7" t="s">
        <v>520</v>
      </c>
      <c r="D7" s="46">
        <v>2700</v>
      </c>
      <c r="G7" t="s">
        <v>538</v>
      </c>
      <c r="J7">
        <v>0.04</v>
      </c>
    </row>
    <row r="8" spans="1:12" x14ac:dyDescent="0.3">
      <c r="A8" t="s">
        <v>521</v>
      </c>
      <c r="D8" s="8">
        <v>0.86</v>
      </c>
      <c r="G8" t="s">
        <v>541</v>
      </c>
      <c r="J8" s="26">
        <v>1.4999999999999999E-2</v>
      </c>
    </row>
    <row r="9" spans="1:12" x14ac:dyDescent="0.3">
      <c r="A9" t="s">
        <v>522</v>
      </c>
      <c r="D9" s="27">
        <v>0.2</v>
      </c>
      <c r="E9" s="43"/>
      <c r="G9" t="s">
        <v>542</v>
      </c>
      <c r="J9" s="8">
        <v>0.1</v>
      </c>
      <c r="L9" t="s">
        <v>543</v>
      </c>
    </row>
    <row r="10" spans="1:12" x14ac:dyDescent="0.3">
      <c r="A10" t="s">
        <v>523</v>
      </c>
      <c r="D10">
        <v>18</v>
      </c>
      <c r="G10" t="s">
        <v>545</v>
      </c>
      <c r="J10" s="43">
        <v>55</v>
      </c>
      <c r="L10" t="s">
        <v>556</v>
      </c>
    </row>
    <row r="11" spans="1:12" x14ac:dyDescent="0.3">
      <c r="A11" t="s">
        <v>524</v>
      </c>
      <c r="D11">
        <f>D12+D13</f>
        <v>350000</v>
      </c>
      <c r="G11" t="s">
        <v>687</v>
      </c>
      <c r="J11">
        <v>4000</v>
      </c>
    </row>
    <row r="12" spans="1:12" x14ac:dyDescent="0.3">
      <c r="A12" t="s">
        <v>525</v>
      </c>
      <c r="D12">
        <v>350000</v>
      </c>
      <c r="G12" t="s">
        <v>972</v>
      </c>
      <c r="I12" t="s">
        <v>490</v>
      </c>
      <c r="J12">
        <f>D7/(1-0.2)</f>
        <v>3375</v>
      </c>
    </row>
    <row r="13" spans="1:12" x14ac:dyDescent="0.3">
      <c r="A13" t="s">
        <v>526</v>
      </c>
      <c r="D13">
        <v>0</v>
      </c>
      <c r="G13" t="s">
        <v>973</v>
      </c>
      <c r="I13" t="s">
        <v>490</v>
      </c>
      <c r="J13" s="1">
        <f>J12*D9</f>
        <v>675</v>
      </c>
    </row>
    <row r="14" spans="1:12" x14ac:dyDescent="0.3">
      <c r="A14" t="s">
        <v>527</v>
      </c>
      <c r="D14">
        <f>(D12+D13)*0.7</f>
        <v>244999.99999999997</v>
      </c>
      <c r="E14" t="s">
        <v>749</v>
      </c>
      <c r="F14" s="13">
        <f>-E37</f>
        <v>96403.640909302383</v>
      </c>
    </row>
    <row r="15" spans="1:12" x14ac:dyDescent="0.3">
      <c r="A15" t="s">
        <v>528</v>
      </c>
      <c r="D15" s="8">
        <v>0.05</v>
      </c>
    </row>
    <row r="16" spans="1:12" x14ac:dyDescent="0.3">
      <c r="A16" t="s">
        <v>529</v>
      </c>
      <c r="D16">
        <v>20</v>
      </c>
      <c r="G16" t="s">
        <v>726</v>
      </c>
      <c r="J16" s="8">
        <v>0.05</v>
      </c>
      <c r="L16" t="s">
        <v>728</v>
      </c>
    </row>
    <row r="17" spans="1:25" x14ac:dyDescent="0.3">
      <c r="A17" t="s">
        <v>530</v>
      </c>
      <c r="D17">
        <v>2</v>
      </c>
      <c r="G17" t="s">
        <v>727</v>
      </c>
      <c r="J17" s="26">
        <f>1/40</f>
        <v>2.5000000000000001E-2</v>
      </c>
    </row>
    <row r="18" spans="1:25" x14ac:dyDescent="0.3">
      <c r="A18" t="s">
        <v>531</v>
      </c>
      <c r="D18" s="26">
        <v>1.4999999999999999E-2</v>
      </c>
      <c r="J18">
        <f>J16*D12+J17*D13</f>
        <v>17500</v>
      </c>
    </row>
    <row r="19" spans="1:25" x14ac:dyDescent="0.3">
      <c r="A19" t="s">
        <v>532</v>
      </c>
      <c r="D19">
        <v>800</v>
      </c>
      <c r="V19" t="s">
        <v>708</v>
      </c>
    </row>
    <row r="20" spans="1:25" x14ac:dyDescent="0.3">
      <c r="A20" t="s">
        <v>533</v>
      </c>
      <c r="D20" s="26">
        <v>1.4999999999999999E-2</v>
      </c>
      <c r="V20" t="s">
        <v>709</v>
      </c>
    </row>
    <row r="21" spans="1:25" x14ac:dyDescent="0.3">
      <c r="A21" t="s">
        <v>534</v>
      </c>
      <c r="D21" s="8">
        <v>0.05</v>
      </c>
    </row>
    <row r="22" spans="1:25" x14ac:dyDescent="0.3">
      <c r="E22">
        <v>2014</v>
      </c>
      <c r="F22">
        <v>2015</v>
      </c>
      <c r="G22">
        <v>2016</v>
      </c>
      <c r="H22">
        <v>2017</v>
      </c>
      <c r="I22">
        <v>2018</v>
      </c>
      <c r="J22">
        <v>2019</v>
      </c>
      <c r="K22">
        <v>2020</v>
      </c>
      <c r="L22">
        <v>2021</v>
      </c>
      <c r="M22">
        <v>2022</v>
      </c>
      <c r="N22">
        <v>2023</v>
      </c>
      <c r="O22">
        <v>2024</v>
      </c>
      <c r="P22">
        <v>2025</v>
      </c>
      <c r="Q22">
        <v>2026</v>
      </c>
      <c r="R22">
        <v>2027</v>
      </c>
      <c r="S22">
        <v>2028</v>
      </c>
      <c r="T22">
        <v>2029</v>
      </c>
      <c r="U22">
        <v>2030</v>
      </c>
    </row>
    <row r="23" spans="1:25" x14ac:dyDescent="0.3">
      <c r="A23" t="s">
        <v>535</v>
      </c>
      <c r="E23" s="13">
        <f>(D7+J13)/D8*D10</f>
        <v>70639.534883720931</v>
      </c>
      <c r="F23">
        <f t="shared" ref="F23:U25" si="0">E23*1.015</f>
        <v>71699.127906976733</v>
      </c>
      <c r="G23">
        <f t="shared" si="0"/>
        <v>72774.614825581375</v>
      </c>
      <c r="H23">
        <f t="shared" si="0"/>
        <v>73866.234047965088</v>
      </c>
      <c r="I23">
        <f t="shared" si="0"/>
        <v>74974.227558684564</v>
      </c>
      <c r="J23">
        <f t="shared" si="0"/>
        <v>76098.84097206482</v>
      </c>
      <c r="K23">
        <f t="shared" si="0"/>
        <v>77240.323586645784</v>
      </c>
      <c r="L23">
        <f t="shared" si="0"/>
        <v>78398.928440445467</v>
      </c>
      <c r="M23">
        <f t="shared" si="0"/>
        <v>79574.912367052137</v>
      </c>
      <c r="N23">
        <f t="shared" si="0"/>
        <v>80768.536052557916</v>
      </c>
      <c r="O23">
        <f t="shared" si="0"/>
        <v>81980.064093346271</v>
      </c>
      <c r="P23">
        <f t="shared" si="0"/>
        <v>83209.765054746458</v>
      </c>
      <c r="Q23">
        <f t="shared" si="0"/>
        <v>84457.911530567653</v>
      </c>
      <c r="R23">
        <f t="shared" si="0"/>
        <v>85724.780203526156</v>
      </c>
      <c r="S23">
        <f t="shared" si="0"/>
        <v>87010.651906579034</v>
      </c>
      <c r="T23">
        <f t="shared" si="0"/>
        <v>88315.811685177716</v>
      </c>
      <c r="U23">
        <f t="shared" si="0"/>
        <v>89640.548860455368</v>
      </c>
      <c r="W23">
        <f>(D7+E9)/D8*21.6/D7</f>
        <v>25.116279069767447</v>
      </c>
      <c r="X23" t="s">
        <v>710</v>
      </c>
    </row>
    <row r="24" spans="1:25" x14ac:dyDescent="0.3">
      <c r="A24" t="s">
        <v>544</v>
      </c>
      <c r="E24">
        <f>D19*1.34*12*D17</f>
        <v>25728</v>
      </c>
      <c r="F24">
        <f>E24*1.05</f>
        <v>27014.400000000001</v>
      </c>
      <c r="G24">
        <f t="shared" si="0"/>
        <v>27419.615999999998</v>
      </c>
      <c r="H24">
        <f t="shared" si="0"/>
        <v>27830.910239999994</v>
      </c>
      <c r="I24">
        <f t="shared" si="0"/>
        <v>28248.37389359999</v>
      </c>
      <c r="J24">
        <f t="shared" si="0"/>
        <v>28672.099502003988</v>
      </c>
      <c r="K24">
        <f t="shared" si="0"/>
        <v>29102.180994534046</v>
      </c>
      <c r="L24">
        <f t="shared" si="0"/>
        <v>29538.713709452055</v>
      </c>
      <c r="M24">
        <f t="shared" si="0"/>
        <v>29981.794415093831</v>
      </c>
      <c r="N24">
        <f t="shared" si="0"/>
        <v>30431.521331320237</v>
      </c>
      <c r="O24">
        <f t="shared" si="0"/>
        <v>30887.994151290037</v>
      </c>
      <c r="P24">
        <f t="shared" si="0"/>
        <v>31351.314063559385</v>
      </c>
      <c r="Q24">
        <f t="shared" si="0"/>
        <v>31821.583774512772</v>
      </c>
      <c r="R24">
        <f t="shared" si="0"/>
        <v>32298.907531130459</v>
      </c>
      <c r="S24">
        <f t="shared" si="0"/>
        <v>32783.391144097412</v>
      </c>
      <c r="T24">
        <f t="shared" si="0"/>
        <v>33275.142011258868</v>
      </c>
      <c r="U24">
        <f t="shared" si="0"/>
        <v>33774.269141427751</v>
      </c>
    </row>
    <row r="25" spans="1:25" x14ac:dyDescent="0.3">
      <c r="A25" t="s">
        <v>536</v>
      </c>
      <c r="E25">
        <f>2.3*(D7+E9)</f>
        <v>6209.9999999999991</v>
      </c>
      <c r="F25">
        <f>E25*1.015</f>
        <v>6303.1499999999987</v>
      </c>
      <c r="G25">
        <f t="shared" si="0"/>
        <v>6397.6972499999983</v>
      </c>
      <c r="H25">
        <f t="shared" si="0"/>
        <v>6493.6627087499974</v>
      </c>
      <c r="I25">
        <f t="shared" si="0"/>
        <v>6591.0676493812471</v>
      </c>
      <c r="J25">
        <f t="shared" si="0"/>
        <v>6689.9336641219652</v>
      </c>
      <c r="K25">
        <f t="shared" si="0"/>
        <v>6790.2826690837937</v>
      </c>
      <c r="L25">
        <f t="shared" si="0"/>
        <v>6892.1369091200504</v>
      </c>
      <c r="M25">
        <f t="shared" si="0"/>
        <v>6995.5189627568507</v>
      </c>
      <c r="N25">
        <f t="shared" si="0"/>
        <v>7100.4517471982026</v>
      </c>
      <c r="O25">
        <f t="shared" si="0"/>
        <v>7206.9585234061751</v>
      </c>
      <c r="P25">
        <f t="shared" si="0"/>
        <v>7315.0629012572672</v>
      </c>
      <c r="Q25">
        <f t="shared" si="0"/>
        <v>7424.7888447761252</v>
      </c>
      <c r="R25">
        <f t="shared" si="0"/>
        <v>7536.1606774477659</v>
      </c>
      <c r="S25">
        <f t="shared" si="0"/>
        <v>7649.2030876094814</v>
      </c>
      <c r="T25">
        <f t="shared" si="0"/>
        <v>7763.9411339236231</v>
      </c>
      <c r="U25">
        <f t="shared" si="0"/>
        <v>7880.4002509324764</v>
      </c>
    </row>
    <row r="26" spans="1:25" x14ac:dyDescent="0.3">
      <c r="A26" t="s">
        <v>537</v>
      </c>
      <c r="E26">
        <f>3.8*(D7+J13)</f>
        <v>12825</v>
      </c>
      <c r="F26">
        <f t="shared" ref="F26:U26" si="1">E26*1.1</f>
        <v>14107.500000000002</v>
      </c>
      <c r="G26">
        <f t="shared" si="1"/>
        <v>15518.250000000004</v>
      </c>
      <c r="H26">
        <f t="shared" si="1"/>
        <v>17070.075000000004</v>
      </c>
      <c r="I26">
        <f t="shared" si="1"/>
        <v>18777.082500000008</v>
      </c>
      <c r="J26">
        <f t="shared" si="1"/>
        <v>20654.790750000011</v>
      </c>
      <c r="K26">
        <f t="shared" si="1"/>
        <v>22720.269825000014</v>
      </c>
      <c r="L26">
        <f t="shared" si="1"/>
        <v>24992.296807500017</v>
      </c>
      <c r="M26">
        <f t="shared" si="1"/>
        <v>27491.52648825002</v>
      </c>
      <c r="N26">
        <f t="shared" si="1"/>
        <v>30240.679137075025</v>
      </c>
      <c r="O26">
        <f t="shared" si="1"/>
        <v>33264.747050782527</v>
      </c>
      <c r="P26">
        <f t="shared" si="1"/>
        <v>36591.221755860781</v>
      </c>
      <c r="Q26">
        <f t="shared" si="1"/>
        <v>40250.343931446863</v>
      </c>
      <c r="R26">
        <f t="shared" si="1"/>
        <v>44275.378324591555</v>
      </c>
      <c r="S26">
        <f t="shared" si="1"/>
        <v>48702.916157050713</v>
      </c>
      <c r="T26">
        <f t="shared" si="1"/>
        <v>53573.207772755792</v>
      </c>
      <c r="U26">
        <f t="shared" si="1"/>
        <v>58930.528550031377</v>
      </c>
    </row>
    <row r="27" spans="1:25" x14ac:dyDescent="0.3">
      <c r="A27" t="s">
        <v>546</v>
      </c>
      <c r="E27" s="13">
        <f>SUM(E23:E26)*J7</f>
        <v>4616.1013953488373</v>
      </c>
      <c r="F27">
        <f>SUM(F23:F26)*J7</f>
        <v>4764.9671162790692</v>
      </c>
      <c r="G27">
        <f>SUM(G23:G26)*J7</f>
        <v>4884.4071230232548</v>
      </c>
      <c r="H27">
        <f>SUM(H23:H26)*J7</f>
        <v>5010.4352798686041</v>
      </c>
      <c r="I27">
        <f>SUM(I23:I26)*J7</f>
        <v>5143.6300640666323</v>
      </c>
      <c r="J27">
        <f>SUM(J23:J26)*J7</f>
        <v>5284.6265955276313</v>
      </c>
      <c r="K27">
        <f>SUM(K23:K26)*J7</f>
        <v>5434.1222830105462</v>
      </c>
      <c r="L27">
        <f>SUM(L23:L26)*J7</f>
        <v>5592.8830346607037</v>
      </c>
      <c r="M27">
        <f>SUM(M23:M26)*J7</f>
        <v>5761.7500893261131</v>
      </c>
      <c r="N27">
        <f>SUM(N23:N26)*J7</f>
        <v>5941.6475307260544</v>
      </c>
      <c r="O27">
        <f>SUM(O23:O26)*J7</f>
        <v>6133.5905527530003</v>
      </c>
      <c r="P27">
        <f>SUM(P23:P26)*J7</f>
        <v>6338.6945510169562</v>
      </c>
      <c r="Q27">
        <f>SUM(Q23:Q26)*J7</f>
        <v>6558.1851232521367</v>
      </c>
      <c r="R27">
        <f>SUM(R23:R26)*J7</f>
        <v>6793.409069467838</v>
      </c>
      <c r="S27">
        <f>SUM(S23:S26)*J7</f>
        <v>7045.846491813465</v>
      </c>
      <c r="T27">
        <f>SUM(T23:T26)*0.04</f>
        <v>7317.1241041246403</v>
      </c>
      <c r="U27">
        <f>SUM(U23:U26)*0.04</f>
        <v>7609.0298721138788</v>
      </c>
    </row>
    <row r="28" spans="1:25" x14ac:dyDescent="0.3">
      <c r="A28" t="s">
        <v>731</v>
      </c>
      <c r="E28" s="13">
        <f>SUM(E23:E27)</f>
        <v>120018.63627906977</v>
      </c>
      <c r="F28" s="13">
        <f t="shared" ref="F28:U28" si="2">SUM(F23:F27)</f>
        <v>123889.14502325578</v>
      </c>
      <c r="G28" s="13">
        <f t="shared" si="2"/>
        <v>126994.58519860462</v>
      </c>
      <c r="H28" s="13">
        <f t="shared" si="2"/>
        <v>130271.31727658369</v>
      </c>
      <c r="I28" s="13">
        <f t="shared" si="2"/>
        <v>133734.38166573245</v>
      </c>
      <c r="J28" s="13">
        <f t="shared" si="2"/>
        <v>137400.29148371841</v>
      </c>
      <c r="K28" s="13">
        <f t="shared" si="2"/>
        <v>141287.17935827418</v>
      </c>
      <c r="L28" s="13">
        <f t="shared" si="2"/>
        <v>145414.9589011783</v>
      </c>
      <c r="M28" s="13">
        <f t="shared" si="2"/>
        <v>149805.50232247895</v>
      </c>
      <c r="N28" s="13">
        <f t="shared" si="2"/>
        <v>154482.83579887741</v>
      </c>
      <c r="O28" s="13">
        <f t="shared" si="2"/>
        <v>159473.35437157803</v>
      </c>
      <c r="P28" s="13">
        <f t="shared" si="2"/>
        <v>164806.05832644086</v>
      </c>
      <c r="Q28" s="13">
        <f t="shared" si="2"/>
        <v>170512.81320455554</v>
      </c>
      <c r="R28" s="13">
        <f t="shared" si="2"/>
        <v>176628.63580616377</v>
      </c>
      <c r="S28" s="13">
        <f t="shared" si="2"/>
        <v>183192.00878715009</v>
      </c>
      <c r="T28" s="13">
        <f t="shared" si="2"/>
        <v>190245.22670724065</v>
      </c>
      <c r="U28" s="13">
        <f t="shared" si="2"/>
        <v>197834.77667496083</v>
      </c>
      <c r="V28" s="13"/>
      <c r="W28" s="13"/>
      <c r="X28" s="13"/>
      <c r="Y28" s="13"/>
    </row>
    <row r="29" spans="1:25" x14ac:dyDescent="0.3">
      <c r="A29" t="s">
        <v>547</v>
      </c>
      <c r="E29">
        <f>(J16*D12+D13*J17)</f>
        <v>17500</v>
      </c>
      <c r="F29">
        <f>$J$16*$D$12+$J$17*$D$13</f>
        <v>17500</v>
      </c>
      <c r="G29">
        <f t="shared" ref="G29:U29" si="3">$J$16*$D$12+$J$17*$D$13</f>
        <v>17500</v>
      </c>
      <c r="H29">
        <f t="shared" si="3"/>
        <v>17500</v>
      </c>
      <c r="I29">
        <f t="shared" si="3"/>
        <v>17500</v>
      </c>
      <c r="J29">
        <f t="shared" si="3"/>
        <v>17500</v>
      </c>
      <c r="K29">
        <f t="shared" si="3"/>
        <v>17500</v>
      </c>
      <c r="L29">
        <f t="shared" si="3"/>
        <v>17500</v>
      </c>
      <c r="M29">
        <f t="shared" si="3"/>
        <v>17500</v>
      </c>
      <c r="N29">
        <f t="shared" si="3"/>
        <v>17500</v>
      </c>
      <c r="O29">
        <f t="shared" si="3"/>
        <v>17500</v>
      </c>
      <c r="P29">
        <f t="shared" si="3"/>
        <v>17500</v>
      </c>
      <c r="Q29">
        <f t="shared" si="3"/>
        <v>17500</v>
      </c>
      <c r="R29">
        <f t="shared" si="3"/>
        <v>17500</v>
      </c>
      <c r="S29">
        <f t="shared" si="3"/>
        <v>17500</v>
      </c>
      <c r="T29">
        <f t="shared" si="3"/>
        <v>17500</v>
      </c>
      <c r="U29">
        <f t="shared" si="3"/>
        <v>17500</v>
      </c>
    </row>
    <row r="30" spans="1:25" x14ac:dyDescent="0.3">
      <c r="A30" t="s">
        <v>730</v>
      </c>
      <c r="E30">
        <f>$D$14/10</f>
        <v>24499.999999999996</v>
      </c>
      <c r="F30">
        <f>$D$14/10</f>
        <v>24499.999999999996</v>
      </c>
      <c r="G30">
        <f t="shared" ref="G30:N30" si="4">$D$14/10</f>
        <v>24499.999999999996</v>
      </c>
      <c r="H30">
        <f t="shared" si="4"/>
        <v>24499.999999999996</v>
      </c>
      <c r="I30">
        <f t="shared" si="4"/>
        <v>24499.999999999996</v>
      </c>
      <c r="J30">
        <f t="shared" si="4"/>
        <v>24499.999999999996</v>
      </c>
      <c r="K30">
        <f t="shared" si="4"/>
        <v>24499.999999999996</v>
      </c>
      <c r="L30">
        <f t="shared" si="4"/>
        <v>24499.999999999996</v>
      </c>
      <c r="M30">
        <f t="shared" si="4"/>
        <v>24499.999999999996</v>
      </c>
      <c r="N30">
        <f t="shared" si="4"/>
        <v>24499.999999999996</v>
      </c>
      <c r="O30">
        <f>D14-SUM(E30:N30)</f>
        <v>0</v>
      </c>
    </row>
    <row r="31" spans="1:25" x14ac:dyDescent="0.3">
      <c r="A31" t="s">
        <v>732</v>
      </c>
      <c r="E31">
        <f>$D$14-E30</f>
        <v>220499.99999999997</v>
      </c>
      <c r="F31">
        <f>E31-F30</f>
        <v>195999.99999999997</v>
      </c>
      <c r="G31">
        <f t="shared" ref="G31:N31" si="5">F31-G30</f>
        <v>171499.99999999997</v>
      </c>
      <c r="H31">
        <f t="shared" si="5"/>
        <v>146999.99999999997</v>
      </c>
      <c r="I31">
        <f t="shared" si="5"/>
        <v>122499.99999999997</v>
      </c>
      <c r="J31">
        <f t="shared" si="5"/>
        <v>97999.999999999971</v>
      </c>
      <c r="K31">
        <f t="shared" si="5"/>
        <v>73499.999999999971</v>
      </c>
      <c r="L31">
        <f t="shared" si="5"/>
        <v>48999.999999999971</v>
      </c>
      <c r="M31">
        <f t="shared" si="5"/>
        <v>24499.999999999975</v>
      </c>
      <c r="N31">
        <f t="shared" si="5"/>
        <v>0</v>
      </c>
      <c r="O31">
        <v>0</v>
      </c>
    </row>
    <row r="32" spans="1:25" x14ac:dyDescent="0.3">
      <c r="A32" t="s">
        <v>733</v>
      </c>
      <c r="E32">
        <f>E31*$D$15</f>
        <v>11025</v>
      </c>
      <c r="F32">
        <f t="shared" ref="F32:N32" si="6">F31*$D$15</f>
        <v>9799.9999999999982</v>
      </c>
      <c r="G32">
        <f t="shared" si="6"/>
        <v>8574.9999999999982</v>
      </c>
      <c r="H32">
        <f t="shared" si="6"/>
        <v>7349.9999999999991</v>
      </c>
      <c r="I32">
        <f t="shared" si="6"/>
        <v>6124.9999999999991</v>
      </c>
      <c r="J32">
        <f t="shared" si="6"/>
        <v>4899.9999999999991</v>
      </c>
      <c r="K32">
        <f t="shared" si="6"/>
        <v>3674.9999999999986</v>
      </c>
      <c r="L32">
        <f t="shared" si="6"/>
        <v>2449.9999999999986</v>
      </c>
      <c r="M32">
        <f t="shared" si="6"/>
        <v>1224.9999999999989</v>
      </c>
      <c r="N32">
        <f t="shared" si="6"/>
        <v>0</v>
      </c>
      <c r="O32">
        <v>0</v>
      </c>
    </row>
    <row r="33" spans="1:23" x14ac:dyDescent="0.3">
      <c r="A33" t="s">
        <v>734</v>
      </c>
      <c r="E33" s="13">
        <f>E28+E29+E32</f>
        <v>148543.63627906976</v>
      </c>
      <c r="F33" s="13">
        <f t="shared" ref="F33:U33" si="7">F28+F29+F32</f>
        <v>151189.14502325578</v>
      </c>
      <c r="G33" s="13">
        <f t="shared" si="7"/>
        <v>153069.58519860462</v>
      </c>
      <c r="H33" s="13">
        <f t="shared" si="7"/>
        <v>155121.31727658369</v>
      </c>
      <c r="I33" s="13">
        <f t="shared" si="7"/>
        <v>157359.38166573245</v>
      </c>
      <c r="J33" s="13">
        <f t="shared" si="7"/>
        <v>159800.29148371841</v>
      </c>
      <c r="K33" s="13">
        <f t="shared" si="7"/>
        <v>162462.17935827418</v>
      </c>
      <c r="L33" s="13">
        <f t="shared" si="7"/>
        <v>165364.9589011783</v>
      </c>
      <c r="M33" s="13">
        <f t="shared" si="7"/>
        <v>168530.50232247895</v>
      </c>
      <c r="N33" s="13">
        <f t="shared" si="7"/>
        <v>171982.83579887741</v>
      </c>
      <c r="O33" s="13">
        <f t="shared" si="7"/>
        <v>176973.35437157803</v>
      </c>
      <c r="P33" s="13">
        <f>P28+P29+P32</f>
        <v>182306.05832644086</v>
      </c>
      <c r="Q33" s="13">
        <f t="shared" si="7"/>
        <v>188012.81320455554</v>
      </c>
      <c r="R33" s="13">
        <f t="shared" si="7"/>
        <v>194128.63580616377</v>
      </c>
      <c r="S33" s="13">
        <f t="shared" si="7"/>
        <v>200692.00878715009</v>
      </c>
      <c r="T33" s="13">
        <f t="shared" si="7"/>
        <v>207745.22670724065</v>
      </c>
      <c r="U33" s="13">
        <f t="shared" si="7"/>
        <v>215334.77667496083</v>
      </c>
      <c r="V33" s="13"/>
      <c r="W33" s="13"/>
    </row>
    <row r="34" spans="1:23" x14ac:dyDescent="0.3">
      <c r="A34" t="s">
        <v>736</v>
      </c>
      <c r="E34" s="14">
        <f>E33/$D$7</f>
        <v>55.016161584840653</v>
      </c>
      <c r="F34" s="14">
        <f t="shared" ref="F34:U34" si="8">F33/$D$7</f>
        <v>55.995979638242886</v>
      </c>
      <c r="G34" s="14">
        <f t="shared" si="8"/>
        <v>56.692438962446154</v>
      </c>
      <c r="H34" s="14">
        <f t="shared" si="8"/>
        <v>57.452339732068033</v>
      </c>
      <c r="I34" s="14">
        <f t="shared" si="8"/>
        <v>58.281252468789795</v>
      </c>
      <c r="J34" s="14">
        <f t="shared" si="8"/>
        <v>59.185293142117928</v>
      </c>
      <c r="K34" s="14">
        <f t="shared" si="8"/>
        <v>60.171177540101546</v>
      </c>
      <c r="L34" s="14">
        <f t="shared" si="8"/>
        <v>61.246281074510478</v>
      </c>
      <c r="M34" s="14">
        <f t="shared" si="8"/>
        <v>62.418704563881093</v>
      </c>
      <c r="N34" s="14">
        <f t="shared" si="8"/>
        <v>63.697346592176821</v>
      </c>
      <c r="O34" s="14">
        <f t="shared" si="8"/>
        <v>65.545686804288152</v>
      </c>
      <c r="P34" s="14">
        <f t="shared" si="8"/>
        <v>67.52076234312625</v>
      </c>
      <c r="Q34" s="14">
        <f t="shared" si="8"/>
        <v>69.634375260946499</v>
      </c>
      <c r="R34" s="14">
        <f t="shared" si="8"/>
        <v>71.899494743023624</v>
      </c>
      <c r="S34" s="14">
        <f t="shared" si="8"/>
        <v>74.330373624870404</v>
      </c>
      <c r="T34" s="14">
        <f t="shared" si="8"/>
        <v>76.942676558237281</v>
      </c>
      <c r="U34" s="14">
        <f t="shared" si="8"/>
        <v>79.753620990726233</v>
      </c>
      <c r="V34" s="14"/>
    </row>
    <row r="35" spans="1:23" x14ac:dyDescent="0.3">
      <c r="A35" t="s">
        <v>740</v>
      </c>
      <c r="E35" s="13">
        <f>E41-E28-E32</f>
        <v>15596.359090697646</v>
      </c>
      <c r="F35" s="13">
        <f t="shared" ref="F35:U35" si="9">F41-F28-F32</f>
        <v>25140.472862558148</v>
      </c>
      <c r="G35" s="13">
        <f t="shared" si="9"/>
        <v>25495.173962996516</v>
      </c>
      <c r="H35" s="13">
        <f t="shared" si="9"/>
        <v>25850.303293191449</v>
      </c>
      <c r="I35" s="13">
        <f t="shared" si="9"/>
        <v>26205.898454164329</v>
      </c>
      <c r="J35" s="13">
        <f t="shared" si="9"/>
        <v>26562.000728709303</v>
      </c>
      <c r="K35" s="13">
        <f t="shared" si="9"/>
        <v>26918.655448395672</v>
      </c>
      <c r="L35" s="13">
        <f t="shared" si="9"/>
        <v>27275.912397252949</v>
      </c>
      <c r="M35" s="13">
        <f t="shared" si="9"/>
        <v>27633.826255806198</v>
      </c>
      <c r="N35" s="13">
        <f t="shared" si="9"/>
        <v>27992.457089497213</v>
      </c>
      <c r="O35" s="13">
        <f t="shared" si="9"/>
        <v>27129.933385928918</v>
      </c>
      <c r="P35" s="13">
        <f t="shared" si="9"/>
        <v>26268.265145816113</v>
      </c>
      <c r="Q35" s="13">
        <f t="shared" si="9"/>
        <v>25407.532033011375</v>
      </c>
      <c r="R35" s="13">
        <f t="shared" si="9"/>
        <v>24547.821589515399</v>
      </c>
      <c r="S35" s="13">
        <f t="shared" si="9"/>
        <v>23689.230021967902</v>
      </c>
      <c r="T35" s="13">
        <f t="shared" si="9"/>
        <v>22831.863066768099</v>
      </c>
      <c r="U35" s="13">
        <f t="shared" si="9"/>
        <v>21975.83694168739</v>
      </c>
      <c r="V35" s="13"/>
    </row>
    <row r="36" spans="1:23" x14ac:dyDescent="0.3">
      <c r="A36" t="s">
        <v>741</v>
      </c>
      <c r="E36" s="13">
        <f>E41-E33</f>
        <v>-1903.6409093023394</v>
      </c>
      <c r="F36">
        <f t="shared" ref="F36:U36" si="10">F41-F33</f>
        <v>7640.4728625581483</v>
      </c>
      <c r="G36">
        <f t="shared" si="10"/>
        <v>7995.1739629965159</v>
      </c>
      <c r="H36">
        <f t="shared" si="10"/>
        <v>8350.3032931914495</v>
      </c>
      <c r="I36">
        <f t="shared" si="10"/>
        <v>8705.8984541643295</v>
      </c>
      <c r="J36">
        <f t="shared" si="10"/>
        <v>9062.0007287093031</v>
      </c>
      <c r="K36">
        <f t="shared" si="10"/>
        <v>9418.6554483956716</v>
      </c>
      <c r="L36">
        <f t="shared" si="10"/>
        <v>9775.9123972529487</v>
      </c>
      <c r="M36">
        <f t="shared" si="10"/>
        <v>10133.826255806198</v>
      </c>
      <c r="N36">
        <f t="shared" si="10"/>
        <v>10492.457089497213</v>
      </c>
      <c r="O36">
        <f t="shared" si="10"/>
        <v>9629.9333859289181</v>
      </c>
      <c r="P36">
        <f t="shared" si="10"/>
        <v>8768.2651458161126</v>
      </c>
      <c r="Q36">
        <f t="shared" si="10"/>
        <v>7907.5320330113755</v>
      </c>
      <c r="R36">
        <f t="shared" si="10"/>
        <v>7047.821589515399</v>
      </c>
      <c r="S36">
        <f t="shared" si="10"/>
        <v>6189.2300219679018</v>
      </c>
      <c r="T36">
        <f t="shared" si="10"/>
        <v>5331.8630667680991</v>
      </c>
      <c r="U36">
        <f t="shared" si="10"/>
        <v>4475.8369416873902</v>
      </c>
    </row>
    <row r="37" spans="1:23" x14ac:dyDescent="0.3">
      <c r="A37" t="s">
        <v>739</v>
      </c>
      <c r="E37">
        <f>D14-D11+E35+E29-E30</f>
        <v>-96403.640909302383</v>
      </c>
      <c r="F37">
        <f>F35+F29-F30</f>
        <v>18140.472862558152</v>
      </c>
      <c r="G37">
        <f t="shared" ref="G37:U37" si="11">G35+G29-G30</f>
        <v>18495.17396299652</v>
      </c>
      <c r="H37">
        <f t="shared" si="11"/>
        <v>18850.303293191453</v>
      </c>
      <c r="I37">
        <f t="shared" si="11"/>
        <v>19205.898454164333</v>
      </c>
      <c r="J37">
        <f t="shared" si="11"/>
        <v>19562.000728709307</v>
      </c>
      <c r="K37">
        <f t="shared" si="11"/>
        <v>19918.655448395675</v>
      </c>
      <c r="L37">
        <f t="shared" si="11"/>
        <v>20275.912397252952</v>
      </c>
      <c r="M37">
        <f t="shared" si="11"/>
        <v>20633.826255806202</v>
      </c>
      <c r="N37">
        <f t="shared" si="11"/>
        <v>20992.457089497217</v>
      </c>
      <c r="O37">
        <f t="shared" si="11"/>
        <v>44629.933385928918</v>
      </c>
      <c r="P37">
        <f t="shared" si="11"/>
        <v>43768.265145816113</v>
      </c>
      <c r="Q37">
        <f t="shared" si="11"/>
        <v>42907.532033011375</v>
      </c>
      <c r="R37">
        <f t="shared" si="11"/>
        <v>42047.821589515399</v>
      </c>
      <c r="S37">
        <f t="shared" si="11"/>
        <v>41189.230021967902</v>
      </c>
      <c r="T37">
        <f t="shared" si="11"/>
        <v>40331.863066768099</v>
      </c>
      <c r="U37">
        <f t="shared" si="11"/>
        <v>39475.83694168739</v>
      </c>
    </row>
    <row r="38" spans="1:23" ht="15" thickBot="1" x14ac:dyDescent="0.35">
      <c r="A38" t="s">
        <v>742</v>
      </c>
      <c r="E38">
        <f>D38+E37</f>
        <v>-96403.640909302383</v>
      </c>
      <c r="F38">
        <f t="shared" ref="F38:U38" si="12">E38+F37</f>
        <v>-78263.168046744235</v>
      </c>
      <c r="G38">
        <f t="shared" si="12"/>
        <v>-59767.994083747719</v>
      </c>
      <c r="H38">
        <f t="shared" si="12"/>
        <v>-40917.690790556269</v>
      </c>
      <c r="I38">
        <f t="shared" si="12"/>
        <v>-21711.792336391936</v>
      </c>
      <c r="J38">
        <f t="shared" si="12"/>
        <v>-2149.7916076826295</v>
      </c>
      <c r="K38">
        <f t="shared" si="12"/>
        <v>17768.863840713046</v>
      </c>
      <c r="L38">
        <f t="shared" si="12"/>
        <v>38044.776237965998</v>
      </c>
      <c r="M38">
        <f t="shared" si="12"/>
        <v>58678.602493772196</v>
      </c>
      <c r="N38">
        <f t="shared" si="12"/>
        <v>79671.059583269409</v>
      </c>
      <c r="O38">
        <f t="shared" si="12"/>
        <v>124300.99296919833</v>
      </c>
      <c r="P38">
        <f t="shared" si="12"/>
        <v>168069.25811501444</v>
      </c>
      <c r="Q38">
        <f t="shared" si="12"/>
        <v>210976.79014802582</v>
      </c>
      <c r="R38">
        <f t="shared" si="12"/>
        <v>253024.61173754121</v>
      </c>
      <c r="S38">
        <f t="shared" si="12"/>
        <v>294213.84175950912</v>
      </c>
      <c r="T38">
        <f t="shared" si="12"/>
        <v>334545.70482627722</v>
      </c>
      <c r="U38">
        <f t="shared" si="12"/>
        <v>374021.54176796461</v>
      </c>
    </row>
    <row r="39" spans="1:23" ht="15" thickBot="1" x14ac:dyDescent="0.35">
      <c r="A39" t="s">
        <v>743</v>
      </c>
      <c r="B39" s="91">
        <f>NPV(E39,E37:V37)-F14</f>
        <v>-43674.158658649765</v>
      </c>
      <c r="E39" s="95">
        <v>0.13500000000000001</v>
      </c>
    </row>
    <row r="40" spans="1:23" x14ac:dyDescent="0.3">
      <c r="A40" t="s">
        <v>735</v>
      </c>
      <c r="D40">
        <v>0</v>
      </c>
      <c r="E40">
        <f>D12+D13</f>
        <v>350000</v>
      </c>
      <c r="F40">
        <f>E40-$D$12*$J$16-$J$17*$D$13</f>
        <v>332500</v>
      </c>
      <c r="G40">
        <f t="shared" ref="G40:U40" si="13">F40-$D$12*$J$16-$J$17*$D$13</f>
        <v>315000</v>
      </c>
      <c r="H40">
        <f t="shared" si="13"/>
        <v>297500</v>
      </c>
      <c r="I40">
        <f t="shared" si="13"/>
        <v>280000</v>
      </c>
      <c r="J40">
        <f t="shared" si="13"/>
        <v>262500</v>
      </c>
      <c r="K40">
        <f t="shared" si="13"/>
        <v>245000</v>
      </c>
      <c r="L40">
        <f t="shared" si="13"/>
        <v>227500</v>
      </c>
      <c r="M40">
        <f t="shared" si="13"/>
        <v>210000</v>
      </c>
      <c r="N40">
        <f t="shared" si="13"/>
        <v>192500</v>
      </c>
      <c r="O40">
        <f t="shared" si="13"/>
        <v>175000</v>
      </c>
      <c r="P40">
        <f t="shared" si="13"/>
        <v>157500</v>
      </c>
      <c r="Q40">
        <f t="shared" si="13"/>
        <v>140000</v>
      </c>
      <c r="R40">
        <f t="shared" si="13"/>
        <v>122500</v>
      </c>
      <c r="S40">
        <f t="shared" si="13"/>
        <v>105000</v>
      </c>
      <c r="T40">
        <f t="shared" si="13"/>
        <v>87500</v>
      </c>
      <c r="U40">
        <f t="shared" si="13"/>
        <v>70000</v>
      </c>
    </row>
    <row r="41" spans="1:23" s="13" customFormat="1" x14ac:dyDescent="0.3">
      <c r="A41" s="13" t="s">
        <v>549</v>
      </c>
      <c r="E41" s="13">
        <f>E44</f>
        <v>146639.99536976742</v>
      </c>
      <c r="F41" s="13">
        <f>F45*D7</f>
        <v>158829.61788581393</v>
      </c>
      <c r="G41" s="13">
        <f>G45*D7</f>
        <v>161064.75916160113</v>
      </c>
      <c r="H41" s="13">
        <f>H45*D7</f>
        <v>163471.62056977514</v>
      </c>
      <c r="I41" s="13">
        <f>I45*D7</f>
        <v>166065.28011989678</v>
      </c>
      <c r="J41" s="13">
        <f>J45*D7</f>
        <v>168862.29221242771</v>
      </c>
      <c r="K41" s="13">
        <f>K45*D7</f>
        <v>171880.83480666985</v>
      </c>
      <c r="L41" s="13">
        <f>L45*D7</f>
        <v>175140.87129843124</v>
      </c>
      <c r="M41" s="13">
        <f>M45*D7</f>
        <v>178664.32857828515</v>
      </c>
      <c r="N41" s="13">
        <f>N45*D7</f>
        <v>182475.29288837462</v>
      </c>
      <c r="O41" s="13">
        <f>O45*D7</f>
        <v>186603.28775750694</v>
      </c>
      <c r="P41" s="13">
        <f>P45*D7</f>
        <v>191074.32347225698</v>
      </c>
      <c r="Q41" s="13">
        <f>Q45*D7</f>
        <v>195920.34523756691</v>
      </c>
      <c r="R41" s="13">
        <f>R45*D7</f>
        <v>201176.45739567917</v>
      </c>
      <c r="S41" s="13">
        <f>S45*D7</f>
        <v>206881.23880911799</v>
      </c>
      <c r="T41" s="13">
        <f>T45*D7</f>
        <v>213077.08977400875</v>
      </c>
      <c r="U41" s="13">
        <f>U45*D7</f>
        <v>219810.61361664822</v>
      </c>
    </row>
    <row r="42" spans="1:23" s="13" customFormat="1" x14ac:dyDescent="0.3">
      <c r="A42" s="13" t="s">
        <v>729</v>
      </c>
      <c r="E42" s="13">
        <f>(E40+D40)/2+E33*0.05</f>
        <v>182427.1818139535</v>
      </c>
      <c r="F42" s="13">
        <f t="shared" ref="F42:U42" si="14">(F40+E40)/2+F33*0.05</f>
        <v>348809.45725116279</v>
      </c>
      <c r="G42" s="13">
        <f t="shared" si="14"/>
        <v>331403.4792599302</v>
      </c>
      <c r="H42" s="13">
        <f t="shared" si="14"/>
        <v>314006.06586382916</v>
      </c>
      <c r="I42" s="13">
        <f t="shared" si="14"/>
        <v>296617.96908328665</v>
      </c>
      <c r="J42" s="13">
        <f t="shared" si="14"/>
        <v>279240.01457418595</v>
      </c>
      <c r="K42" s="13">
        <f t="shared" si="14"/>
        <v>261873.10896791372</v>
      </c>
      <c r="L42" s="13">
        <f t="shared" si="14"/>
        <v>244518.24794505892</v>
      </c>
      <c r="M42" s="13">
        <f t="shared" si="14"/>
        <v>227176.52511612396</v>
      </c>
      <c r="N42" s="13">
        <f t="shared" si="14"/>
        <v>209849.14178994388</v>
      </c>
      <c r="O42" s="13">
        <f t="shared" si="14"/>
        <v>192598.66771857889</v>
      </c>
      <c r="P42" s="13">
        <f t="shared" si="14"/>
        <v>175365.30291632205</v>
      </c>
      <c r="Q42" s="13">
        <f t="shared" si="14"/>
        <v>158150.64066022777</v>
      </c>
      <c r="R42" s="13">
        <f t="shared" si="14"/>
        <v>140956.43179030818</v>
      </c>
      <c r="S42" s="13">
        <f t="shared" si="14"/>
        <v>123784.60043935751</v>
      </c>
      <c r="T42" s="13">
        <f t="shared" si="14"/>
        <v>106637.26133536204</v>
      </c>
      <c r="U42" s="13">
        <f t="shared" si="14"/>
        <v>89516.738833748037</v>
      </c>
    </row>
    <row r="43" spans="1:23" s="13" customFormat="1" x14ac:dyDescent="0.3">
      <c r="A43" s="13" t="s">
        <v>550</v>
      </c>
      <c r="E43" s="13">
        <f>E42*$D$21</f>
        <v>9121.3590906976751</v>
      </c>
      <c r="F43" s="13">
        <f t="shared" ref="F43:U43" si="15">F42*$D$21</f>
        <v>17440.472862558141</v>
      </c>
      <c r="G43" s="13">
        <f t="shared" si="15"/>
        <v>16570.173962996512</v>
      </c>
      <c r="H43" s="13">
        <f t="shared" si="15"/>
        <v>15700.303293191459</v>
      </c>
      <c r="I43" s="13">
        <f t="shared" si="15"/>
        <v>14830.898454164333</v>
      </c>
      <c r="J43" s="13">
        <f t="shared" si="15"/>
        <v>13962.000728709298</v>
      </c>
      <c r="K43" s="13">
        <f t="shared" si="15"/>
        <v>13093.655448395686</v>
      </c>
      <c r="L43" s="13">
        <f t="shared" si="15"/>
        <v>12225.912397252947</v>
      </c>
      <c r="M43" s="13">
        <f t="shared" si="15"/>
        <v>11358.826255806198</v>
      </c>
      <c r="N43" s="13">
        <f t="shared" si="15"/>
        <v>10492.457089497195</v>
      </c>
      <c r="O43" s="13">
        <f t="shared" si="15"/>
        <v>9629.9333859289454</v>
      </c>
      <c r="P43" s="13">
        <f t="shared" si="15"/>
        <v>8768.2651458161035</v>
      </c>
      <c r="Q43" s="13">
        <f t="shared" si="15"/>
        <v>7907.5320330113891</v>
      </c>
      <c r="R43" s="13">
        <f t="shared" si="15"/>
        <v>7047.8215895154099</v>
      </c>
      <c r="S43" s="13">
        <f t="shared" si="15"/>
        <v>6189.2300219678764</v>
      </c>
      <c r="T43" s="13">
        <f t="shared" si="15"/>
        <v>5331.8630667681027</v>
      </c>
      <c r="U43" s="13">
        <f t="shared" si="15"/>
        <v>4475.836941687402</v>
      </c>
    </row>
    <row r="44" spans="1:23" s="13" customFormat="1" x14ac:dyDescent="0.3">
      <c r="A44" s="13" t="s">
        <v>737</v>
      </c>
      <c r="E44" s="13">
        <f t="shared" ref="E44:U44" si="16">E43+E33-E32</f>
        <v>146639.99536976742</v>
      </c>
      <c r="F44" s="13">
        <f t="shared" si="16"/>
        <v>158829.61788581393</v>
      </c>
      <c r="G44" s="13">
        <f t="shared" si="16"/>
        <v>161064.75916160113</v>
      </c>
      <c r="H44" s="13">
        <f t="shared" si="16"/>
        <v>163471.62056977514</v>
      </c>
      <c r="I44" s="13">
        <f t="shared" si="16"/>
        <v>166065.28011989678</v>
      </c>
      <c r="J44" s="13">
        <f t="shared" si="16"/>
        <v>168862.29221242771</v>
      </c>
      <c r="K44" s="13">
        <f t="shared" si="16"/>
        <v>171880.83480666985</v>
      </c>
      <c r="L44" s="13">
        <f t="shared" si="16"/>
        <v>175140.87129843124</v>
      </c>
      <c r="M44" s="13">
        <f t="shared" si="16"/>
        <v>178664.32857828515</v>
      </c>
      <c r="N44" s="13">
        <f t="shared" si="16"/>
        <v>182475.29288837459</v>
      </c>
      <c r="O44" s="13">
        <f t="shared" si="16"/>
        <v>186603.28775750697</v>
      </c>
      <c r="P44" s="13">
        <f t="shared" si="16"/>
        <v>191074.32347225698</v>
      </c>
      <c r="Q44" s="13">
        <f t="shared" si="16"/>
        <v>195920.34523756691</v>
      </c>
      <c r="R44" s="13">
        <f t="shared" si="16"/>
        <v>201176.45739567917</v>
      </c>
      <c r="S44" s="13">
        <f t="shared" si="16"/>
        <v>206881.23880911796</v>
      </c>
      <c r="T44" s="13">
        <f t="shared" si="16"/>
        <v>213077.08977400875</v>
      </c>
      <c r="U44" s="13">
        <f t="shared" si="16"/>
        <v>219810.61361664822</v>
      </c>
    </row>
    <row r="45" spans="1:23" s="13" customFormat="1" ht="15" thickBot="1" x14ac:dyDescent="0.35">
      <c r="A45" s="13" t="s">
        <v>738</v>
      </c>
      <c r="E45" s="13">
        <f>E44/$D$7</f>
        <v>54.311109396210156</v>
      </c>
      <c r="F45" s="13">
        <f t="shared" ref="F45:U45" si="17">F44/$D$7</f>
        <v>58.82578440215331</v>
      </c>
      <c r="G45" s="13">
        <f t="shared" si="17"/>
        <v>59.653614504296719</v>
      </c>
      <c r="H45" s="13">
        <f t="shared" si="17"/>
        <v>60.545044655472275</v>
      </c>
      <c r="I45" s="13">
        <f t="shared" si="17"/>
        <v>61.505659303665475</v>
      </c>
      <c r="J45" s="13">
        <f t="shared" si="17"/>
        <v>62.54158970830656</v>
      </c>
      <c r="K45" s="13">
        <f t="shared" si="17"/>
        <v>63.659568446914761</v>
      </c>
      <c r="L45" s="13">
        <f t="shared" si="17"/>
        <v>64.866989369789351</v>
      </c>
      <c r="M45" s="13">
        <f t="shared" si="17"/>
        <v>66.171973547513019</v>
      </c>
      <c r="N45" s="13">
        <f t="shared" si="17"/>
        <v>67.583441810509115</v>
      </c>
      <c r="O45" s="13">
        <f t="shared" si="17"/>
        <v>69.11232879907665</v>
      </c>
      <c r="P45" s="13">
        <f t="shared" si="17"/>
        <v>70.768267952687765</v>
      </c>
      <c r="Q45" s="13">
        <f t="shared" si="17"/>
        <v>72.563090828728491</v>
      </c>
      <c r="R45" s="13">
        <f t="shared" si="17"/>
        <v>74.509799035436728</v>
      </c>
      <c r="S45" s="13">
        <f t="shared" si="17"/>
        <v>76.622681040414065</v>
      </c>
      <c r="T45" s="13">
        <f t="shared" si="17"/>
        <v>78.917440657040274</v>
      </c>
      <c r="U45" s="13">
        <f t="shared" si="17"/>
        <v>81.411338376536378</v>
      </c>
      <c r="W45" s="13">
        <f>W23+V24+V25+V26+V27+V29+V32+V43</f>
        <v>25.116279069767447</v>
      </c>
    </row>
    <row r="46" spans="1:23" ht="15" thickBot="1" x14ac:dyDescent="0.35">
      <c r="A46" t="s">
        <v>548</v>
      </c>
      <c r="I46" s="94">
        <f>U45</f>
        <v>81.411338376536378</v>
      </c>
      <c r="J46" t="s">
        <v>466</v>
      </c>
    </row>
    <row r="47" spans="1:23" x14ac:dyDescent="0.3">
      <c r="A47">
        <v>60</v>
      </c>
      <c r="B47" t="s">
        <v>779</v>
      </c>
      <c r="C47">
        <v>100</v>
      </c>
      <c r="D47" t="s">
        <v>780</v>
      </c>
      <c r="E47" s="13">
        <f>$A$47*$C$47*E45/1000</f>
        <v>325.86665637726094</v>
      </c>
      <c r="F47" s="13">
        <f t="shared" ref="F47:O47" si="18">$A$47*$C$47*F45/1000</f>
        <v>352.95470641291985</v>
      </c>
      <c r="G47" s="13">
        <f t="shared" si="18"/>
        <v>357.92168702578033</v>
      </c>
      <c r="H47" s="13">
        <f t="shared" si="18"/>
        <v>363.27026793283363</v>
      </c>
      <c r="I47" s="13">
        <f t="shared" si="18"/>
        <v>369.03395582199283</v>
      </c>
      <c r="J47" s="13">
        <f t="shared" si="18"/>
        <v>375.24953824983936</v>
      </c>
      <c r="K47" s="13">
        <f t="shared" si="18"/>
        <v>381.95741068148857</v>
      </c>
      <c r="L47" s="13">
        <f t="shared" si="18"/>
        <v>389.20193621873614</v>
      </c>
      <c r="M47" s="13">
        <f t="shared" si="18"/>
        <v>397.03184128507809</v>
      </c>
      <c r="N47" s="13">
        <f t="shared" si="18"/>
        <v>405.50065086305466</v>
      </c>
      <c r="O47" s="13">
        <f t="shared" si="18"/>
        <v>414.67397279445993</v>
      </c>
    </row>
    <row r="48" spans="1:23" x14ac:dyDescent="0.3">
      <c r="A48" t="s">
        <v>551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>SUM(E47:O47)</f>
        <v>4132.6626236634438</v>
      </c>
    </row>
    <row r="50" spans="5:24" x14ac:dyDescent="0.3">
      <c r="E50">
        <v>2031</v>
      </c>
      <c r="F50">
        <v>2032</v>
      </c>
      <c r="G50">
        <v>2033</v>
      </c>
      <c r="H50">
        <v>2034</v>
      </c>
      <c r="I50">
        <v>2035</v>
      </c>
      <c r="J50">
        <v>2036</v>
      </c>
      <c r="K50">
        <v>2037</v>
      </c>
      <c r="L50">
        <v>2038</v>
      </c>
      <c r="M50">
        <v>2039</v>
      </c>
      <c r="N50">
        <v>2040</v>
      </c>
      <c r="O50">
        <v>2041</v>
      </c>
      <c r="P50">
        <v>2042</v>
      </c>
      <c r="Q50">
        <v>2043</v>
      </c>
      <c r="R50">
        <v>2044</v>
      </c>
      <c r="S50">
        <v>2045</v>
      </c>
      <c r="T50">
        <v>2046</v>
      </c>
      <c r="U50">
        <v>2047</v>
      </c>
      <c r="V50">
        <v>2048</v>
      </c>
      <c r="W50">
        <v>2049</v>
      </c>
      <c r="X50">
        <v>2050</v>
      </c>
    </row>
    <row r="51" spans="5:24" x14ac:dyDescent="0.3">
      <c r="E51" s="14">
        <f>I46*1.02</f>
        <v>83.039565144067112</v>
      </c>
      <c r="F51" s="14">
        <f t="shared" ref="F51:X51" si="19">E51*1.02</f>
        <v>84.700356446948462</v>
      </c>
      <c r="G51" s="14">
        <f t="shared" si="19"/>
        <v>86.394363575887439</v>
      </c>
      <c r="H51" s="14">
        <f t="shared" si="19"/>
        <v>88.122250847405184</v>
      </c>
      <c r="I51" s="14">
        <f t="shared" si="19"/>
        <v>89.88469586435329</v>
      </c>
      <c r="J51" s="14">
        <f t="shared" si="19"/>
        <v>91.682389781640353</v>
      </c>
      <c r="K51" s="14">
        <f t="shared" si="19"/>
        <v>93.516037577273167</v>
      </c>
      <c r="L51" s="14">
        <f t="shared" si="19"/>
        <v>95.386358328818631</v>
      </c>
      <c r="M51" s="14">
        <f t="shared" si="19"/>
        <v>97.294085495395009</v>
      </c>
      <c r="N51" s="14">
        <f t="shared" si="19"/>
        <v>99.239967205302918</v>
      </c>
      <c r="O51" s="14">
        <f t="shared" si="19"/>
        <v>101.22476654940898</v>
      </c>
      <c r="P51" s="14">
        <f t="shared" si="19"/>
        <v>103.24926188039717</v>
      </c>
      <c r="Q51" s="14">
        <f t="shared" si="19"/>
        <v>105.31424711800511</v>
      </c>
      <c r="R51" s="14">
        <f t="shared" si="19"/>
        <v>107.42053206036522</v>
      </c>
      <c r="S51" s="14">
        <f t="shared" si="19"/>
        <v>109.56894270157252</v>
      </c>
      <c r="T51" s="14">
        <f t="shared" si="19"/>
        <v>111.76032155560398</v>
      </c>
      <c r="U51" s="14">
        <f t="shared" si="19"/>
        <v>113.99552798671606</v>
      </c>
      <c r="V51" s="14">
        <f t="shared" si="19"/>
        <v>116.27543854645037</v>
      </c>
      <c r="W51" s="14">
        <f t="shared" si="19"/>
        <v>118.60094731737938</v>
      </c>
      <c r="X51" s="14">
        <f t="shared" si="19"/>
        <v>120.97296626372697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22" workbookViewId="0">
      <selection activeCell="C42" sqref="C42"/>
    </sheetView>
  </sheetViews>
  <sheetFormatPr defaultRowHeight="14.4" x14ac:dyDescent="0.3"/>
  <cols>
    <col min="2" max="2" width="14.33203125" customWidth="1"/>
    <col min="5" max="22" width="9.44140625" bestFit="1" customWidth="1"/>
    <col min="23" max="23" width="10.5546875" bestFit="1" customWidth="1"/>
  </cols>
  <sheetData>
    <row r="1" spans="1:12" ht="15" thickBot="1" x14ac:dyDescent="0.35"/>
    <row r="2" spans="1:12" ht="15" thickBot="1" x14ac:dyDescent="0.35">
      <c r="A2" s="29" t="s">
        <v>516</v>
      </c>
      <c r="B2" s="22"/>
      <c r="C2" s="22"/>
      <c r="D2" s="12"/>
    </row>
    <row r="3" spans="1:12" x14ac:dyDescent="0.3">
      <c r="A3" s="1" t="s">
        <v>552</v>
      </c>
      <c r="B3" s="1"/>
      <c r="C3" s="1"/>
      <c r="D3" s="1"/>
    </row>
    <row r="4" spans="1:12" x14ac:dyDescent="0.3">
      <c r="A4" t="s">
        <v>517</v>
      </c>
    </row>
    <row r="5" spans="1:12" x14ac:dyDescent="0.3">
      <c r="A5" t="s">
        <v>518</v>
      </c>
      <c r="D5">
        <v>1</v>
      </c>
      <c r="G5" t="s">
        <v>539</v>
      </c>
      <c r="I5" t="s">
        <v>466</v>
      </c>
      <c r="J5">
        <v>2.2999999999999998</v>
      </c>
    </row>
    <row r="6" spans="1:12" x14ac:dyDescent="0.3">
      <c r="A6" t="s">
        <v>519</v>
      </c>
      <c r="D6">
        <v>1</v>
      </c>
      <c r="G6" t="s">
        <v>540</v>
      </c>
      <c r="I6" t="s">
        <v>466</v>
      </c>
      <c r="J6">
        <v>3.8</v>
      </c>
    </row>
    <row r="7" spans="1:12" ht="21" x14ac:dyDescent="0.4">
      <c r="A7" t="s">
        <v>520</v>
      </c>
      <c r="D7" s="46">
        <v>2700</v>
      </c>
      <c r="G7" t="s">
        <v>538</v>
      </c>
      <c r="J7" s="27">
        <v>0.04</v>
      </c>
    </row>
    <row r="8" spans="1:12" x14ac:dyDescent="0.3">
      <c r="A8" t="s">
        <v>521</v>
      </c>
      <c r="D8">
        <v>0.86</v>
      </c>
      <c r="G8" t="s">
        <v>889</v>
      </c>
      <c r="J8" s="27">
        <v>2.5000000000000001E-2</v>
      </c>
    </row>
    <row r="9" spans="1:12" x14ac:dyDescent="0.3">
      <c r="A9" t="s">
        <v>522</v>
      </c>
      <c r="D9" s="8">
        <v>0.09</v>
      </c>
      <c r="E9" s="43"/>
      <c r="G9" t="s">
        <v>542</v>
      </c>
      <c r="J9" s="8">
        <v>0.1</v>
      </c>
      <c r="L9" t="s">
        <v>543</v>
      </c>
    </row>
    <row r="10" spans="1:12" x14ac:dyDescent="0.3">
      <c r="A10" t="s">
        <v>523</v>
      </c>
      <c r="D10">
        <v>18</v>
      </c>
      <c r="G10" t="s">
        <v>545</v>
      </c>
      <c r="J10">
        <v>55</v>
      </c>
      <c r="L10" t="s">
        <v>556</v>
      </c>
    </row>
    <row r="11" spans="1:12" x14ac:dyDescent="0.3">
      <c r="A11" t="s">
        <v>524</v>
      </c>
      <c r="D11" s="10">
        <f>D12+D13</f>
        <v>650000</v>
      </c>
      <c r="G11" t="s">
        <v>687</v>
      </c>
      <c r="J11">
        <v>4000</v>
      </c>
    </row>
    <row r="12" spans="1:12" x14ac:dyDescent="0.3">
      <c r="A12" t="s">
        <v>525</v>
      </c>
      <c r="D12" s="10">
        <v>350000</v>
      </c>
      <c r="G12" t="s">
        <v>972</v>
      </c>
      <c r="I12" t="s">
        <v>490</v>
      </c>
      <c r="J12" s="13">
        <f>D7/(1-0.09)</f>
        <v>2967.032967032967</v>
      </c>
    </row>
    <row r="13" spans="1:12" x14ac:dyDescent="0.3">
      <c r="A13" t="s">
        <v>526</v>
      </c>
      <c r="D13" s="10">
        <v>300000</v>
      </c>
      <c r="G13" t="s">
        <v>973</v>
      </c>
      <c r="I13" t="s">
        <v>490</v>
      </c>
      <c r="J13" s="32">
        <f>J12*D9</f>
        <v>267.03296703296701</v>
      </c>
    </row>
    <row r="14" spans="1:12" x14ac:dyDescent="0.3">
      <c r="A14" t="s">
        <v>527</v>
      </c>
      <c r="D14" s="10">
        <f>(D12+D13)*0.7</f>
        <v>455000</v>
      </c>
      <c r="E14" t="s">
        <v>745</v>
      </c>
      <c r="F14" s="10">
        <f>D11-D14</f>
        <v>195000</v>
      </c>
    </row>
    <row r="15" spans="1:12" x14ac:dyDescent="0.3">
      <c r="A15" t="s">
        <v>746</v>
      </c>
      <c r="D15" s="8">
        <v>0.05</v>
      </c>
    </row>
    <row r="16" spans="1:12" x14ac:dyDescent="0.3">
      <c r="A16" t="s">
        <v>529</v>
      </c>
      <c r="D16" s="10">
        <v>20</v>
      </c>
      <c r="G16" t="s">
        <v>726</v>
      </c>
      <c r="J16" s="8">
        <v>0.05</v>
      </c>
      <c r="L16" s="41" t="s">
        <v>728</v>
      </c>
    </row>
    <row r="17" spans="1:24" x14ac:dyDescent="0.3">
      <c r="A17" t="s">
        <v>530</v>
      </c>
      <c r="D17" s="10">
        <v>2</v>
      </c>
      <c r="G17" t="s">
        <v>727</v>
      </c>
      <c r="J17" s="26">
        <f>1/40</f>
        <v>2.5000000000000001E-2</v>
      </c>
    </row>
    <row r="18" spans="1:24" x14ac:dyDescent="0.3">
      <c r="A18" t="s">
        <v>531</v>
      </c>
      <c r="D18" s="27">
        <v>1.4999999999999999E-2</v>
      </c>
      <c r="J18">
        <f>J16*D12+J17*D13</f>
        <v>25000</v>
      </c>
    </row>
    <row r="19" spans="1:24" x14ac:dyDescent="0.3">
      <c r="A19" t="s">
        <v>532</v>
      </c>
      <c r="D19" s="10">
        <v>800</v>
      </c>
      <c r="V19" t="s">
        <v>708</v>
      </c>
    </row>
    <row r="20" spans="1:24" x14ac:dyDescent="0.3">
      <c r="A20" t="s">
        <v>533</v>
      </c>
      <c r="D20" s="27">
        <v>1.4999999999999999E-2</v>
      </c>
      <c r="V20" t="s">
        <v>709</v>
      </c>
    </row>
    <row r="21" spans="1:24" x14ac:dyDescent="0.3">
      <c r="A21" t="s">
        <v>534</v>
      </c>
      <c r="D21" s="26">
        <v>0</v>
      </c>
    </row>
    <row r="22" spans="1:24" ht="15" thickBot="1" x14ac:dyDescent="0.35">
      <c r="E22" s="31">
        <v>2014</v>
      </c>
      <c r="F22" s="31">
        <v>2015</v>
      </c>
      <c r="G22" s="31">
        <v>2016</v>
      </c>
      <c r="H22" s="31">
        <v>2017</v>
      </c>
      <c r="I22" s="31">
        <v>2018</v>
      </c>
      <c r="J22" s="31">
        <v>2019</v>
      </c>
      <c r="K22" s="31">
        <v>2020</v>
      </c>
      <c r="L22" s="31">
        <v>2021</v>
      </c>
      <c r="M22" s="31">
        <v>2022</v>
      </c>
      <c r="N22" s="31">
        <v>2023</v>
      </c>
      <c r="O22" s="31">
        <v>2024</v>
      </c>
      <c r="P22" s="31">
        <v>2025</v>
      </c>
      <c r="Q22" s="31">
        <v>2026</v>
      </c>
      <c r="R22" s="31">
        <v>2027</v>
      </c>
      <c r="S22" s="31">
        <v>2028</v>
      </c>
      <c r="T22" s="31">
        <v>2029</v>
      </c>
      <c r="U22" s="31">
        <v>2030</v>
      </c>
      <c r="V22" s="31"/>
    </row>
    <row r="23" spans="1:24" x14ac:dyDescent="0.3">
      <c r="A23" t="s">
        <v>535</v>
      </c>
      <c r="E23" s="13">
        <f>(D7+J13)/D8*D10</f>
        <v>62100.690007666752</v>
      </c>
      <c r="F23" s="13">
        <f t="shared" ref="F23:U25" si="0">E23*1.015</f>
        <v>63032.200357781745</v>
      </c>
      <c r="G23" s="13">
        <f t="shared" si="0"/>
        <v>63977.683363148462</v>
      </c>
      <c r="H23" s="13">
        <f t="shared" si="0"/>
        <v>64937.348613595685</v>
      </c>
      <c r="I23" s="13">
        <f t="shared" si="0"/>
        <v>65911.408842799618</v>
      </c>
      <c r="J23" s="13">
        <f t="shared" si="0"/>
        <v>66900.079975441608</v>
      </c>
      <c r="K23" s="13">
        <f t="shared" si="0"/>
        <v>67903.581175073225</v>
      </c>
      <c r="L23" s="13">
        <f t="shared" si="0"/>
        <v>68922.134892699323</v>
      </c>
      <c r="M23" s="13">
        <f t="shared" si="0"/>
        <v>69955.966916089805</v>
      </c>
      <c r="N23" s="13">
        <f t="shared" si="0"/>
        <v>71005.306419831148</v>
      </c>
      <c r="O23" s="13">
        <f t="shared" si="0"/>
        <v>72070.386016128614</v>
      </c>
      <c r="P23" s="13">
        <f t="shared" si="0"/>
        <v>73151.441806370538</v>
      </c>
      <c r="Q23" s="13">
        <f t="shared" si="0"/>
        <v>74248.713433466095</v>
      </c>
      <c r="R23" s="13">
        <f t="shared" si="0"/>
        <v>75362.444134968086</v>
      </c>
      <c r="S23" s="13">
        <f t="shared" si="0"/>
        <v>76492.880796992598</v>
      </c>
      <c r="T23" s="13">
        <f t="shared" si="0"/>
        <v>77640.274008947483</v>
      </c>
      <c r="U23" s="13">
        <f t="shared" si="0"/>
        <v>78804.878119081681</v>
      </c>
      <c r="V23" s="14"/>
      <c r="W23" s="14">
        <f>(D7+E9)/D8*21.6/D7</f>
        <v>25.116279069767447</v>
      </c>
      <c r="X23" t="s">
        <v>710</v>
      </c>
    </row>
    <row r="24" spans="1:24" x14ac:dyDescent="0.3">
      <c r="A24" t="s">
        <v>544</v>
      </c>
      <c r="E24" s="13">
        <f>D19*1.34*12*D17</f>
        <v>25728</v>
      </c>
      <c r="F24" s="13">
        <f>E24*1.05</f>
        <v>27014.400000000001</v>
      </c>
      <c r="G24" s="13">
        <f t="shared" si="0"/>
        <v>27419.615999999998</v>
      </c>
      <c r="H24" s="13">
        <f t="shared" si="0"/>
        <v>27830.910239999994</v>
      </c>
      <c r="I24" s="13">
        <f t="shared" si="0"/>
        <v>28248.37389359999</v>
      </c>
      <c r="J24" s="13">
        <f t="shared" si="0"/>
        <v>28672.099502003988</v>
      </c>
      <c r="K24" s="13">
        <f t="shared" si="0"/>
        <v>29102.180994534046</v>
      </c>
      <c r="L24" s="13">
        <f t="shared" si="0"/>
        <v>29538.713709452055</v>
      </c>
      <c r="M24" s="13">
        <f t="shared" si="0"/>
        <v>29981.794415093831</v>
      </c>
      <c r="N24" s="13">
        <f t="shared" si="0"/>
        <v>30431.521331320237</v>
      </c>
      <c r="O24" s="13">
        <f t="shared" si="0"/>
        <v>30887.994151290037</v>
      </c>
      <c r="P24" s="13">
        <f t="shared" si="0"/>
        <v>31351.314063559385</v>
      </c>
      <c r="Q24" s="13">
        <f t="shared" si="0"/>
        <v>31821.583774512772</v>
      </c>
      <c r="R24" s="13">
        <f t="shared" si="0"/>
        <v>32298.907531130459</v>
      </c>
      <c r="S24" s="13">
        <f t="shared" si="0"/>
        <v>32783.391144097412</v>
      </c>
      <c r="T24" s="13">
        <f t="shared" si="0"/>
        <v>33275.142011258868</v>
      </c>
      <c r="U24" s="13">
        <f t="shared" si="0"/>
        <v>33774.269141427751</v>
      </c>
      <c r="V24" s="14"/>
    </row>
    <row r="25" spans="1:24" x14ac:dyDescent="0.3">
      <c r="A25" t="s">
        <v>536</v>
      </c>
      <c r="E25" s="13">
        <f>2.3*(D7+J13)</f>
        <v>6824.1758241758234</v>
      </c>
      <c r="F25" s="13">
        <f>E25*1.015</f>
        <v>6926.5384615384601</v>
      </c>
      <c r="G25" s="13">
        <f t="shared" si="0"/>
        <v>7030.4365384615367</v>
      </c>
      <c r="H25" s="13">
        <f t="shared" si="0"/>
        <v>7135.8930865384591</v>
      </c>
      <c r="I25" s="13">
        <f t="shared" si="0"/>
        <v>7242.931482836535</v>
      </c>
      <c r="J25" s="13">
        <f t="shared" si="0"/>
        <v>7351.5754550790825</v>
      </c>
      <c r="K25" s="13">
        <f t="shared" si="0"/>
        <v>7461.8490869052685</v>
      </c>
      <c r="L25" s="13">
        <f t="shared" si="0"/>
        <v>7573.7768232088465</v>
      </c>
      <c r="M25" s="13">
        <f t="shared" si="0"/>
        <v>7687.3834755569787</v>
      </c>
      <c r="N25" s="13">
        <f t="shared" si="0"/>
        <v>7802.6942276903328</v>
      </c>
      <c r="O25" s="13">
        <f t="shared" si="0"/>
        <v>7919.7346411056869</v>
      </c>
      <c r="P25" s="13">
        <f t="shared" si="0"/>
        <v>8038.530660722271</v>
      </c>
      <c r="Q25" s="13">
        <f t="shared" si="0"/>
        <v>8159.1086206331047</v>
      </c>
      <c r="R25" s="13">
        <f t="shared" si="0"/>
        <v>8281.4952499425999</v>
      </c>
      <c r="S25" s="13">
        <f t="shared" si="0"/>
        <v>8405.7176786917389</v>
      </c>
      <c r="T25" s="13">
        <f t="shared" si="0"/>
        <v>8531.8034438721133</v>
      </c>
      <c r="U25" s="13">
        <f t="shared" si="0"/>
        <v>8659.7804955301945</v>
      </c>
      <c r="V25" s="14"/>
    </row>
    <row r="26" spans="1:24" x14ac:dyDescent="0.3">
      <c r="A26" t="s">
        <v>537</v>
      </c>
      <c r="E26" s="13">
        <f>3.8*(D7+J13)</f>
        <v>11274.725274725273</v>
      </c>
      <c r="F26" s="13">
        <f t="shared" ref="F26:U26" si="1">E26*1.1</f>
        <v>12402.197802197801</v>
      </c>
      <c r="G26" s="13">
        <f t="shared" si="1"/>
        <v>13642.417582417582</v>
      </c>
      <c r="H26" s="13">
        <f t="shared" si="1"/>
        <v>15006.659340659342</v>
      </c>
      <c r="I26" s="13">
        <f t="shared" si="1"/>
        <v>16507.325274725277</v>
      </c>
      <c r="J26" s="13">
        <f t="shared" si="1"/>
        <v>18158.057802197807</v>
      </c>
      <c r="K26" s="13">
        <f t="shared" si="1"/>
        <v>19973.863582417591</v>
      </c>
      <c r="L26" s="13">
        <f t="shared" si="1"/>
        <v>21971.249940659352</v>
      </c>
      <c r="M26" s="13">
        <f t="shared" si="1"/>
        <v>24168.374934725289</v>
      </c>
      <c r="N26" s="13">
        <f t="shared" si="1"/>
        <v>26585.212428197821</v>
      </c>
      <c r="O26" s="13">
        <f t="shared" si="1"/>
        <v>29243.733671017606</v>
      </c>
      <c r="P26" s="13">
        <f t="shared" si="1"/>
        <v>32168.107038119368</v>
      </c>
      <c r="Q26" s="13">
        <f t="shared" si="1"/>
        <v>35384.917741931305</v>
      </c>
      <c r="R26" s="13">
        <f t="shared" si="1"/>
        <v>38923.40951612444</v>
      </c>
      <c r="S26" s="13">
        <f t="shared" si="1"/>
        <v>42815.750467736885</v>
      </c>
      <c r="T26" s="13">
        <f t="shared" si="1"/>
        <v>47097.32551451058</v>
      </c>
      <c r="U26" s="13">
        <f t="shared" si="1"/>
        <v>51807.058065961639</v>
      </c>
      <c r="V26" s="14"/>
    </row>
    <row r="27" spans="1:24" x14ac:dyDescent="0.3">
      <c r="A27" t="s">
        <v>546</v>
      </c>
      <c r="E27" s="13">
        <f>SUM(E23:E26)*J7</f>
        <v>4237.1036442627137</v>
      </c>
      <c r="F27" s="13">
        <f>SUM(F23:F26)*J7</f>
        <v>4375.01346486072</v>
      </c>
      <c r="G27" s="13">
        <f>SUM(G23:G26)*J7</f>
        <v>4482.8061393611033</v>
      </c>
      <c r="H27" s="13">
        <f>SUM(H23:H26)*J7</f>
        <v>4596.4324512317389</v>
      </c>
      <c r="I27" s="13">
        <f>SUM(I23:I26)*J7</f>
        <v>4716.4015797584561</v>
      </c>
      <c r="J27" s="13">
        <f>SUM(J23:J26)*J7</f>
        <v>4843.2725093888994</v>
      </c>
      <c r="K27" s="13">
        <f>SUM(K23:K26)*J7</f>
        <v>4977.6589935572047</v>
      </c>
      <c r="L27" s="13">
        <f>SUM(L23:L26)*J7</f>
        <v>5120.2350146407834</v>
      </c>
      <c r="M27" s="13">
        <f>SUM(M23:M26)*J7</f>
        <v>5271.7407896586365</v>
      </c>
      <c r="N27" s="13">
        <f>SUM(N23:N26)*J7</f>
        <v>5432.9893762815818</v>
      </c>
      <c r="O27" s="13">
        <f>SUM(O23:O26)*J7</f>
        <v>5604.873939181678</v>
      </c>
      <c r="P27" s="13">
        <f>SUM(P23:P26)*J7</f>
        <v>5788.3757427508626</v>
      </c>
      <c r="Q27" s="13">
        <f>SUM(Q23:Q26)*J7</f>
        <v>5984.5729428217319</v>
      </c>
      <c r="R27" s="13">
        <f>SUM(R23:R26)*J7</f>
        <v>6194.6502572866239</v>
      </c>
      <c r="S27" s="13">
        <f>SUM(S23:S26)*J7</f>
        <v>6419.909603500746</v>
      </c>
      <c r="T27" s="13">
        <f>SUM(T23:T26)*0.04</f>
        <v>6661.7817991435622</v>
      </c>
      <c r="U27" s="13">
        <f>SUM(U23:U26)*0.04</f>
        <v>6921.8394328800505</v>
      </c>
      <c r="V27" s="14"/>
    </row>
    <row r="28" spans="1:24" x14ac:dyDescent="0.3">
      <c r="A28" t="s">
        <v>731</v>
      </c>
      <c r="E28" s="13">
        <f>SUM(E23:E27)</f>
        <v>110164.69475083056</v>
      </c>
      <c r="F28" s="13">
        <f t="shared" ref="F28:U28" si="2">SUM(F23:F27)</f>
        <v>113750.35008637872</v>
      </c>
      <c r="G28" s="13">
        <f t="shared" si="2"/>
        <v>116552.95962338867</v>
      </c>
      <c r="H28" s="13">
        <f t="shared" si="2"/>
        <v>119507.24373202522</v>
      </c>
      <c r="I28" s="13">
        <f t="shared" si="2"/>
        <v>122626.44107371986</v>
      </c>
      <c r="J28" s="13">
        <f t="shared" si="2"/>
        <v>125925.08524411138</v>
      </c>
      <c r="K28" s="13">
        <f t="shared" si="2"/>
        <v>129419.13383248734</v>
      </c>
      <c r="L28" s="13">
        <f t="shared" si="2"/>
        <v>133126.11038066036</v>
      </c>
      <c r="M28" s="13">
        <f t="shared" si="2"/>
        <v>137065.26053112454</v>
      </c>
      <c r="N28" s="13">
        <f t="shared" si="2"/>
        <v>141257.72378332113</v>
      </c>
      <c r="O28" s="13">
        <f t="shared" si="2"/>
        <v>145726.72241872363</v>
      </c>
      <c r="P28" s="13">
        <f t="shared" si="2"/>
        <v>150497.76931152242</v>
      </c>
      <c r="Q28" s="13">
        <f t="shared" si="2"/>
        <v>155598.89651336503</v>
      </c>
      <c r="R28" s="13">
        <f t="shared" si="2"/>
        <v>161060.90668945221</v>
      </c>
      <c r="S28" s="13">
        <f t="shared" si="2"/>
        <v>166917.64969101938</v>
      </c>
      <c r="T28" s="13">
        <f t="shared" si="2"/>
        <v>173206.32677773261</v>
      </c>
      <c r="U28" s="13">
        <f t="shared" si="2"/>
        <v>179967.82525488132</v>
      </c>
      <c r="V28" s="13"/>
    </row>
    <row r="29" spans="1:24" x14ac:dyDescent="0.3">
      <c r="A29" t="s">
        <v>547</v>
      </c>
      <c r="E29">
        <f>(J16*D12+D13*J17)</f>
        <v>25000</v>
      </c>
      <c r="F29" s="13">
        <f>$J$16*$D$12+$J$17*$D$13</f>
        <v>25000</v>
      </c>
      <c r="G29" s="13">
        <f t="shared" ref="G29:U29" si="3">$J$16*$D$12+$J$17*$D$13</f>
        <v>25000</v>
      </c>
      <c r="H29" s="13">
        <f t="shared" si="3"/>
        <v>25000</v>
      </c>
      <c r="I29" s="13">
        <f t="shared" si="3"/>
        <v>25000</v>
      </c>
      <c r="J29" s="13">
        <f t="shared" si="3"/>
        <v>25000</v>
      </c>
      <c r="K29" s="13">
        <f t="shared" si="3"/>
        <v>25000</v>
      </c>
      <c r="L29" s="13">
        <f t="shared" si="3"/>
        <v>25000</v>
      </c>
      <c r="M29" s="13">
        <f t="shared" si="3"/>
        <v>25000</v>
      </c>
      <c r="N29" s="13">
        <f t="shared" si="3"/>
        <v>25000</v>
      </c>
      <c r="O29" s="13">
        <f t="shared" si="3"/>
        <v>25000</v>
      </c>
      <c r="P29" s="13">
        <f t="shared" si="3"/>
        <v>25000</v>
      </c>
      <c r="Q29" s="13">
        <f t="shared" si="3"/>
        <v>25000</v>
      </c>
      <c r="R29" s="13">
        <f t="shared" si="3"/>
        <v>25000</v>
      </c>
      <c r="S29" s="13">
        <f t="shared" si="3"/>
        <v>25000</v>
      </c>
      <c r="T29" s="13">
        <f t="shared" si="3"/>
        <v>25000</v>
      </c>
      <c r="U29" s="13">
        <f t="shared" si="3"/>
        <v>25000</v>
      </c>
      <c r="V29" s="13"/>
    </row>
    <row r="30" spans="1:24" x14ac:dyDescent="0.3">
      <c r="A30" t="s">
        <v>730</v>
      </c>
      <c r="E30">
        <f>$D$14/10</f>
        <v>45500</v>
      </c>
      <c r="F30">
        <f>$D$14/10</f>
        <v>45500</v>
      </c>
      <c r="G30">
        <f t="shared" ref="G30:N30" si="4">$D$14/10</f>
        <v>45500</v>
      </c>
      <c r="H30">
        <f t="shared" si="4"/>
        <v>45500</v>
      </c>
      <c r="I30">
        <f t="shared" si="4"/>
        <v>45500</v>
      </c>
      <c r="J30">
        <f t="shared" si="4"/>
        <v>45500</v>
      </c>
      <c r="K30">
        <f t="shared" si="4"/>
        <v>45500</v>
      </c>
      <c r="L30">
        <f t="shared" si="4"/>
        <v>45500</v>
      </c>
      <c r="M30">
        <f t="shared" si="4"/>
        <v>45500</v>
      </c>
      <c r="N30">
        <f t="shared" si="4"/>
        <v>45500</v>
      </c>
      <c r="O30" s="13">
        <f>D14-SUM(E30:N30)</f>
        <v>0</v>
      </c>
      <c r="P30" s="13"/>
      <c r="Q30" s="13"/>
      <c r="R30" s="13"/>
      <c r="S30" s="13"/>
      <c r="T30" s="13"/>
      <c r="U30" s="13"/>
      <c r="V30" s="13"/>
    </row>
    <row r="31" spans="1:24" x14ac:dyDescent="0.3">
      <c r="A31" t="s">
        <v>732</v>
      </c>
      <c r="E31" s="10">
        <f>$D$14-E30</f>
        <v>409500</v>
      </c>
      <c r="F31" s="10">
        <f>E31-F30</f>
        <v>364000</v>
      </c>
      <c r="G31" s="10">
        <f t="shared" ref="G31:O31" si="5">F31-G30</f>
        <v>318500</v>
      </c>
      <c r="H31" s="10">
        <f t="shared" si="5"/>
        <v>273000</v>
      </c>
      <c r="I31" s="10">
        <f t="shared" si="5"/>
        <v>227500</v>
      </c>
      <c r="J31" s="10">
        <f t="shared" si="5"/>
        <v>182000</v>
      </c>
      <c r="K31" s="10">
        <f t="shared" si="5"/>
        <v>136500</v>
      </c>
      <c r="L31" s="10">
        <f t="shared" si="5"/>
        <v>91000</v>
      </c>
      <c r="M31" s="10">
        <f t="shared" si="5"/>
        <v>45500</v>
      </c>
      <c r="N31" s="10">
        <f t="shared" si="5"/>
        <v>0</v>
      </c>
      <c r="O31" s="10">
        <f t="shared" si="5"/>
        <v>0</v>
      </c>
      <c r="P31" s="13"/>
      <c r="Q31" s="13"/>
      <c r="R31" s="13"/>
      <c r="S31" s="13"/>
      <c r="T31" s="13"/>
      <c r="U31" s="13"/>
      <c r="V31" s="13"/>
    </row>
    <row r="32" spans="1:24" x14ac:dyDescent="0.3">
      <c r="A32" t="s">
        <v>733</v>
      </c>
      <c r="E32" s="13">
        <f>E31*$D$15</f>
        <v>20475</v>
      </c>
      <c r="F32" s="13">
        <f t="shared" ref="F32:O32" si="6">F31*$D$15</f>
        <v>18200</v>
      </c>
      <c r="G32" s="13">
        <f t="shared" si="6"/>
        <v>15925</v>
      </c>
      <c r="H32" s="13">
        <f t="shared" si="6"/>
        <v>13650</v>
      </c>
      <c r="I32" s="13">
        <f t="shared" si="6"/>
        <v>11375</v>
      </c>
      <c r="J32" s="13">
        <f t="shared" si="6"/>
        <v>9100</v>
      </c>
      <c r="K32" s="13">
        <f t="shared" si="6"/>
        <v>6825</v>
      </c>
      <c r="L32" s="13">
        <f t="shared" si="6"/>
        <v>4550</v>
      </c>
      <c r="M32" s="13">
        <f t="shared" si="6"/>
        <v>2275</v>
      </c>
      <c r="N32" s="13">
        <f t="shared" si="6"/>
        <v>0</v>
      </c>
      <c r="O32" s="13">
        <f t="shared" si="6"/>
        <v>0</v>
      </c>
      <c r="P32" s="13"/>
      <c r="Q32" s="13"/>
      <c r="R32" s="13"/>
      <c r="S32" s="13"/>
      <c r="T32" s="13"/>
      <c r="U32" s="13"/>
      <c r="V32" s="14"/>
    </row>
    <row r="33" spans="1:23" x14ac:dyDescent="0.3">
      <c r="A33" t="s">
        <v>734</v>
      </c>
      <c r="E33" s="13">
        <f>E28+E29+E32</f>
        <v>155639.69475083056</v>
      </c>
      <c r="F33" s="13">
        <f t="shared" ref="F33:U33" si="7">F28+F29+F32</f>
        <v>156950.35008637872</v>
      </c>
      <c r="G33" s="13">
        <f t="shared" si="7"/>
        <v>157477.95962338866</v>
      </c>
      <c r="H33" s="13">
        <f t="shared" si="7"/>
        <v>158157.24373202521</v>
      </c>
      <c r="I33" s="13">
        <f t="shared" si="7"/>
        <v>159001.44107371988</v>
      </c>
      <c r="J33" s="13">
        <f t="shared" si="7"/>
        <v>160025.08524411137</v>
      </c>
      <c r="K33" s="13">
        <f t="shared" si="7"/>
        <v>161244.13383248734</v>
      </c>
      <c r="L33" s="13">
        <f t="shared" si="7"/>
        <v>162676.11038066036</v>
      </c>
      <c r="M33" s="13">
        <f t="shared" si="7"/>
        <v>164340.26053112454</v>
      </c>
      <c r="N33" s="13">
        <f t="shared" si="7"/>
        <v>166257.72378332113</v>
      </c>
      <c r="O33" s="13">
        <f t="shared" si="7"/>
        <v>170726.72241872363</v>
      </c>
      <c r="P33" s="13">
        <f>P28+P29+P32</f>
        <v>175497.76931152242</v>
      </c>
      <c r="Q33" s="13">
        <f t="shared" si="7"/>
        <v>180598.89651336503</v>
      </c>
      <c r="R33" s="13">
        <f t="shared" si="7"/>
        <v>186060.90668945221</v>
      </c>
      <c r="S33" s="13">
        <f t="shared" si="7"/>
        <v>191917.64969101938</v>
      </c>
      <c r="T33" s="13">
        <f t="shared" si="7"/>
        <v>198206.32677773261</v>
      </c>
      <c r="U33" s="13">
        <f t="shared" si="7"/>
        <v>204967.82525488132</v>
      </c>
      <c r="V33" s="13"/>
    </row>
    <row r="34" spans="1:23" x14ac:dyDescent="0.3">
      <c r="A34" t="s">
        <v>736</v>
      </c>
      <c r="E34" s="13">
        <f>E33/$D$7</f>
        <v>57.644331389196502</v>
      </c>
      <c r="F34" s="13">
        <f t="shared" ref="F34:U34" si="8">F33/$D$7</f>
        <v>58.129759291251375</v>
      </c>
      <c r="G34" s="13">
        <f t="shared" si="8"/>
        <v>58.325170230884687</v>
      </c>
      <c r="H34" s="13">
        <f t="shared" si="8"/>
        <v>58.576756937787117</v>
      </c>
      <c r="I34" s="13">
        <f t="shared" si="8"/>
        <v>58.889422619896251</v>
      </c>
      <c r="J34" s="13">
        <f t="shared" si="8"/>
        <v>59.268550090411615</v>
      </c>
      <c r="K34" s="13">
        <f t="shared" si="8"/>
        <v>59.7200495675879</v>
      </c>
      <c r="L34" s="13">
        <f t="shared" si="8"/>
        <v>60.250411252096434</v>
      </c>
      <c r="M34" s="13">
        <f t="shared" si="8"/>
        <v>60.866763159675756</v>
      </c>
      <c r="N34" s="13">
        <f t="shared" si="8"/>
        <v>61.57693473456338</v>
      </c>
      <c r="O34" s="13">
        <f t="shared" si="8"/>
        <v>63.232119414342087</v>
      </c>
      <c r="P34" s="13">
        <f t="shared" si="8"/>
        <v>64.999173819082372</v>
      </c>
      <c r="Q34" s="13">
        <f t="shared" si="8"/>
        <v>66.888480190135198</v>
      </c>
      <c r="R34" s="13">
        <f t="shared" si="8"/>
        <v>68.911446922019337</v>
      </c>
      <c r="S34" s="13">
        <f t="shared" si="8"/>
        <v>71.08061099667384</v>
      </c>
      <c r="T34" s="13">
        <f t="shared" si="8"/>
        <v>73.409750658419483</v>
      </c>
      <c r="U34" s="13">
        <f t="shared" si="8"/>
        <v>75.91400935365975</v>
      </c>
      <c r="V34" s="13"/>
    </row>
    <row r="35" spans="1:23" x14ac:dyDescent="0.3">
      <c r="A35" t="s">
        <v>740</v>
      </c>
      <c r="E35" s="13">
        <f>E42-E28-E32</f>
        <v>18940.30524916944</v>
      </c>
      <c r="F35" s="13">
        <f t="shared" ref="F35:U35" si="9">F42-F28-F32</f>
        <v>21369.149913621281</v>
      </c>
      <c r="G35" s="13">
        <f t="shared" si="9"/>
        <v>24674.527876611319</v>
      </c>
      <c r="H35" s="13">
        <f t="shared" si="9"/>
        <v>27924.055955474745</v>
      </c>
      <c r="I35" s="13">
        <f t="shared" si="9"/>
        <v>31106.891105967588</v>
      </c>
      <c r="J35" s="13">
        <f t="shared" si="9"/>
        <v>34210.955240068244</v>
      </c>
      <c r="K35" s="13">
        <f t="shared" si="9"/>
        <v>37222.807663796761</v>
      </c>
      <c r="L35" s="13">
        <f t="shared" si="9"/>
        <v>40127.504653030803</v>
      </c>
      <c r="M35" s="13">
        <f t="shared" si="9"/>
        <v>42908.444878408889</v>
      </c>
      <c r="N35" s="13">
        <f t="shared" si="9"/>
        <v>45547.199261450645</v>
      </c>
      <c r="O35" s="13">
        <f t="shared" si="9"/>
        <v>45748.323702167429</v>
      </c>
      <c r="P35" s="13">
        <f t="shared" si="9"/>
        <v>45764.152962390886</v>
      </c>
      <c r="Q35" s="13">
        <f t="shared" si="9"/>
        <v>45569.5738173961</v>
      </c>
      <c r="R35" s="13">
        <f t="shared" si="9"/>
        <v>45136.775399577949</v>
      </c>
      <c r="S35" s="13">
        <f t="shared" si="9"/>
        <v>44434.974450236507</v>
      </c>
      <c r="T35" s="13">
        <f t="shared" si="9"/>
        <v>43430.112967054651</v>
      </c>
      <c r="U35" s="13">
        <f t="shared" si="9"/>
        <v>42084.52548352562</v>
      </c>
      <c r="V35" s="13"/>
    </row>
    <row r="36" spans="1:23" x14ac:dyDescent="0.3">
      <c r="A36" t="s">
        <v>741</v>
      </c>
      <c r="E36" s="13">
        <f>E42-E33</f>
        <v>-6059.6947508305602</v>
      </c>
      <c r="F36" s="13">
        <f t="shared" ref="F36:U36" si="10">F42-F33</f>
        <v>-3630.8500863787194</v>
      </c>
      <c r="G36" s="13">
        <f t="shared" si="10"/>
        <v>-325.47212338866666</v>
      </c>
      <c r="H36" s="13">
        <f t="shared" si="10"/>
        <v>2924.0559554747597</v>
      </c>
      <c r="I36" s="13">
        <f t="shared" si="10"/>
        <v>6106.8911059675738</v>
      </c>
      <c r="J36" s="13">
        <f t="shared" si="10"/>
        <v>9210.9552400682587</v>
      </c>
      <c r="K36" s="13">
        <f t="shared" si="10"/>
        <v>12222.807663796761</v>
      </c>
      <c r="L36" s="13">
        <f t="shared" si="10"/>
        <v>15127.504653030803</v>
      </c>
      <c r="M36" s="13">
        <f t="shared" si="10"/>
        <v>17908.444878408889</v>
      </c>
      <c r="N36" s="13">
        <f t="shared" si="10"/>
        <v>20547.199261450645</v>
      </c>
      <c r="O36" s="13">
        <f t="shared" si="10"/>
        <v>20748.323702167429</v>
      </c>
      <c r="P36" s="13">
        <f t="shared" si="10"/>
        <v>20764.152962390886</v>
      </c>
      <c r="Q36" s="13">
        <f t="shared" si="10"/>
        <v>20569.5738173961</v>
      </c>
      <c r="R36" s="13">
        <f t="shared" si="10"/>
        <v>20136.775399577949</v>
      </c>
      <c r="S36" s="13">
        <f t="shared" si="10"/>
        <v>19434.974450236507</v>
      </c>
      <c r="T36" s="13">
        <f t="shared" si="10"/>
        <v>18430.112967054651</v>
      </c>
      <c r="U36" s="13">
        <f t="shared" si="10"/>
        <v>17084.52548352562</v>
      </c>
      <c r="V36" s="13"/>
    </row>
    <row r="37" spans="1:23" x14ac:dyDescent="0.3">
      <c r="A37" t="s">
        <v>739</v>
      </c>
      <c r="E37" s="13">
        <f>D14-D11+E35+E29-E30+F14</f>
        <v>-1559.6947508305602</v>
      </c>
      <c r="F37" s="13">
        <f>F35+F29-F30</f>
        <v>869.14991362128058</v>
      </c>
      <c r="G37" s="13">
        <f t="shared" ref="G37:U37" si="11">G35+G29-G30</f>
        <v>4174.5278766113188</v>
      </c>
      <c r="H37" s="13">
        <f t="shared" si="11"/>
        <v>7424.0559554747451</v>
      </c>
      <c r="I37" s="13">
        <f t="shared" si="11"/>
        <v>10606.891105967588</v>
      </c>
      <c r="J37" s="13">
        <f t="shared" si="11"/>
        <v>13710.955240068244</v>
      </c>
      <c r="K37" s="13">
        <f t="shared" si="11"/>
        <v>16722.807663796761</v>
      </c>
      <c r="L37" s="13">
        <f t="shared" si="11"/>
        <v>19627.504653030803</v>
      </c>
      <c r="M37" s="13">
        <f t="shared" si="11"/>
        <v>22408.444878408889</v>
      </c>
      <c r="N37" s="13">
        <f t="shared" si="11"/>
        <v>25047.199261450645</v>
      </c>
      <c r="O37" s="13">
        <f t="shared" si="11"/>
        <v>70748.323702167429</v>
      </c>
      <c r="P37" s="13">
        <f t="shared" si="11"/>
        <v>70764.152962390886</v>
      </c>
      <c r="Q37" s="13">
        <f t="shared" si="11"/>
        <v>70569.5738173961</v>
      </c>
      <c r="R37" s="13">
        <f t="shared" si="11"/>
        <v>70136.775399577949</v>
      </c>
      <c r="S37" s="13">
        <f t="shared" si="11"/>
        <v>69434.974450236507</v>
      </c>
      <c r="T37" s="13">
        <f t="shared" si="11"/>
        <v>68430.112967054651</v>
      </c>
      <c r="U37" s="13">
        <f t="shared" si="11"/>
        <v>67084.52548352562</v>
      </c>
      <c r="V37" s="13"/>
    </row>
    <row r="38" spans="1:23" ht="15" thickBot="1" x14ac:dyDescent="0.35">
      <c r="A38" t="s">
        <v>742</v>
      </c>
      <c r="E38" s="13">
        <f>D38+E37</f>
        <v>-1559.6947508305602</v>
      </c>
      <c r="F38" s="13">
        <f t="shared" ref="F38:U38" si="12">E38+F37</f>
        <v>-690.54483720927965</v>
      </c>
      <c r="G38" s="13">
        <f t="shared" si="12"/>
        <v>3483.9830394020391</v>
      </c>
      <c r="H38" s="13">
        <f t="shared" si="12"/>
        <v>10908.038994876784</v>
      </c>
      <c r="I38" s="13">
        <f t="shared" si="12"/>
        <v>21514.930100844373</v>
      </c>
      <c r="J38" s="13">
        <f t="shared" si="12"/>
        <v>35225.885340912617</v>
      </c>
      <c r="K38" s="13">
        <f t="shared" si="12"/>
        <v>51948.693004709377</v>
      </c>
      <c r="L38" s="13">
        <f t="shared" si="12"/>
        <v>71576.19765774018</v>
      </c>
      <c r="M38" s="13">
        <f t="shared" si="12"/>
        <v>93984.642536149069</v>
      </c>
      <c r="N38" s="13">
        <f t="shared" si="12"/>
        <v>119031.84179759971</v>
      </c>
      <c r="O38" s="13">
        <f t="shared" si="12"/>
        <v>189780.16549976714</v>
      </c>
      <c r="P38" s="13">
        <f t="shared" si="12"/>
        <v>260544.31846215803</v>
      </c>
      <c r="Q38" s="13">
        <f t="shared" si="12"/>
        <v>331113.89227955416</v>
      </c>
      <c r="R38" s="13">
        <f t="shared" si="12"/>
        <v>401250.66767913208</v>
      </c>
      <c r="S38" s="13">
        <f t="shared" si="12"/>
        <v>470685.64212936861</v>
      </c>
      <c r="T38" s="13">
        <f t="shared" si="12"/>
        <v>539115.75509642321</v>
      </c>
      <c r="U38" s="13">
        <f t="shared" si="12"/>
        <v>606200.2805799488</v>
      </c>
      <c r="V38" s="13"/>
    </row>
    <row r="39" spans="1:23" ht="15" thickBot="1" x14ac:dyDescent="0.35">
      <c r="A39" t="s">
        <v>743</v>
      </c>
      <c r="B39" s="91">
        <f>NPV(E39,E37:V37)-F14</f>
        <v>901.70975557513884</v>
      </c>
      <c r="E39" s="95">
        <v>9.7000000000000003E-2</v>
      </c>
    </row>
    <row r="40" spans="1:23" x14ac:dyDescent="0.3">
      <c r="B40" s="42"/>
      <c r="E40" s="27"/>
    </row>
    <row r="41" spans="1:23" x14ac:dyDescent="0.3">
      <c r="A41" t="s">
        <v>735</v>
      </c>
      <c r="D41">
        <v>0</v>
      </c>
      <c r="E41" s="10">
        <f>D12+D13</f>
        <v>650000</v>
      </c>
      <c r="F41">
        <f>E41-$D$12*$J$16-$J$17*$D$13</f>
        <v>625000</v>
      </c>
      <c r="G41">
        <f t="shared" ref="G41:U41" si="13">F41-$D$12*$J$16-$J$17*$D$13</f>
        <v>600000</v>
      </c>
      <c r="H41">
        <f t="shared" si="13"/>
        <v>575000</v>
      </c>
      <c r="I41">
        <f t="shared" si="13"/>
        <v>550000</v>
      </c>
      <c r="J41">
        <f t="shared" si="13"/>
        <v>525000</v>
      </c>
      <c r="K41">
        <f t="shared" si="13"/>
        <v>500000</v>
      </c>
      <c r="L41">
        <f t="shared" si="13"/>
        <v>475000</v>
      </c>
      <c r="M41">
        <f t="shared" si="13"/>
        <v>450000</v>
      </c>
      <c r="N41">
        <f t="shared" si="13"/>
        <v>425000</v>
      </c>
      <c r="O41">
        <f t="shared" si="13"/>
        <v>400000</v>
      </c>
      <c r="P41">
        <f t="shared" si="13"/>
        <v>375000</v>
      </c>
      <c r="Q41">
        <f t="shared" si="13"/>
        <v>350000</v>
      </c>
      <c r="R41">
        <f t="shared" si="13"/>
        <v>325000</v>
      </c>
      <c r="S41">
        <f t="shared" si="13"/>
        <v>300000</v>
      </c>
      <c r="T41">
        <f t="shared" si="13"/>
        <v>275000</v>
      </c>
      <c r="U41">
        <f t="shared" si="13"/>
        <v>250000</v>
      </c>
    </row>
    <row r="42" spans="1:23" x14ac:dyDescent="0.3">
      <c r="A42" t="s">
        <v>549</v>
      </c>
      <c r="E42" s="13">
        <f>E45</f>
        <v>149580</v>
      </c>
      <c r="F42" s="13">
        <f>F46*D7</f>
        <v>153319.5</v>
      </c>
      <c r="G42" s="13">
        <f>G46*D7</f>
        <v>157152.48749999999</v>
      </c>
      <c r="H42" s="13">
        <f>H46*D7</f>
        <v>161081.29968749997</v>
      </c>
      <c r="I42" s="13">
        <f>I46*D7</f>
        <v>165108.33217968745</v>
      </c>
      <c r="J42" s="13">
        <f>J46*D7</f>
        <v>169236.04048417963</v>
      </c>
      <c r="K42" s="13">
        <f>K46*D7</f>
        <v>173466.9414962841</v>
      </c>
      <c r="L42" s="13">
        <f>L46*D7</f>
        <v>177803.61503369117</v>
      </c>
      <c r="M42">
        <f>M46*D7</f>
        <v>182248.70540953343</v>
      </c>
      <c r="N42" s="13">
        <f>N46*D7</f>
        <v>186804.92304477177</v>
      </c>
      <c r="O42" s="13">
        <f>O46*D7</f>
        <v>191475.04612089106</v>
      </c>
      <c r="P42" s="13">
        <f>P46*D7</f>
        <v>196261.92227391331</v>
      </c>
      <c r="Q42" s="13">
        <f>Q46*D7</f>
        <v>201168.47033076113</v>
      </c>
      <c r="R42" s="13">
        <f>R46*D7</f>
        <v>206197.68208903016</v>
      </c>
      <c r="S42" s="13">
        <f>S46*D7</f>
        <v>211352.62414125589</v>
      </c>
      <c r="T42" s="13">
        <f>T46*D7</f>
        <v>216636.43974478726</v>
      </c>
      <c r="U42" s="13">
        <f>U46*D7</f>
        <v>222052.35073840694</v>
      </c>
    </row>
    <row r="43" spans="1:23" x14ac:dyDescent="0.3">
      <c r="A43" t="s">
        <v>729</v>
      </c>
      <c r="E43" s="13">
        <f>(E41+D41)/2+E33*0.05</f>
        <v>332781.98473754153</v>
      </c>
      <c r="F43" s="13">
        <f t="shared" ref="F43:U43" si="14">(F41+E41)/2+F33*0.05</f>
        <v>645347.51750431897</v>
      </c>
      <c r="G43" s="13">
        <f t="shared" si="14"/>
        <v>620373.8979811694</v>
      </c>
      <c r="H43" s="13">
        <f t="shared" si="14"/>
        <v>595407.86218660127</v>
      </c>
      <c r="I43" s="13">
        <f t="shared" si="14"/>
        <v>570450.07205368602</v>
      </c>
      <c r="J43" s="13">
        <f t="shared" si="14"/>
        <v>545501.25426220556</v>
      </c>
      <c r="K43" s="13">
        <f t="shared" si="14"/>
        <v>520562.20669162436</v>
      </c>
      <c r="L43" s="13">
        <f t="shared" si="14"/>
        <v>495633.80551903299</v>
      </c>
      <c r="M43" s="13">
        <f t="shared" si="14"/>
        <v>470717.01302655623</v>
      </c>
      <c r="N43" s="13">
        <f t="shared" si="14"/>
        <v>445812.88618916605</v>
      </c>
      <c r="O43" s="13">
        <f t="shared" si="14"/>
        <v>421036.3361209362</v>
      </c>
      <c r="P43" s="13">
        <f t="shared" si="14"/>
        <v>396274.88846557611</v>
      </c>
      <c r="Q43" s="13">
        <f t="shared" si="14"/>
        <v>371529.94482566824</v>
      </c>
      <c r="R43" s="13">
        <f t="shared" si="14"/>
        <v>346803.04533447261</v>
      </c>
      <c r="S43" s="13">
        <f t="shared" si="14"/>
        <v>322095.882484551</v>
      </c>
      <c r="T43" s="13">
        <f t="shared" si="14"/>
        <v>297410.31633888662</v>
      </c>
      <c r="U43" s="13">
        <f t="shared" si="14"/>
        <v>272748.39126274409</v>
      </c>
      <c r="V43" s="13"/>
    </row>
    <row r="44" spans="1:23" x14ac:dyDescent="0.3">
      <c r="A44" t="s">
        <v>744</v>
      </c>
      <c r="D44" s="26">
        <f>D21</f>
        <v>0</v>
      </c>
      <c r="E44" s="13">
        <f>E43*$D$21</f>
        <v>0</v>
      </c>
      <c r="F44" s="13">
        <f t="shared" ref="F44:U44" si="15">F43*$D$21</f>
        <v>0</v>
      </c>
      <c r="G44" s="13">
        <f t="shared" si="15"/>
        <v>0</v>
      </c>
      <c r="H44" s="13">
        <f t="shared" si="15"/>
        <v>0</v>
      </c>
      <c r="I44" s="13">
        <f t="shared" si="15"/>
        <v>0</v>
      </c>
      <c r="J44" s="13">
        <f t="shared" si="15"/>
        <v>0</v>
      </c>
      <c r="K44" s="13">
        <f t="shared" si="15"/>
        <v>0</v>
      </c>
      <c r="L44" s="13">
        <f t="shared" si="15"/>
        <v>0</v>
      </c>
      <c r="M44" s="13">
        <f t="shared" si="15"/>
        <v>0</v>
      </c>
      <c r="N44" s="13">
        <f t="shared" si="15"/>
        <v>0</v>
      </c>
      <c r="O44" s="13">
        <f t="shared" si="15"/>
        <v>0</v>
      </c>
      <c r="P44" s="13">
        <f t="shared" si="15"/>
        <v>0</v>
      </c>
      <c r="Q44" s="13">
        <f t="shared" si="15"/>
        <v>0</v>
      </c>
      <c r="R44" s="13">
        <f t="shared" si="15"/>
        <v>0</v>
      </c>
      <c r="S44" s="13">
        <f t="shared" si="15"/>
        <v>0</v>
      </c>
      <c r="T44" s="13">
        <f t="shared" si="15"/>
        <v>0</v>
      </c>
      <c r="U44" s="13">
        <f t="shared" si="15"/>
        <v>0</v>
      </c>
      <c r="V44" s="13"/>
    </row>
    <row r="45" spans="1:23" x14ac:dyDescent="0.3">
      <c r="A45" t="s">
        <v>549</v>
      </c>
      <c r="E45" s="13">
        <f>E46*$D$7</f>
        <v>149580</v>
      </c>
      <c r="F45" s="13">
        <f t="shared" ref="F45:U45" si="16">F46*$D$7</f>
        <v>153319.5</v>
      </c>
      <c r="G45" s="13">
        <f t="shared" si="16"/>
        <v>157152.48749999999</v>
      </c>
      <c r="H45" s="13">
        <f t="shared" si="16"/>
        <v>161081.29968749997</v>
      </c>
      <c r="I45" s="13">
        <f t="shared" si="16"/>
        <v>165108.33217968745</v>
      </c>
      <c r="J45" s="13">
        <f t="shared" si="16"/>
        <v>169236.04048417963</v>
      </c>
      <c r="K45" s="13">
        <f t="shared" si="16"/>
        <v>173466.9414962841</v>
      </c>
      <c r="L45" s="13">
        <f t="shared" si="16"/>
        <v>177803.61503369117</v>
      </c>
      <c r="M45" s="13">
        <f t="shared" si="16"/>
        <v>182248.70540953343</v>
      </c>
      <c r="N45" s="13">
        <f t="shared" si="16"/>
        <v>186804.92304477177</v>
      </c>
      <c r="O45" s="13">
        <f t="shared" si="16"/>
        <v>191475.04612089106</v>
      </c>
      <c r="P45" s="13">
        <f t="shared" si="16"/>
        <v>196261.92227391331</v>
      </c>
      <c r="Q45" s="13">
        <f t="shared" si="16"/>
        <v>201168.47033076113</v>
      </c>
      <c r="R45" s="13">
        <f t="shared" si="16"/>
        <v>206197.68208903016</v>
      </c>
      <c r="S45" s="13">
        <f t="shared" si="16"/>
        <v>211352.62414125589</v>
      </c>
      <c r="T45" s="13">
        <f t="shared" si="16"/>
        <v>216636.43974478726</v>
      </c>
      <c r="U45" s="13">
        <f t="shared" si="16"/>
        <v>222052.35073840694</v>
      </c>
      <c r="V45" s="13"/>
    </row>
    <row r="46" spans="1:23" s="14" customFormat="1" ht="15" thickBot="1" x14ac:dyDescent="0.35">
      <c r="A46" s="14" t="s">
        <v>738</v>
      </c>
      <c r="E46" s="14">
        <v>55.4</v>
      </c>
      <c r="F46" s="14">
        <f>(1+$J$8)*E46</f>
        <v>56.784999999999997</v>
      </c>
      <c r="G46" s="14">
        <f t="shared" ref="G46:U46" si="17">(1+$J$8)*F46</f>
        <v>58.204624999999993</v>
      </c>
      <c r="H46" s="14">
        <f t="shared" si="17"/>
        <v>59.659740624999991</v>
      </c>
      <c r="I46" s="14">
        <f t="shared" si="17"/>
        <v>61.151234140624986</v>
      </c>
      <c r="J46" s="14">
        <f t="shared" si="17"/>
        <v>62.680014994140606</v>
      </c>
      <c r="K46" s="14">
        <f t="shared" si="17"/>
        <v>64.247015368994113</v>
      </c>
      <c r="L46" s="14">
        <f t="shared" si="17"/>
        <v>65.853190753218954</v>
      </c>
      <c r="M46" s="14">
        <f t="shared" si="17"/>
        <v>67.499520522049423</v>
      </c>
      <c r="N46" s="14">
        <f t="shared" si="17"/>
        <v>69.187008535100659</v>
      </c>
      <c r="O46" s="14">
        <f t="shared" si="17"/>
        <v>70.916683748478164</v>
      </c>
      <c r="P46" s="14">
        <f t="shared" si="17"/>
        <v>72.689600842190117</v>
      </c>
      <c r="Q46" s="14">
        <f t="shared" si="17"/>
        <v>74.506840863244861</v>
      </c>
      <c r="R46" s="14">
        <f t="shared" si="17"/>
        <v>76.369511884825982</v>
      </c>
      <c r="S46" s="14">
        <f t="shared" si="17"/>
        <v>78.278749681946621</v>
      </c>
      <c r="T46" s="14">
        <f t="shared" si="17"/>
        <v>80.23571842399528</v>
      </c>
      <c r="U46" s="14">
        <f t="shared" si="17"/>
        <v>82.24161138459516</v>
      </c>
      <c r="W46" s="14">
        <f>W23+V24+V25+V26+V27+V29+V32+V44</f>
        <v>25.116279069767447</v>
      </c>
    </row>
    <row r="47" spans="1:23" ht="15" thickBot="1" x14ac:dyDescent="0.35">
      <c r="A47" s="1" t="s">
        <v>548</v>
      </c>
      <c r="B47" s="1"/>
      <c r="C47" s="1"/>
      <c r="D47" s="1"/>
      <c r="E47" s="1"/>
      <c r="F47" s="1"/>
      <c r="G47" s="1"/>
      <c r="H47" s="1"/>
      <c r="I47" s="30">
        <f>U46</f>
        <v>82.24161138459516</v>
      </c>
      <c r="J47" t="s">
        <v>466</v>
      </c>
    </row>
    <row r="48" spans="1:23" x14ac:dyDescent="0.3">
      <c r="A48">
        <v>60</v>
      </c>
      <c r="B48" t="s">
        <v>779</v>
      </c>
      <c r="C48">
        <v>100</v>
      </c>
      <c r="D48" t="s">
        <v>780</v>
      </c>
      <c r="E48" s="13">
        <f>$A$48*$C$48*E46/1000</f>
        <v>332.4</v>
      </c>
      <c r="F48" s="13">
        <f t="shared" ref="F48:O48" si="18">$A$48*$C$48*F46/1000</f>
        <v>340.71</v>
      </c>
      <c r="G48" s="13">
        <f t="shared" si="18"/>
        <v>349.22774999999996</v>
      </c>
      <c r="H48" s="13">
        <f t="shared" si="18"/>
        <v>357.9584437499999</v>
      </c>
      <c r="I48" s="13">
        <f t="shared" si="18"/>
        <v>366.90740484374993</v>
      </c>
      <c r="J48" s="13">
        <f t="shared" si="18"/>
        <v>376.08008996484364</v>
      </c>
      <c r="K48" s="13">
        <f t="shared" si="18"/>
        <v>385.48209221396468</v>
      </c>
      <c r="L48" s="13">
        <f t="shared" si="18"/>
        <v>395.11914451931369</v>
      </c>
      <c r="M48" s="13">
        <f t="shared" si="18"/>
        <v>404.99712313229657</v>
      </c>
      <c r="N48" s="13">
        <f t="shared" si="18"/>
        <v>415.12205121060396</v>
      </c>
      <c r="O48" s="13">
        <f t="shared" si="18"/>
        <v>425.50010249086898</v>
      </c>
    </row>
    <row r="49" spans="1:24" x14ac:dyDescent="0.3">
      <c r="A49" t="s">
        <v>551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>SUM(E48:O48)</f>
        <v>4149.5042021256413</v>
      </c>
    </row>
    <row r="51" spans="1:24" x14ac:dyDescent="0.3">
      <c r="E51">
        <v>2031</v>
      </c>
      <c r="F51">
        <v>2032</v>
      </c>
      <c r="G51">
        <v>2033</v>
      </c>
      <c r="H51">
        <v>2034</v>
      </c>
      <c r="I51">
        <v>2035</v>
      </c>
      <c r="J51">
        <v>2036</v>
      </c>
      <c r="K51">
        <v>2037</v>
      </c>
      <c r="L51">
        <v>2038</v>
      </c>
      <c r="M51">
        <v>2039</v>
      </c>
      <c r="N51">
        <v>2040</v>
      </c>
      <c r="O51">
        <v>2041</v>
      </c>
      <c r="P51">
        <v>2042</v>
      </c>
      <c r="Q51">
        <v>2043</v>
      </c>
      <c r="R51">
        <v>2044</v>
      </c>
      <c r="S51">
        <v>2045</v>
      </c>
      <c r="T51">
        <v>2046</v>
      </c>
      <c r="U51">
        <v>2047</v>
      </c>
      <c r="V51">
        <v>2048</v>
      </c>
      <c r="W51">
        <v>2049</v>
      </c>
      <c r="X51" s="1">
        <v>2050</v>
      </c>
    </row>
    <row r="52" spans="1:24" x14ac:dyDescent="0.3">
      <c r="E52" s="13">
        <f>I47*1.02</f>
        <v>83.886443612287067</v>
      </c>
      <c r="F52" s="13">
        <f t="shared" ref="F52:X52" si="19">E52*1.02</f>
        <v>85.564172484532804</v>
      </c>
      <c r="G52" s="13">
        <f t="shared" si="19"/>
        <v>87.275455934223459</v>
      </c>
      <c r="H52" s="13">
        <f t="shared" si="19"/>
        <v>89.020965052907925</v>
      </c>
      <c r="I52" s="13">
        <f t="shared" si="19"/>
        <v>90.801384353966085</v>
      </c>
      <c r="J52" s="13">
        <f t="shared" si="19"/>
        <v>92.617412041045412</v>
      </c>
      <c r="K52" s="13">
        <f t="shared" si="19"/>
        <v>94.469760281866328</v>
      </c>
      <c r="L52" s="13">
        <f t="shared" si="19"/>
        <v>96.359155487503656</v>
      </c>
      <c r="M52" s="13">
        <f t="shared" si="19"/>
        <v>98.286338597253732</v>
      </c>
      <c r="N52" s="13">
        <f t="shared" si="19"/>
        <v>100.2520653691988</v>
      </c>
      <c r="O52" s="13">
        <f t="shared" si="19"/>
        <v>102.25710667658278</v>
      </c>
      <c r="P52" s="13">
        <f t="shared" si="19"/>
        <v>104.30224881011443</v>
      </c>
      <c r="Q52" s="13">
        <f t="shared" si="19"/>
        <v>106.38829378631672</v>
      </c>
      <c r="R52" s="13">
        <f t="shared" si="19"/>
        <v>108.51605966204306</v>
      </c>
      <c r="S52" s="13">
        <f t="shared" si="19"/>
        <v>110.68638085528393</v>
      </c>
      <c r="T52" s="13">
        <f t="shared" si="19"/>
        <v>112.9001084723896</v>
      </c>
      <c r="U52" s="13">
        <f t="shared" si="19"/>
        <v>115.1581106418374</v>
      </c>
      <c r="V52" s="13">
        <f t="shared" si="19"/>
        <v>117.46127285467415</v>
      </c>
      <c r="W52" s="13">
        <f t="shared" si="19"/>
        <v>119.81049831176763</v>
      </c>
      <c r="X52" s="32">
        <f t="shared" si="19"/>
        <v>122.20670827800299</v>
      </c>
    </row>
    <row r="55" spans="1:24" x14ac:dyDescent="0.3">
      <c r="A55" t="s">
        <v>553</v>
      </c>
    </row>
    <row r="56" spans="1:24" x14ac:dyDescent="0.3">
      <c r="A56" t="s">
        <v>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1"/>
  <sheetViews>
    <sheetView topLeftCell="A28" workbookViewId="0">
      <selection activeCell="U44" sqref="U44"/>
    </sheetView>
  </sheetViews>
  <sheetFormatPr defaultRowHeight="14.4" x14ac:dyDescent="0.3"/>
  <cols>
    <col min="2" max="2" width="13.33203125" bestFit="1" customWidth="1"/>
    <col min="5" max="14" width="9.5546875" bestFit="1" customWidth="1"/>
    <col min="15" max="15" width="12.88671875" customWidth="1"/>
    <col min="16" max="23" width="9.5546875" bestFit="1" customWidth="1"/>
  </cols>
  <sheetData>
    <row r="2" spans="1:12" x14ac:dyDescent="0.3">
      <c r="A2" t="s">
        <v>516</v>
      </c>
    </row>
    <row r="3" spans="1:12" x14ac:dyDescent="0.3">
      <c r="A3" t="s">
        <v>552</v>
      </c>
    </row>
    <row r="4" spans="1:12" x14ac:dyDescent="0.3">
      <c r="A4" t="s">
        <v>517</v>
      </c>
    </row>
    <row r="5" spans="1:12" x14ac:dyDescent="0.3">
      <c r="A5" t="s">
        <v>518</v>
      </c>
      <c r="D5">
        <v>1</v>
      </c>
      <c r="G5" t="s">
        <v>539</v>
      </c>
      <c r="I5" t="s">
        <v>466</v>
      </c>
      <c r="J5">
        <v>2.2999999999999998</v>
      </c>
    </row>
    <row r="6" spans="1:12" x14ac:dyDescent="0.3">
      <c r="A6" t="s">
        <v>519</v>
      </c>
      <c r="D6">
        <v>1</v>
      </c>
      <c r="G6" t="s">
        <v>540</v>
      </c>
      <c r="I6" t="s">
        <v>466</v>
      </c>
      <c r="J6">
        <v>3.8</v>
      </c>
    </row>
    <row r="7" spans="1:12" ht="21" x14ac:dyDescent="0.4">
      <c r="A7" t="s">
        <v>520</v>
      </c>
      <c r="D7" s="46">
        <v>2700</v>
      </c>
      <c r="G7" t="s">
        <v>538</v>
      </c>
      <c r="J7">
        <v>0.04</v>
      </c>
    </row>
    <row r="8" spans="1:12" x14ac:dyDescent="0.3">
      <c r="A8" t="s">
        <v>521</v>
      </c>
      <c r="D8" s="8">
        <v>0.86</v>
      </c>
      <c r="G8" t="s">
        <v>890</v>
      </c>
      <c r="J8" s="26">
        <v>2.5000000000000001E-2</v>
      </c>
    </row>
    <row r="9" spans="1:12" x14ac:dyDescent="0.3">
      <c r="A9" t="s">
        <v>522</v>
      </c>
      <c r="D9" s="27">
        <v>0.2</v>
      </c>
      <c r="E9" s="43"/>
      <c r="G9" t="s">
        <v>542</v>
      </c>
      <c r="J9" s="8">
        <v>0.1</v>
      </c>
      <c r="L9" t="s">
        <v>1003</v>
      </c>
    </row>
    <row r="10" spans="1:12" x14ac:dyDescent="0.3">
      <c r="A10" t="s">
        <v>523</v>
      </c>
      <c r="D10">
        <v>18</v>
      </c>
      <c r="G10" t="s">
        <v>545</v>
      </c>
      <c r="J10" s="43">
        <v>55</v>
      </c>
      <c r="L10" t="s">
        <v>556</v>
      </c>
    </row>
    <row r="11" spans="1:12" x14ac:dyDescent="0.3">
      <c r="A11" t="s">
        <v>524</v>
      </c>
      <c r="D11">
        <f>D12+D13</f>
        <v>350000</v>
      </c>
      <c r="G11" t="s">
        <v>687</v>
      </c>
      <c r="J11">
        <v>4000</v>
      </c>
    </row>
    <row r="12" spans="1:12" x14ac:dyDescent="0.3">
      <c r="A12" t="s">
        <v>525</v>
      </c>
      <c r="D12">
        <v>350000</v>
      </c>
      <c r="G12" t="s">
        <v>972</v>
      </c>
      <c r="I12" t="s">
        <v>490</v>
      </c>
      <c r="J12">
        <f>D7/(1-0.2)</f>
        <v>3375</v>
      </c>
    </row>
    <row r="13" spans="1:12" x14ac:dyDescent="0.3">
      <c r="A13" t="s">
        <v>526</v>
      </c>
      <c r="D13">
        <v>0</v>
      </c>
      <c r="G13" t="s">
        <v>973</v>
      </c>
      <c r="I13" t="s">
        <v>490</v>
      </c>
      <c r="J13" s="1">
        <f>J12*D9</f>
        <v>675</v>
      </c>
    </row>
    <row r="14" spans="1:12" x14ac:dyDescent="0.3">
      <c r="A14" t="s">
        <v>527</v>
      </c>
      <c r="D14">
        <f>(D12+D13)*0.7</f>
        <v>244999.99999999997</v>
      </c>
      <c r="E14" t="s">
        <v>749</v>
      </c>
      <c r="F14">
        <f>D11-D14</f>
        <v>105000.00000000003</v>
      </c>
    </row>
    <row r="15" spans="1:12" x14ac:dyDescent="0.3">
      <c r="A15" t="s">
        <v>528</v>
      </c>
      <c r="D15" s="8">
        <v>0.05</v>
      </c>
    </row>
    <row r="16" spans="1:12" x14ac:dyDescent="0.3">
      <c r="A16" t="s">
        <v>529</v>
      </c>
      <c r="D16">
        <v>20</v>
      </c>
      <c r="G16" t="s">
        <v>726</v>
      </c>
      <c r="J16" s="8">
        <v>0.05</v>
      </c>
      <c r="L16" t="s">
        <v>728</v>
      </c>
    </row>
    <row r="17" spans="1:24" x14ac:dyDescent="0.3">
      <c r="A17" t="s">
        <v>530</v>
      </c>
      <c r="D17">
        <v>2</v>
      </c>
      <c r="G17" t="s">
        <v>727</v>
      </c>
      <c r="J17" s="26">
        <f>1/40</f>
        <v>2.5000000000000001E-2</v>
      </c>
    </row>
    <row r="18" spans="1:24" x14ac:dyDescent="0.3">
      <c r="A18" t="s">
        <v>531</v>
      </c>
      <c r="D18" s="26">
        <v>1.4999999999999999E-2</v>
      </c>
      <c r="J18">
        <f>J16*D12+J17*D13</f>
        <v>17500</v>
      </c>
    </row>
    <row r="19" spans="1:24" x14ac:dyDescent="0.3">
      <c r="A19" t="s">
        <v>532</v>
      </c>
      <c r="D19">
        <v>800</v>
      </c>
      <c r="V19" t="s">
        <v>708</v>
      </c>
    </row>
    <row r="20" spans="1:24" x14ac:dyDescent="0.3">
      <c r="A20" t="s">
        <v>533</v>
      </c>
      <c r="D20" s="26">
        <v>1.4999999999999999E-2</v>
      </c>
      <c r="V20" t="s">
        <v>709</v>
      </c>
    </row>
    <row r="21" spans="1:24" x14ac:dyDescent="0.3">
      <c r="A21" t="s">
        <v>534</v>
      </c>
      <c r="D21" s="8">
        <v>0</v>
      </c>
    </row>
    <row r="22" spans="1:24" x14ac:dyDescent="0.3">
      <c r="E22">
        <v>2014</v>
      </c>
      <c r="F22">
        <v>2015</v>
      </c>
      <c r="G22">
        <v>2016</v>
      </c>
      <c r="H22">
        <v>2017</v>
      </c>
      <c r="I22">
        <v>2018</v>
      </c>
      <c r="J22">
        <v>2019</v>
      </c>
      <c r="K22">
        <v>2020</v>
      </c>
      <c r="L22">
        <v>2021</v>
      </c>
      <c r="M22">
        <v>2022</v>
      </c>
      <c r="N22">
        <v>2023</v>
      </c>
      <c r="O22">
        <v>2024</v>
      </c>
      <c r="P22">
        <v>2025</v>
      </c>
      <c r="Q22">
        <v>2026</v>
      </c>
      <c r="R22">
        <v>2027</v>
      </c>
      <c r="S22">
        <v>2028</v>
      </c>
      <c r="T22">
        <v>2029</v>
      </c>
      <c r="U22">
        <v>2030</v>
      </c>
    </row>
    <row r="23" spans="1:24" x14ac:dyDescent="0.3">
      <c r="A23" t="s">
        <v>535</v>
      </c>
      <c r="E23" s="13">
        <f>(D7+J13)/D8*D10</f>
        <v>70639.534883720931</v>
      </c>
      <c r="F23" s="13">
        <f t="shared" ref="F23:U23" si="0">E23*1.015</f>
        <v>71699.127906976733</v>
      </c>
      <c r="G23" s="13">
        <f t="shared" si="0"/>
        <v>72774.614825581375</v>
      </c>
      <c r="H23" s="13">
        <f t="shared" si="0"/>
        <v>73866.234047965088</v>
      </c>
      <c r="I23" s="13">
        <f t="shared" si="0"/>
        <v>74974.227558684564</v>
      </c>
      <c r="J23" s="13">
        <f t="shared" si="0"/>
        <v>76098.84097206482</v>
      </c>
      <c r="K23" s="13">
        <f t="shared" si="0"/>
        <v>77240.323586645784</v>
      </c>
      <c r="L23" s="13">
        <f t="shared" si="0"/>
        <v>78398.928440445467</v>
      </c>
      <c r="M23" s="13">
        <f t="shared" si="0"/>
        <v>79574.912367052137</v>
      </c>
      <c r="N23" s="13">
        <f t="shared" si="0"/>
        <v>80768.536052557916</v>
      </c>
      <c r="O23" s="13">
        <f t="shared" si="0"/>
        <v>81980.064093346271</v>
      </c>
      <c r="P23" s="13">
        <f t="shared" si="0"/>
        <v>83209.765054746458</v>
      </c>
      <c r="Q23" s="13">
        <f t="shared" si="0"/>
        <v>84457.911530567653</v>
      </c>
      <c r="R23" s="13">
        <f t="shared" si="0"/>
        <v>85724.780203526156</v>
      </c>
      <c r="S23" s="13">
        <f t="shared" si="0"/>
        <v>87010.651906579034</v>
      </c>
      <c r="T23" s="13">
        <f t="shared" si="0"/>
        <v>88315.811685177716</v>
      </c>
      <c r="U23" s="13">
        <f t="shared" si="0"/>
        <v>89640.548860455368</v>
      </c>
      <c r="V23" s="13"/>
      <c r="W23" s="13">
        <f>(D7+E9)/D8*21.6/D7</f>
        <v>25.116279069767447</v>
      </c>
      <c r="X23" t="s">
        <v>710</v>
      </c>
    </row>
    <row r="24" spans="1:24" x14ac:dyDescent="0.3">
      <c r="A24" t="s">
        <v>544</v>
      </c>
      <c r="E24">
        <f>D19*1.34*12*D17</f>
        <v>25728</v>
      </c>
      <c r="F24" s="13">
        <f>E24*1.05</f>
        <v>27014.400000000001</v>
      </c>
      <c r="G24" s="13">
        <f t="shared" ref="G24:U25" si="1">F24*1.015</f>
        <v>27419.615999999998</v>
      </c>
      <c r="H24" s="13">
        <f t="shared" si="1"/>
        <v>27830.910239999994</v>
      </c>
      <c r="I24" s="13">
        <f t="shared" si="1"/>
        <v>28248.37389359999</v>
      </c>
      <c r="J24" s="13">
        <f t="shared" si="1"/>
        <v>28672.099502003988</v>
      </c>
      <c r="K24" s="13">
        <f t="shared" si="1"/>
        <v>29102.180994534046</v>
      </c>
      <c r="L24" s="13">
        <f t="shared" si="1"/>
        <v>29538.713709452055</v>
      </c>
      <c r="M24" s="13">
        <f t="shared" si="1"/>
        <v>29981.794415093831</v>
      </c>
      <c r="N24" s="13">
        <f t="shared" si="1"/>
        <v>30431.521331320237</v>
      </c>
      <c r="O24" s="13">
        <f t="shared" si="1"/>
        <v>30887.994151290037</v>
      </c>
      <c r="P24" s="13">
        <f t="shared" si="1"/>
        <v>31351.314063559385</v>
      </c>
      <c r="Q24" s="13">
        <f t="shared" si="1"/>
        <v>31821.583774512772</v>
      </c>
      <c r="R24" s="13">
        <f t="shared" si="1"/>
        <v>32298.907531130459</v>
      </c>
      <c r="S24" s="13">
        <f t="shared" si="1"/>
        <v>32783.391144097412</v>
      </c>
      <c r="T24" s="13">
        <f t="shared" si="1"/>
        <v>33275.142011258868</v>
      </c>
      <c r="U24" s="13">
        <f t="shared" si="1"/>
        <v>33774.269141427751</v>
      </c>
      <c r="V24" s="13"/>
      <c r="W24" s="13"/>
    </row>
    <row r="25" spans="1:24" x14ac:dyDescent="0.3">
      <c r="A25" t="s">
        <v>536</v>
      </c>
      <c r="E25">
        <f>2.3*(D7+E9)</f>
        <v>6209.9999999999991</v>
      </c>
      <c r="F25" s="13">
        <f>E25*1.015</f>
        <v>6303.1499999999987</v>
      </c>
      <c r="G25" s="13">
        <f t="shared" si="1"/>
        <v>6397.6972499999983</v>
      </c>
      <c r="H25" s="13">
        <f t="shared" si="1"/>
        <v>6493.6627087499974</v>
      </c>
      <c r="I25" s="13">
        <f t="shared" si="1"/>
        <v>6591.0676493812471</v>
      </c>
      <c r="J25" s="13">
        <f t="shared" si="1"/>
        <v>6689.9336641219652</v>
      </c>
      <c r="K25" s="13">
        <f t="shared" si="1"/>
        <v>6790.2826690837937</v>
      </c>
      <c r="L25" s="13">
        <f t="shared" si="1"/>
        <v>6892.1369091200504</v>
      </c>
      <c r="M25" s="13">
        <f t="shared" si="1"/>
        <v>6995.5189627568507</v>
      </c>
      <c r="N25" s="13">
        <f t="shared" si="1"/>
        <v>7100.4517471982026</v>
      </c>
      <c r="O25" s="13">
        <f t="shared" si="1"/>
        <v>7206.9585234061751</v>
      </c>
      <c r="P25" s="13">
        <f t="shared" si="1"/>
        <v>7315.0629012572672</v>
      </c>
      <c r="Q25" s="13">
        <f t="shared" si="1"/>
        <v>7424.7888447761252</v>
      </c>
      <c r="R25" s="13">
        <f t="shared" si="1"/>
        <v>7536.1606774477659</v>
      </c>
      <c r="S25" s="13">
        <f t="shared" si="1"/>
        <v>7649.2030876094814</v>
      </c>
      <c r="T25" s="13">
        <f t="shared" si="1"/>
        <v>7763.9411339236231</v>
      </c>
      <c r="U25" s="13">
        <f t="shared" si="1"/>
        <v>7880.4002509324764</v>
      </c>
      <c r="V25" s="13"/>
    </row>
    <row r="26" spans="1:24" x14ac:dyDescent="0.3">
      <c r="A26" t="s">
        <v>537</v>
      </c>
      <c r="E26">
        <f>3.8*(D7+J13)</f>
        <v>12825</v>
      </c>
      <c r="F26" s="13">
        <f t="shared" ref="F26:U26" si="2">E26*1.1</f>
        <v>14107.500000000002</v>
      </c>
      <c r="G26" s="13">
        <f t="shared" si="2"/>
        <v>15518.250000000004</v>
      </c>
      <c r="H26" s="13">
        <f t="shared" si="2"/>
        <v>17070.075000000004</v>
      </c>
      <c r="I26" s="13">
        <f t="shared" si="2"/>
        <v>18777.082500000008</v>
      </c>
      <c r="J26" s="13">
        <f t="shared" si="2"/>
        <v>20654.790750000011</v>
      </c>
      <c r="K26" s="13">
        <f t="shared" si="2"/>
        <v>22720.269825000014</v>
      </c>
      <c r="L26" s="13">
        <f t="shared" si="2"/>
        <v>24992.296807500017</v>
      </c>
      <c r="M26" s="13">
        <f t="shared" si="2"/>
        <v>27491.52648825002</v>
      </c>
      <c r="N26" s="13">
        <f t="shared" si="2"/>
        <v>30240.679137075025</v>
      </c>
      <c r="O26" s="13">
        <f t="shared" si="2"/>
        <v>33264.747050782527</v>
      </c>
      <c r="P26" s="13">
        <f t="shared" si="2"/>
        <v>36591.221755860781</v>
      </c>
      <c r="Q26" s="13">
        <f t="shared" si="2"/>
        <v>40250.343931446863</v>
      </c>
      <c r="R26" s="13">
        <f t="shared" si="2"/>
        <v>44275.378324591555</v>
      </c>
      <c r="S26" s="13">
        <f t="shared" si="2"/>
        <v>48702.916157050713</v>
      </c>
      <c r="T26" s="13">
        <f t="shared" si="2"/>
        <v>53573.207772755792</v>
      </c>
      <c r="U26" s="13">
        <f t="shared" si="2"/>
        <v>58930.528550031377</v>
      </c>
      <c r="V26" s="13"/>
      <c r="W26" s="13"/>
    </row>
    <row r="27" spans="1:24" x14ac:dyDescent="0.3">
      <c r="A27" t="s">
        <v>546</v>
      </c>
      <c r="E27" s="13">
        <f>SUM(E23:E26)*J7</f>
        <v>4616.1013953488373</v>
      </c>
      <c r="F27" s="13">
        <f>SUM(F23:F26)*J7</f>
        <v>4764.9671162790692</v>
      </c>
      <c r="G27" s="13">
        <f>SUM(G23:G26)*J7</f>
        <v>4884.4071230232548</v>
      </c>
      <c r="H27" s="13">
        <f>SUM(H23:H26)*J7</f>
        <v>5010.4352798686041</v>
      </c>
      <c r="I27" s="13">
        <f>SUM(I23:I26)*J7</f>
        <v>5143.6300640666323</v>
      </c>
      <c r="J27" s="13">
        <f>SUM(J23:J26)*J7</f>
        <v>5284.6265955276313</v>
      </c>
      <c r="K27" s="13">
        <f>SUM(K23:K26)*J7</f>
        <v>5434.1222830105462</v>
      </c>
      <c r="L27" s="13">
        <f>SUM(L23:L26)*J7</f>
        <v>5592.8830346607037</v>
      </c>
      <c r="M27" s="13">
        <f>SUM(M23:M26)*J7</f>
        <v>5761.7500893261131</v>
      </c>
      <c r="N27" s="13">
        <f>SUM(N23:N26)*J7</f>
        <v>5941.6475307260544</v>
      </c>
      <c r="O27" s="13">
        <f>SUM(O23:O26)*J7</f>
        <v>6133.5905527530003</v>
      </c>
      <c r="P27" s="13">
        <f>SUM(P23:P26)*J7</f>
        <v>6338.6945510169562</v>
      </c>
      <c r="Q27" s="13">
        <f>SUM(Q23:Q26)*J7</f>
        <v>6558.1851232521367</v>
      </c>
      <c r="R27" s="13">
        <f>SUM(R23:R26)*J7</f>
        <v>6793.409069467838</v>
      </c>
      <c r="S27" s="13">
        <f>SUM(S23:S26)*J7</f>
        <v>7045.846491813465</v>
      </c>
      <c r="T27" s="13">
        <f>SUM(T23:T26)*0.04</f>
        <v>7317.1241041246403</v>
      </c>
      <c r="U27" s="13">
        <f>SUM(U23:U26)*0.04</f>
        <v>7609.0298721138788</v>
      </c>
      <c r="V27" s="13"/>
    </row>
    <row r="28" spans="1:24" x14ac:dyDescent="0.3">
      <c r="A28" t="s">
        <v>731</v>
      </c>
      <c r="E28" s="13">
        <f>SUM(E23:E27)</f>
        <v>120018.63627906977</v>
      </c>
      <c r="F28" s="13">
        <f t="shared" ref="F28:U28" si="3">SUM(F23:F27)</f>
        <v>123889.14502325578</v>
      </c>
      <c r="G28" s="13">
        <f t="shared" si="3"/>
        <v>126994.58519860462</v>
      </c>
      <c r="H28" s="13">
        <f t="shared" si="3"/>
        <v>130271.31727658369</v>
      </c>
      <c r="I28" s="13">
        <f t="shared" si="3"/>
        <v>133734.38166573245</v>
      </c>
      <c r="J28" s="13">
        <f t="shared" si="3"/>
        <v>137400.29148371841</v>
      </c>
      <c r="K28" s="13">
        <f t="shared" si="3"/>
        <v>141287.17935827418</v>
      </c>
      <c r="L28" s="13">
        <f t="shared" si="3"/>
        <v>145414.9589011783</v>
      </c>
      <c r="M28" s="13">
        <f t="shared" si="3"/>
        <v>149805.50232247895</v>
      </c>
      <c r="N28" s="13">
        <f t="shared" si="3"/>
        <v>154482.83579887741</v>
      </c>
      <c r="O28" s="13">
        <f t="shared" si="3"/>
        <v>159473.35437157803</v>
      </c>
      <c r="P28" s="13">
        <f t="shared" si="3"/>
        <v>164806.05832644086</v>
      </c>
      <c r="Q28" s="13">
        <f t="shared" si="3"/>
        <v>170512.81320455554</v>
      </c>
      <c r="R28" s="13">
        <f t="shared" si="3"/>
        <v>176628.63580616377</v>
      </c>
      <c r="S28" s="13">
        <f t="shared" si="3"/>
        <v>183192.00878715009</v>
      </c>
      <c r="T28" s="13">
        <f t="shared" si="3"/>
        <v>190245.22670724065</v>
      </c>
      <c r="U28" s="13">
        <f t="shared" si="3"/>
        <v>197834.77667496083</v>
      </c>
      <c r="V28" s="13"/>
    </row>
    <row r="29" spans="1:24" x14ac:dyDescent="0.3">
      <c r="A29" t="s">
        <v>547</v>
      </c>
      <c r="E29">
        <f>(J16*D12+D13*J17)</f>
        <v>17500</v>
      </c>
      <c r="F29">
        <f>$J$16*$D$12+$J$17*$D$13</f>
        <v>17500</v>
      </c>
      <c r="G29">
        <f t="shared" ref="G29:U29" si="4">$J$16*$D$12+$J$17*$D$13</f>
        <v>17500</v>
      </c>
      <c r="H29">
        <f t="shared" si="4"/>
        <v>17500</v>
      </c>
      <c r="I29">
        <f t="shared" si="4"/>
        <v>17500</v>
      </c>
      <c r="J29">
        <f t="shared" si="4"/>
        <v>17500</v>
      </c>
      <c r="K29">
        <f t="shared" si="4"/>
        <v>17500</v>
      </c>
      <c r="L29">
        <f t="shared" si="4"/>
        <v>17500</v>
      </c>
      <c r="M29">
        <f t="shared" si="4"/>
        <v>17500</v>
      </c>
      <c r="N29">
        <f t="shared" si="4"/>
        <v>17500</v>
      </c>
      <c r="O29">
        <f t="shared" si="4"/>
        <v>17500</v>
      </c>
      <c r="P29">
        <f t="shared" si="4"/>
        <v>17500</v>
      </c>
      <c r="Q29">
        <f t="shared" si="4"/>
        <v>17500</v>
      </c>
      <c r="R29">
        <f t="shared" si="4"/>
        <v>17500</v>
      </c>
      <c r="S29">
        <f t="shared" si="4"/>
        <v>17500</v>
      </c>
      <c r="T29">
        <f t="shared" si="4"/>
        <v>17500</v>
      </c>
      <c r="U29">
        <f t="shared" si="4"/>
        <v>17500</v>
      </c>
    </row>
    <row r="30" spans="1:24" x14ac:dyDescent="0.3">
      <c r="A30" t="s">
        <v>730</v>
      </c>
      <c r="E30">
        <f>$D$14/10</f>
        <v>24499.999999999996</v>
      </c>
      <c r="F30">
        <f>$D$14/10</f>
        <v>24499.999999999996</v>
      </c>
      <c r="G30">
        <f t="shared" ref="G30:N30" si="5">$D$14/10</f>
        <v>24499.999999999996</v>
      </c>
      <c r="H30">
        <f t="shared" si="5"/>
        <v>24499.999999999996</v>
      </c>
      <c r="I30">
        <f t="shared" si="5"/>
        <v>24499.999999999996</v>
      </c>
      <c r="J30">
        <f t="shared" si="5"/>
        <v>24499.999999999996</v>
      </c>
      <c r="K30">
        <f t="shared" si="5"/>
        <v>24499.999999999996</v>
      </c>
      <c r="L30">
        <f t="shared" si="5"/>
        <v>24499.999999999996</v>
      </c>
      <c r="M30">
        <f t="shared" si="5"/>
        <v>24499.999999999996</v>
      </c>
      <c r="N30">
        <f t="shared" si="5"/>
        <v>24499.999999999996</v>
      </c>
      <c r="O30">
        <f>D14-SUM(E30:N30)</f>
        <v>0</v>
      </c>
    </row>
    <row r="31" spans="1:24" x14ac:dyDescent="0.3">
      <c r="A31" t="s">
        <v>732</v>
      </c>
      <c r="E31">
        <f>$D$14-E30</f>
        <v>220499.99999999997</v>
      </c>
      <c r="F31">
        <f>E31-F30</f>
        <v>195999.99999999997</v>
      </c>
      <c r="G31">
        <f t="shared" ref="G31:N31" si="6">F31-G30</f>
        <v>171499.99999999997</v>
      </c>
      <c r="H31">
        <f t="shared" si="6"/>
        <v>146999.99999999997</v>
      </c>
      <c r="I31">
        <f t="shared" si="6"/>
        <v>122499.99999999997</v>
      </c>
      <c r="J31">
        <f t="shared" si="6"/>
        <v>97999.999999999971</v>
      </c>
      <c r="K31">
        <f t="shared" si="6"/>
        <v>73499.999999999971</v>
      </c>
      <c r="L31">
        <f t="shared" si="6"/>
        <v>48999.999999999971</v>
      </c>
      <c r="M31">
        <f t="shared" si="6"/>
        <v>24499.999999999975</v>
      </c>
      <c r="N31">
        <f t="shared" si="6"/>
        <v>0</v>
      </c>
      <c r="O31">
        <v>0</v>
      </c>
    </row>
    <row r="32" spans="1:24" x14ac:dyDescent="0.3">
      <c r="A32" t="s">
        <v>733</v>
      </c>
      <c r="E32">
        <f>E31*$D$15</f>
        <v>11025</v>
      </c>
      <c r="F32">
        <f t="shared" ref="F32:N32" si="7">F31*$D$15</f>
        <v>9799.9999999999982</v>
      </c>
      <c r="G32">
        <f t="shared" si="7"/>
        <v>8574.9999999999982</v>
      </c>
      <c r="H32">
        <f t="shared" si="7"/>
        <v>7349.9999999999991</v>
      </c>
      <c r="I32">
        <f t="shared" si="7"/>
        <v>6124.9999999999991</v>
      </c>
      <c r="J32">
        <f t="shared" si="7"/>
        <v>4899.9999999999991</v>
      </c>
      <c r="K32">
        <f t="shared" si="7"/>
        <v>3674.9999999999986</v>
      </c>
      <c r="L32">
        <f t="shared" si="7"/>
        <v>2449.9999999999986</v>
      </c>
      <c r="M32">
        <f t="shared" si="7"/>
        <v>1224.9999999999989</v>
      </c>
      <c r="N32">
        <f t="shared" si="7"/>
        <v>0</v>
      </c>
      <c r="O32">
        <v>0</v>
      </c>
    </row>
    <row r="33" spans="1:23" x14ac:dyDescent="0.3">
      <c r="A33" t="s">
        <v>734</v>
      </c>
      <c r="E33" s="13">
        <f>E28+E29+E32</f>
        <v>148543.63627906976</v>
      </c>
      <c r="F33" s="13">
        <f t="shared" ref="F33:U33" si="8">F28+F29+F32</f>
        <v>151189.14502325578</v>
      </c>
      <c r="G33" s="13">
        <f t="shared" si="8"/>
        <v>153069.58519860462</v>
      </c>
      <c r="H33" s="13">
        <f t="shared" si="8"/>
        <v>155121.31727658369</v>
      </c>
      <c r="I33" s="13">
        <f t="shared" si="8"/>
        <v>157359.38166573245</v>
      </c>
      <c r="J33" s="13">
        <f t="shared" si="8"/>
        <v>159800.29148371841</v>
      </c>
      <c r="K33" s="13">
        <f t="shared" si="8"/>
        <v>162462.17935827418</v>
      </c>
      <c r="L33" s="13">
        <f t="shared" si="8"/>
        <v>165364.9589011783</v>
      </c>
      <c r="M33" s="13">
        <f t="shared" si="8"/>
        <v>168530.50232247895</v>
      </c>
      <c r="N33" s="13">
        <f t="shared" si="8"/>
        <v>171982.83579887741</v>
      </c>
      <c r="O33" s="13">
        <f t="shared" si="8"/>
        <v>176973.35437157803</v>
      </c>
      <c r="P33" s="13">
        <f>P28+P29+P32</f>
        <v>182306.05832644086</v>
      </c>
      <c r="Q33" s="13">
        <f t="shared" si="8"/>
        <v>188012.81320455554</v>
      </c>
      <c r="R33" s="13">
        <f t="shared" si="8"/>
        <v>194128.63580616377</v>
      </c>
      <c r="S33" s="13">
        <f t="shared" si="8"/>
        <v>200692.00878715009</v>
      </c>
      <c r="T33" s="13">
        <f t="shared" si="8"/>
        <v>207745.22670724065</v>
      </c>
      <c r="U33" s="13">
        <f t="shared" si="8"/>
        <v>215334.77667496083</v>
      </c>
      <c r="V33" s="13"/>
      <c r="W33" s="13"/>
    </row>
    <row r="34" spans="1:23" x14ac:dyDescent="0.3">
      <c r="A34" t="s">
        <v>736</v>
      </c>
      <c r="E34" s="14">
        <f>E33/$D$7</f>
        <v>55.016161584840653</v>
      </c>
      <c r="F34" s="14">
        <f t="shared" ref="F34:U34" si="9">F33/$D$7</f>
        <v>55.995979638242886</v>
      </c>
      <c r="G34" s="14">
        <f t="shared" si="9"/>
        <v>56.692438962446154</v>
      </c>
      <c r="H34" s="14">
        <f t="shared" si="9"/>
        <v>57.452339732068033</v>
      </c>
      <c r="I34" s="14">
        <f t="shared" si="9"/>
        <v>58.281252468789795</v>
      </c>
      <c r="J34" s="14">
        <f t="shared" si="9"/>
        <v>59.185293142117928</v>
      </c>
      <c r="K34" s="14">
        <f t="shared" si="9"/>
        <v>60.171177540101546</v>
      </c>
      <c r="L34" s="14">
        <f t="shared" si="9"/>
        <v>61.246281074510478</v>
      </c>
      <c r="M34" s="14">
        <f t="shared" si="9"/>
        <v>62.418704563881093</v>
      </c>
      <c r="N34" s="14">
        <f t="shared" si="9"/>
        <v>63.697346592176821</v>
      </c>
      <c r="O34" s="14">
        <f t="shared" si="9"/>
        <v>65.545686804288152</v>
      </c>
      <c r="P34" s="14">
        <f t="shared" si="9"/>
        <v>67.52076234312625</v>
      </c>
      <c r="Q34" s="14">
        <f t="shared" si="9"/>
        <v>69.634375260946499</v>
      </c>
      <c r="R34" s="14">
        <f t="shared" si="9"/>
        <v>71.899494743023624</v>
      </c>
      <c r="S34" s="14">
        <f t="shared" si="9"/>
        <v>74.330373624870404</v>
      </c>
      <c r="T34" s="14">
        <f t="shared" si="9"/>
        <v>76.942676558237281</v>
      </c>
      <c r="U34" s="14">
        <f t="shared" si="9"/>
        <v>79.753620990726233</v>
      </c>
      <c r="V34" s="14"/>
    </row>
    <row r="35" spans="1:23" x14ac:dyDescent="0.3">
      <c r="A35" t="s">
        <v>740</v>
      </c>
      <c r="E35" s="13">
        <f>E41-E28</f>
        <v>15521.363720930225</v>
      </c>
      <c r="F35">
        <f t="shared" ref="F35:U35" si="10">F41-F28</f>
        <v>15039.354976744216</v>
      </c>
      <c r="G35">
        <f t="shared" si="10"/>
        <v>15407.127301395347</v>
      </c>
      <c r="H35">
        <f t="shared" si="10"/>
        <v>15690.438035916246</v>
      </c>
      <c r="I35">
        <f t="shared" si="10"/>
        <v>15876.41752957998</v>
      </c>
      <c r="J35">
        <f t="shared" si="10"/>
        <v>15950.777691476833</v>
      </c>
      <c r="K35">
        <f t="shared" si="10"/>
        <v>15897.666546300898</v>
      </c>
      <c r="L35">
        <f t="shared" si="10"/>
        <v>15699.508151011163</v>
      </c>
      <c r="M35">
        <f t="shared" si="10"/>
        <v>15336.826406015229</v>
      </c>
      <c r="N35">
        <f t="shared" si="10"/>
        <v>14788.05114782913</v>
      </c>
      <c r="O35">
        <f t="shared" si="10"/>
        <v>14029.30474879613</v>
      </c>
      <c r="P35">
        <f t="shared" si="10"/>
        <v>13034.167271942628</v>
      </c>
      <c r="Q35">
        <f t="shared" si="10"/>
        <v>11773.418033787544</v>
      </c>
      <c r="R35">
        <f t="shared" si="10"/>
        <v>10214.751213137875</v>
      </c>
      <c r="S35">
        <f t="shared" si="10"/>
        <v>8322.4629076340643</v>
      </c>
      <c r="T35">
        <f t="shared" si="10"/>
        <v>6057.1067799130979</v>
      </c>
      <c r="U35">
        <f t="shared" si="10"/>
        <v>3375.1151493717625</v>
      </c>
    </row>
    <row r="36" spans="1:23" x14ac:dyDescent="0.3">
      <c r="A36" t="s">
        <v>741</v>
      </c>
      <c r="E36" s="13">
        <f>E41-E33</f>
        <v>-13003.63627906976</v>
      </c>
      <c r="F36">
        <f t="shared" ref="F36:U36" si="11">F41-F33</f>
        <v>-12260.645023255784</v>
      </c>
      <c r="G36">
        <f t="shared" si="11"/>
        <v>-10667.872698604653</v>
      </c>
      <c r="H36">
        <f t="shared" si="11"/>
        <v>-9159.561964083754</v>
      </c>
      <c r="I36">
        <f t="shared" si="11"/>
        <v>-7748.5824704200204</v>
      </c>
      <c r="J36">
        <f t="shared" si="11"/>
        <v>-6449.2223085231672</v>
      </c>
      <c r="K36">
        <f t="shared" si="11"/>
        <v>-5277.3334536991024</v>
      </c>
      <c r="L36">
        <f t="shared" si="11"/>
        <v>-4250.4918489888369</v>
      </c>
      <c r="M36">
        <f t="shared" si="11"/>
        <v>-3388.1735939847713</v>
      </c>
      <c r="N36">
        <f t="shared" si="11"/>
        <v>-2711.9488521708699</v>
      </c>
      <c r="O36">
        <f t="shared" si="11"/>
        <v>-3470.6952512038697</v>
      </c>
      <c r="P36">
        <f t="shared" si="11"/>
        <v>-4465.8327280573722</v>
      </c>
      <c r="Q36">
        <f t="shared" si="11"/>
        <v>-5726.5819662124559</v>
      </c>
      <c r="R36">
        <f t="shared" si="11"/>
        <v>-7285.2487868621247</v>
      </c>
      <c r="S36">
        <f t="shared" si="11"/>
        <v>-9177.5370923659357</v>
      </c>
      <c r="T36">
        <f t="shared" si="11"/>
        <v>-11442.893220086902</v>
      </c>
      <c r="U36">
        <f t="shared" si="11"/>
        <v>-14124.884850628237</v>
      </c>
    </row>
    <row r="37" spans="1:23" x14ac:dyDescent="0.3">
      <c r="A37" t="s">
        <v>739</v>
      </c>
      <c r="E37" s="13">
        <f>D14-D11+E35+E29-E30+F14</f>
        <v>8521.3637209302251</v>
      </c>
      <c r="F37">
        <f>F35+F29-F30</f>
        <v>8039.35497674422</v>
      </c>
      <c r="G37">
        <f t="shared" ref="G37:U37" si="12">G35+G29-G30</f>
        <v>8407.1273013953505</v>
      </c>
      <c r="H37">
        <f t="shared" si="12"/>
        <v>8690.4380359162496</v>
      </c>
      <c r="I37">
        <f t="shared" si="12"/>
        <v>8876.4175295799832</v>
      </c>
      <c r="J37">
        <f t="shared" si="12"/>
        <v>8950.7776914768365</v>
      </c>
      <c r="K37">
        <f t="shared" si="12"/>
        <v>8897.6665463009012</v>
      </c>
      <c r="L37">
        <f t="shared" si="12"/>
        <v>8699.5081510111668</v>
      </c>
      <c r="M37">
        <f t="shared" si="12"/>
        <v>8336.8264060152324</v>
      </c>
      <c r="N37">
        <f t="shared" si="12"/>
        <v>7788.0511478291337</v>
      </c>
      <c r="O37">
        <f t="shared" si="12"/>
        <v>31529.30474879613</v>
      </c>
      <c r="P37">
        <f t="shared" si="12"/>
        <v>30534.167271942628</v>
      </c>
      <c r="Q37">
        <f t="shared" si="12"/>
        <v>29273.418033787544</v>
      </c>
      <c r="R37">
        <f t="shared" si="12"/>
        <v>27714.751213137875</v>
      </c>
      <c r="S37">
        <f t="shared" si="12"/>
        <v>25822.462907634064</v>
      </c>
      <c r="T37">
        <f t="shared" si="12"/>
        <v>23557.106779913098</v>
      </c>
      <c r="U37">
        <f t="shared" si="12"/>
        <v>20875.115149371763</v>
      </c>
    </row>
    <row r="38" spans="1:23" ht="15" thickBot="1" x14ac:dyDescent="0.35">
      <c r="A38" t="s">
        <v>742</v>
      </c>
      <c r="E38" s="13">
        <f>D38+E37</f>
        <v>8521.3637209302251</v>
      </c>
      <c r="F38">
        <f t="shared" ref="F38:U38" si="13">E38+F37</f>
        <v>16560.718697674445</v>
      </c>
      <c r="G38">
        <f t="shared" si="13"/>
        <v>24967.845999069796</v>
      </c>
      <c r="H38">
        <f t="shared" si="13"/>
        <v>33658.284034986049</v>
      </c>
      <c r="I38">
        <f t="shared" si="13"/>
        <v>42534.701564566029</v>
      </c>
      <c r="J38">
        <f t="shared" si="13"/>
        <v>51485.479256042861</v>
      </c>
      <c r="K38">
        <f t="shared" si="13"/>
        <v>60383.145802343759</v>
      </c>
      <c r="L38">
        <f t="shared" si="13"/>
        <v>69082.653953354922</v>
      </c>
      <c r="M38">
        <f t="shared" si="13"/>
        <v>77419.480359370151</v>
      </c>
      <c r="N38">
        <f t="shared" si="13"/>
        <v>85207.531507199281</v>
      </c>
      <c r="O38">
        <f t="shared" si="13"/>
        <v>116736.83625599541</v>
      </c>
      <c r="P38">
        <f t="shared" si="13"/>
        <v>147271.00352793804</v>
      </c>
      <c r="Q38">
        <f t="shared" si="13"/>
        <v>176544.42156172558</v>
      </c>
      <c r="R38">
        <f t="shared" si="13"/>
        <v>204259.17277486346</v>
      </c>
      <c r="S38">
        <f t="shared" si="13"/>
        <v>230081.63568249752</v>
      </c>
      <c r="T38">
        <f t="shared" si="13"/>
        <v>253638.74246241062</v>
      </c>
      <c r="U38">
        <f t="shared" si="13"/>
        <v>274513.85761178238</v>
      </c>
    </row>
    <row r="39" spans="1:23" ht="15" thickBot="1" x14ac:dyDescent="0.35">
      <c r="A39" t="s">
        <v>743</v>
      </c>
      <c r="B39" s="30">
        <f>NPV(E39,E37:V37)-F14</f>
        <v>228.24864482058911</v>
      </c>
      <c r="E39" s="95">
        <v>9.9000000000000005E-2</v>
      </c>
    </row>
    <row r="40" spans="1:23" x14ac:dyDescent="0.3">
      <c r="A40" t="s">
        <v>735</v>
      </c>
      <c r="D40">
        <v>0</v>
      </c>
      <c r="E40">
        <f>D12+D13</f>
        <v>350000</v>
      </c>
      <c r="F40">
        <f>E40-$D$12*$J$16-$J$17*$D$13</f>
        <v>332500</v>
      </c>
      <c r="G40">
        <f t="shared" ref="G40:U40" si="14">F40-$D$12*$J$16-$J$17*$D$13</f>
        <v>315000</v>
      </c>
      <c r="H40">
        <f t="shared" si="14"/>
        <v>297500</v>
      </c>
      <c r="I40">
        <f t="shared" si="14"/>
        <v>280000</v>
      </c>
      <c r="J40">
        <f t="shared" si="14"/>
        <v>262500</v>
      </c>
      <c r="K40">
        <f t="shared" si="14"/>
        <v>245000</v>
      </c>
      <c r="L40">
        <f t="shared" si="14"/>
        <v>227500</v>
      </c>
      <c r="M40">
        <f t="shared" si="14"/>
        <v>210000</v>
      </c>
      <c r="N40">
        <f t="shared" si="14"/>
        <v>192500</v>
      </c>
      <c r="O40">
        <f t="shared" si="14"/>
        <v>175000</v>
      </c>
      <c r="P40">
        <f t="shared" si="14"/>
        <v>157500</v>
      </c>
      <c r="Q40">
        <f t="shared" si="14"/>
        <v>140000</v>
      </c>
      <c r="R40">
        <f t="shared" si="14"/>
        <v>122500</v>
      </c>
      <c r="S40">
        <f t="shared" si="14"/>
        <v>105000</v>
      </c>
      <c r="T40">
        <f t="shared" si="14"/>
        <v>87500</v>
      </c>
      <c r="U40">
        <f t="shared" si="14"/>
        <v>70000</v>
      </c>
    </row>
    <row r="41" spans="1:23" s="13" customFormat="1" x14ac:dyDescent="0.3">
      <c r="A41" s="13" t="s">
        <v>549</v>
      </c>
      <c r="E41" s="13">
        <f>E45*$D$7</f>
        <v>135540</v>
      </c>
      <c r="F41" s="13">
        <f t="shared" ref="F41:U41" si="15">F45*$D$7</f>
        <v>138928.5</v>
      </c>
      <c r="G41" s="13">
        <f t="shared" si="15"/>
        <v>142401.71249999997</v>
      </c>
      <c r="H41" s="13">
        <f t="shared" si="15"/>
        <v>145961.75531249994</v>
      </c>
      <c r="I41" s="13">
        <f t="shared" si="15"/>
        <v>149610.79919531243</v>
      </c>
      <c r="J41" s="13">
        <f t="shared" si="15"/>
        <v>153351.06917519524</v>
      </c>
      <c r="K41" s="13">
        <f t="shared" si="15"/>
        <v>157184.84590457508</v>
      </c>
      <c r="L41" s="13">
        <f t="shared" si="15"/>
        <v>161114.46705218946</v>
      </c>
      <c r="M41" s="13">
        <f t="shared" si="15"/>
        <v>165142.32872849418</v>
      </c>
      <c r="N41" s="13">
        <f t="shared" si="15"/>
        <v>169270.88694670654</v>
      </c>
      <c r="O41" s="13">
        <f t="shared" si="15"/>
        <v>173502.65912037416</v>
      </c>
      <c r="P41" s="13">
        <f t="shared" si="15"/>
        <v>177840.22559838349</v>
      </c>
      <c r="Q41" s="13">
        <f t="shared" si="15"/>
        <v>182286.23123834308</v>
      </c>
      <c r="R41" s="13">
        <f t="shared" si="15"/>
        <v>186843.38701930165</v>
      </c>
      <c r="S41" s="13">
        <f t="shared" si="15"/>
        <v>191514.47169478415</v>
      </c>
      <c r="T41" s="13">
        <f t="shared" si="15"/>
        <v>196302.33348715375</v>
      </c>
      <c r="U41" s="13">
        <f t="shared" si="15"/>
        <v>201209.89182433259</v>
      </c>
    </row>
    <row r="42" spans="1:23" s="13" customFormat="1" x14ac:dyDescent="0.3">
      <c r="A42" s="13" t="s">
        <v>729</v>
      </c>
      <c r="E42" s="13">
        <f>(E40+D40)/2+E33*0.05</f>
        <v>182427.1818139535</v>
      </c>
      <c r="F42" s="13">
        <f t="shared" ref="F42:U42" si="16">(F40+E40)/2+F33*0.05</f>
        <v>348809.45725116279</v>
      </c>
      <c r="G42" s="13">
        <f t="shared" si="16"/>
        <v>331403.4792599302</v>
      </c>
      <c r="H42" s="13">
        <f t="shared" si="16"/>
        <v>314006.06586382916</v>
      </c>
      <c r="I42" s="13">
        <f t="shared" si="16"/>
        <v>296617.96908328665</v>
      </c>
      <c r="J42" s="13">
        <f t="shared" si="16"/>
        <v>279240.01457418595</v>
      </c>
      <c r="K42" s="13">
        <f t="shared" si="16"/>
        <v>261873.10896791372</v>
      </c>
      <c r="L42" s="13">
        <f t="shared" si="16"/>
        <v>244518.24794505892</v>
      </c>
      <c r="M42" s="13">
        <f t="shared" si="16"/>
        <v>227176.52511612396</v>
      </c>
      <c r="N42" s="13">
        <f t="shared" si="16"/>
        <v>209849.14178994388</v>
      </c>
      <c r="O42" s="13">
        <f t="shared" si="16"/>
        <v>192598.66771857889</v>
      </c>
      <c r="P42" s="13">
        <f t="shared" si="16"/>
        <v>175365.30291632205</v>
      </c>
      <c r="Q42" s="13">
        <f t="shared" si="16"/>
        <v>158150.64066022777</v>
      </c>
      <c r="R42" s="13">
        <f t="shared" si="16"/>
        <v>140956.43179030818</v>
      </c>
      <c r="S42" s="13">
        <f t="shared" si="16"/>
        <v>123784.60043935751</v>
      </c>
      <c r="T42" s="13">
        <f t="shared" si="16"/>
        <v>106637.26133536204</v>
      </c>
      <c r="U42" s="13">
        <f t="shared" si="16"/>
        <v>89516.738833748037</v>
      </c>
    </row>
    <row r="43" spans="1:23" s="13" customFormat="1" x14ac:dyDescent="0.3">
      <c r="A43" s="13" t="s">
        <v>550</v>
      </c>
      <c r="E43" s="13">
        <f>E42*$D$21</f>
        <v>0</v>
      </c>
      <c r="F43" s="13">
        <f t="shared" ref="F43:U43" si="17">F42*$D$21</f>
        <v>0</v>
      </c>
      <c r="G43" s="13">
        <f t="shared" si="17"/>
        <v>0</v>
      </c>
      <c r="H43" s="13">
        <f t="shared" si="17"/>
        <v>0</v>
      </c>
      <c r="I43" s="13">
        <f t="shared" si="17"/>
        <v>0</v>
      </c>
      <c r="J43" s="13">
        <f t="shared" si="17"/>
        <v>0</v>
      </c>
      <c r="K43" s="13">
        <f t="shared" si="17"/>
        <v>0</v>
      </c>
      <c r="L43" s="13">
        <f t="shared" si="17"/>
        <v>0</v>
      </c>
      <c r="M43" s="13">
        <f t="shared" si="17"/>
        <v>0</v>
      </c>
      <c r="N43" s="13">
        <f t="shared" si="17"/>
        <v>0</v>
      </c>
      <c r="O43" s="13">
        <f t="shared" si="17"/>
        <v>0</v>
      </c>
      <c r="P43" s="13">
        <f t="shared" si="17"/>
        <v>0</v>
      </c>
      <c r="Q43" s="13">
        <f t="shared" si="17"/>
        <v>0</v>
      </c>
      <c r="R43" s="13">
        <f t="shared" si="17"/>
        <v>0</v>
      </c>
      <c r="S43" s="13">
        <f t="shared" si="17"/>
        <v>0</v>
      </c>
      <c r="T43" s="13">
        <f t="shared" si="17"/>
        <v>0</v>
      </c>
      <c r="U43" s="13">
        <f t="shared" si="17"/>
        <v>0</v>
      </c>
    </row>
    <row r="44" spans="1:23" s="13" customFormat="1" x14ac:dyDescent="0.3">
      <c r="A44" s="13" t="s">
        <v>737</v>
      </c>
      <c r="E44" s="13">
        <f t="shared" ref="E44:U44" si="18">E43+E33-E32</f>
        <v>137518.63627906976</v>
      </c>
      <c r="F44" s="13">
        <f t="shared" si="18"/>
        <v>141389.14502325578</v>
      </c>
      <c r="G44" s="13">
        <f t="shared" si="18"/>
        <v>144494.58519860462</v>
      </c>
      <c r="H44" s="13">
        <f t="shared" si="18"/>
        <v>147771.31727658369</v>
      </c>
      <c r="I44" s="13">
        <f t="shared" si="18"/>
        <v>151234.38166573245</v>
      </c>
      <c r="J44" s="13">
        <f t="shared" si="18"/>
        <v>154900.29148371841</v>
      </c>
      <c r="K44" s="13">
        <f t="shared" si="18"/>
        <v>158787.17935827418</v>
      </c>
      <c r="L44" s="13">
        <f t="shared" si="18"/>
        <v>162914.9589011783</v>
      </c>
      <c r="M44" s="13">
        <f t="shared" si="18"/>
        <v>167305.50232247895</v>
      </c>
      <c r="N44" s="13">
        <f t="shared" si="18"/>
        <v>171982.83579887741</v>
      </c>
      <c r="O44" s="13">
        <f t="shared" si="18"/>
        <v>176973.35437157803</v>
      </c>
      <c r="P44" s="13">
        <f t="shared" si="18"/>
        <v>182306.05832644086</v>
      </c>
      <c r="Q44" s="13">
        <f t="shared" si="18"/>
        <v>188012.81320455554</v>
      </c>
      <c r="R44" s="13">
        <f t="shared" si="18"/>
        <v>194128.63580616377</v>
      </c>
      <c r="S44" s="13">
        <f t="shared" si="18"/>
        <v>200692.00878715009</v>
      </c>
      <c r="T44" s="13">
        <f t="shared" si="18"/>
        <v>207745.22670724065</v>
      </c>
      <c r="U44" s="13">
        <f t="shared" si="18"/>
        <v>215334.77667496083</v>
      </c>
    </row>
    <row r="45" spans="1:23" s="14" customFormat="1" ht="15" thickBot="1" x14ac:dyDescent="0.35">
      <c r="A45" s="14" t="s">
        <v>738</v>
      </c>
      <c r="E45" s="14">
        <v>50.2</v>
      </c>
      <c r="F45" s="14">
        <f>(1+$J$8)*E45</f>
        <v>51.454999999999998</v>
      </c>
      <c r="G45" s="14">
        <f t="shared" ref="G45:U45" si="19">(1+$J$8)*F45</f>
        <v>52.741374999999991</v>
      </c>
      <c r="H45" s="14">
        <f t="shared" si="19"/>
        <v>54.059909374999982</v>
      </c>
      <c r="I45" s="14">
        <f t="shared" si="19"/>
        <v>55.411407109374977</v>
      </c>
      <c r="J45" s="14">
        <f t="shared" si="19"/>
        <v>56.796692287109344</v>
      </c>
      <c r="K45" s="14">
        <f t="shared" si="19"/>
        <v>58.216609594287071</v>
      </c>
      <c r="L45" s="14">
        <f t="shared" si="19"/>
        <v>59.672024834144246</v>
      </c>
      <c r="M45" s="14">
        <f t="shared" si="19"/>
        <v>61.163825454997848</v>
      </c>
      <c r="N45" s="14">
        <f t="shared" si="19"/>
        <v>62.692921091372789</v>
      </c>
      <c r="O45" s="14">
        <f t="shared" si="19"/>
        <v>64.260244118657099</v>
      </c>
      <c r="P45" s="14">
        <f t="shared" si="19"/>
        <v>65.866750221623519</v>
      </c>
      <c r="Q45" s="14">
        <f t="shared" si="19"/>
        <v>67.513418977164108</v>
      </c>
      <c r="R45" s="14">
        <f t="shared" si="19"/>
        <v>69.201254451593201</v>
      </c>
      <c r="S45" s="14">
        <f t="shared" si="19"/>
        <v>70.931285812883019</v>
      </c>
      <c r="T45" s="14">
        <f t="shared" si="19"/>
        <v>72.704567958205089</v>
      </c>
      <c r="U45" s="14">
        <f t="shared" si="19"/>
        <v>74.522182157160216</v>
      </c>
      <c r="W45" s="14">
        <f>W23+V24+V25+V26+V27+V29+V32+V43</f>
        <v>25.116279069767447</v>
      </c>
    </row>
    <row r="46" spans="1:23" ht="15" thickBot="1" x14ac:dyDescent="0.35">
      <c r="A46" t="s">
        <v>548</v>
      </c>
      <c r="I46" s="94">
        <f>U45</f>
        <v>74.522182157160216</v>
      </c>
      <c r="J46" t="s">
        <v>466</v>
      </c>
    </row>
    <row r="47" spans="1:23" x14ac:dyDescent="0.3">
      <c r="A47">
        <v>60</v>
      </c>
      <c r="B47" t="s">
        <v>779</v>
      </c>
      <c r="C47">
        <v>100</v>
      </c>
      <c r="D47" t="s">
        <v>780</v>
      </c>
      <c r="E47" s="13">
        <f>$A$47*$C$47*E45/1000</f>
        <v>301.2</v>
      </c>
      <c r="F47" s="13">
        <f t="shared" ref="F47:O47" si="20">$A$47*$C$47*F45/1000</f>
        <v>308.73</v>
      </c>
      <c r="G47" s="13">
        <f t="shared" si="20"/>
        <v>316.44824999999992</v>
      </c>
      <c r="H47" s="13">
        <f t="shared" si="20"/>
        <v>324.35945624999988</v>
      </c>
      <c r="I47" s="13">
        <f t="shared" si="20"/>
        <v>332.46844265624986</v>
      </c>
      <c r="J47" s="13">
        <f t="shared" si="20"/>
        <v>340.78015372265605</v>
      </c>
      <c r="K47" s="13">
        <f t="shared" si="20"/>
        <v>349.29965756572244</v>
      </c>
      <c r="L47" s="13">
        <f t="shared" si="20"/>
        <v>358.03214900486552</v>
      </c>
      <c r="M47" s="13">
        <f t="shared" si="20"/>
        <v>366.98295272998712</v>
      </c>
      <c r="N47" s="13">
        <f t="shared" si="20"/>
        <v>376.15752654823672</v>
      </c>
      <c r="O47" s="13">
        <f t="shared" si="20"/>
        <v>385.56146471194262</v>
      </c>
    </row>
    <row r="48" spans="1:23" x14ac:dyDescent="0.3">
      <c r="A48" t="s">
        <v>551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>SUM(E47:O47)</f>
        <v>3760.0200531896603</v>
      </c>
    </row>
    <row r="50" spans="5:24" x14ac:dyDescent="0.3">
      <c r="E50">
        <v>2031</v>
      </c>
      <c r="F50">
        <v>2032</v>
      </c>
      <c r="G50">
        <v>2033</v>
      </c>
      <c r="H50">
        <v>2034</v>
      </c>
      <c r="I50">
        <v>2035</v>
      </c>
      <c r="J50">
        <v>2036</v>
      </c>
      <c r="K50">
        <v>2037</v>
      </c>
      <c r="L50">
        <v>2038</v>
      </c>
      <c r="M50">
        <v>2039</v>
      </c>
      <c r="N50">
        <v>2040</v>
      </c>
      <c r="O50">
        <v>2041</v>
      </c>
      <c r="P50">
        <v>2042</v>
      </c>
      <c r="Q50">
        <v>2043</v>
      </c>
      <c r="R50">
        <v>2044</v>
      </c>
      <c r="S50">
        <v>2045</v>
      </c>
      <c r="T50">
        <v>2046</v>
      </c>
      <c r="U50">
        <v>2047</v>
      </c>
      <c r="V50">
        <v>2048</v>
      </c>
      <c r="W50">
        <v>2049</v>
      </c>
      <c r="X50">
        <v>2050</v>
      </c>
    </row>
    <row r="51" spans="5:24" x14ac:dyDescent="0.3">
      <c r="E51" s="14">
        <f>I46*1.02</f>
        <v>76.012625800303425</v>
      </c>
      <c r="F51" s="14">
        <f t="shared" ref="F51:X51" si="21">E51*1.02</f>
        <v>77.532878316309493</v>
      </c>
      <c r="G51" s="14">
        <f t="shared" si="21"/>
        <v>79.083535882635687</v>
      </c>
      <c r="H51" s="14">
        <f t="shared" si="21"/>
        <v>80.6652066002884</v>
      </c>
      <c r="I51" s="14">
        <f t="shared" si="21"/>
        <v>82.278510732294166</v>
      </c>
      <c r="J51" s="14">
        <f t="shared" si="21"/>
        <v>83.924080946940052</v>
      </c>
      <c r="K51" s="14">
        <f t="shared" si="21"/>
        <v>85.602562565878856</v>
      </c>
      <c r="L51" s="14">
        <f t="shared" si="21"/>
        <v>87.314613817196431</v>
      </c>
      <c r="M51" s="14">
        <f t="shared" si="21"/>
        <v>89.060906093540368</v>
      </c>
      <c r="N51" s="14">
        <f t="shared" si="21"/>
        <v>90.842124215411175</v>
      </c>
      <c r="O51" s="14">
        <f t="shared" si="21"/>
        <v>92.6589666997194</v>
      </c>
      <c r="P51" s="14">
        <f t="shared" si="21"/>
        <v>94.51214603371379</v>
      </c>
      <c r="Q51" s="14">
        <f t="shared" si="21"/>
        <v>96.402388954388073</v>
      </c>
      <c r="R51" s="14">
        <f t="shared" si="21"/>
        <v>98.330436733475835</v>
      </c>
      <c r="S51" s="14">
        <f t="shared" si="21"/>
        <v>100.29704546814536</v>
      </c>
      <c r="T51" s="14">
        <f t="shared" si="21"/>
        <v>102.30298637750826</v>
      </c>
      <c r="U51" s="14">
        <f t="shared" si="21"/>
        <v>104.34904610505843</v>
      </c>
      <c r="V51" s="14">
        <f t="shared" si="21"/>
        <v>106.43602702715961</v>
      </c>
      <c r="W51" s="14">
        <f t="shared" si="21"/>
        <v>108.56474756770281</v>
      </c>
      <c r="X51" s="14">
        <f t="shared" si="21"/>
        <v>110.73604251905687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19</vt:i4>
      </vt:variant>
    </vt:vector>
  </HeadingPairs>
  <TitlesOfParts>
    <vt:vector size="19" baseType="lpstr">
      <vt:lpstr>Eeldused</vt:lpstr>
      <vt:lpstr>Kokkuvõte</vt:lpstr>
      <vt:lpstr>Võrgud maakonniti</vt:lpstr>
      <vt:lpstr>Lokaalkütte omahinnad, 137</vt:lpstr>
      <vt:lpstr>Lokaalküte, tänane</vt:lpstr>
      <vt:lpstr>Trass+katel, reg</vt:lpstr>
      <vt:lpstr>Katel reg</vt:lpstr>
      <vt:lpstr>trass+katel, market</vt:lpstr>
      <vt:lpstr>Katel, market</vt:lpstr>
      <vt:lpstr>Gaasikatel+trass reg.</vt:lpstr>
      <vt:lpstr>Gaasikatel+trass market</vt:lpstr>
      <vt:lpstr>CHP-ORC reg.</vt:lpstr>
      <vt:lpstr>Modelleeritud tarbimisgraafik</vt:lpstr>
      <vt:lpstr>Katel+trass+soe vesi market</vt:lpstr>
      <vt:lpstr>Gaas+soe vesi market</vt:lpstr>
      <vt:lpstr>Turvas reg.</vt:lpstr>
      <vt:lpstr>Katel+trass+soe vesi reg.</vt:lpstr>
      <vt:lpstr>Turvas market</vt:lpstr>
      <vt:lpstr>ORC market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 Vali</dc:creator>
  <cp:lastModifiedBy>Jaanus</cp:lastModifiedBy>
  <cp:lastPrinted>2013-08-14T07:34:24Z</cp:lastPrinted>
  <dcterms:created xsi:type="dcterms:W3CDTF">2013-06-17T08:35:53Z</dcterms:created>
  <dcterms:modified xsi:type="dcterms:W3CDTF">2014-04-03T13:17:02Z</dcterms:modified>
</cp:coreProperties>
</file>