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hidePivotFieldList="1"/>
  <mc:AlternateContent xmlns:mc="http://schemas.openxmlformats.org/markup-compatibility/2006">
    <mc:Choice Requires="x15">
      <x15ac:absPath xmlns:x15ac="http://schemas.microsoft.com/office/spreadsheetml/2010/11/ac" url="V:\Energeetikaosakond\Oma\Tauno\Uuringud\Finantsmeetmete uuring\200821_Lõpparuanne\"/>
    </mc:Choice>
  </mc:AlternateContent>
  <xr:revisionPtr revIDLastSave="0" documentId="13_ncr:1_{998D73E4-EF95-4FCE-8A3B-6803C921225E}" xr6:coauthVersionLast="47" xr6:coauthVersionMax="47" xr10:uidLastSave="{00000000-0000-0000-0000-000000000000}"/>
  <bookViews>
    <workbookView xWindow="-120" yWindow="-120" windowWidth="29040" windowHeight="15840" activeTab="5" xr2:uid="{00000000-000D-0000-FFFF-FFFF00000000}"/>
  </bookViews>
  <sheets>
    <sheet name="Sissejuhatus" sheetId="14" r:id="rId1"/>
    <sheet name="Kokkuvõte" sheetId="12" r:id="rId2"/>
    <sheet name="Teekasutus (aja)" sheetId="15" r:id="rId3"/>
    <sheet name="Aastamaks" sheetId="7" r:id="rId4"/>
    <sheet name="Registreerimismaks (1)" sheetId="8" r:id="rId5"/>
    <sheet name="Registreerimismaks (2)" sheetId="10" r:id="rId6"/>
    <sheet name="Registreerimismaksu määr" sheetId="13"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51" i="10" l="1"/>
  <c r="H17" i="12"/>
  <c r="E131" i="10" l="1"/>
  <c r="B58" i="8"/>
  <c r="E41" i="10" s="1"/>
  <c r="B55" i="7" l="1"/>
  <c r="B56" i="7"/>
  <c r="B53" i="7"/>
  <c r="T97" i="15" l="1"/>
  <c r="T89" i="15"/>
  <c r="R97" i="15"/>
  <c r="R89" i="15"/>
  <c r="P97" i="15"/>
  <c r="P89" i="15"/>
  <c r="N97" i="15"/>
  <c r="N89" i="15"/>
  <c r="L97" i="15"/>
  <c r="L89" i="15"/>
  <c r="J97" i="15"/>
  <c r="J89" i="15"/>
  <c r="H97" i="15"/>
  <c r="H89" i="15"/>
  <c r="F97" i="15"/>
  <c r="F89" i="15"/>
  <c r="D97" i="15"/>
  <c r="D89" i="15"/>
  <c r="T85" i="15"/>
  <c r="T98" i="15" s="1"/>
  <c r="T112" i="15" s="1"/>
  <c r="R85" i="15"/>
  <c r="P85" i="15"/>
  <c r="P98" i="15" s="1"/>
  <c r="P112" i="15" s="1"/>
  <c r="N85" i="15"/>
  <c r="N98" i="15" s="1"/>
  <c r="N112" i="15" s="1"/>
  <c r="L85" i="15"/>
  <c r="L98" i="15" s="1"/>
  <c r="L112" i="15" s="1"/>
  <c r="J85" i="15"/>
  <c r="J98" i="15" s="1"/>
  <c r="J112" i="15" s="1"/>
  <c r="H85" i="15"/>
  <c r="H98" i="15" s="1"/>
  <c r="H112" i="15" s="1"/>
  <c r="F85" i="15"/>
  <c r="F98" i="15" s="1"/>
  <c r="F112" i="15" s="1"/>
  <c r="D85" i="15"/>
  <c r="D107" i="15" s="1"/>
  <c r="T56" i="15"/>
  <c r="R56" i="15"/>
  <c r="P56" i="15"/>
  <c r="N56" i="15"/>
  <c r="L56" i="15"/>
  <c r="J56" i="15"/>
  <c r="H56" i="15"/>
  <c r="F56" i="15"/>
  <c r="D56" i="15"/>
  <c r="D33" i="15"/>
  <c r="T7" i="15"/>
  <c r="T11" i="15"/>
  <c r="T12" i="15" s="1"/>
  <c r="T19" i="15"/>
  <c r="T55" i="15" s="1"/>
  <c r="T57" i="15" s="1"/>
  <c r="T29" i="15"/>
  <c r="U27" i="15" s="1"/>
  <c r="T33" i="15"/>
  <c r="R33" i="15"/>
  <c r="R29" i="15"/>
  <c r="S24" i="15" s="1"/>
  <c r="R19" i="15"/>
  <c r="R55" i="15" s="1"/>
  <c r="R11" i="15"/>
  <c r="R12" i="15" s="1"/>
  <c r="R7" i="15"/>
  <c r="P33" i="15"/>
  <c r="P29" i="15"/>
  <c r="Q25" i="15" s="1"/>
  <c r="P19" i="15"/>
  <c r="P55" i="15" s="1"/>
  <c r="P11" i="15"/>
  <c r="P12" i="15" s="1"/>
  <c r="P7" i="15"/>
  <c r="N33" i="15"/>
  <c r="N29" i="15"/>
  <c r="O25" i="15" s="1"/>
  <c r="N19" i="15"/>
  <c r="N55" i="15" s="1"/>
  <c r="N11" i="15"/>
  <c r="N12" i="15" s="1"/>
  <c r="N7" i="15"/>
  <c r="L33" i="15"/>
  <c r="L29" i="15"/>
  <c r="M24" i="15" s="1"/>
  <c r="L19" i="15"/>
  <c r="L55" i="15" s="1"/>
  <c r="L11" i="15"/>
  <c r="L12" i="15" s="1"/>
  <c r="L7" i="15"/>
  <c r="J33" i="15"/>
  <c r="J29" i="15"/>
  <c r="K27" i="15" s="1"/>
  <c r="J19" i="15"/>
  <c r="J55" i="15" s="1"/>
  <c r="J11" i="15"/>
  <c r="J12" i="15" s="1"/>
  <c r="J7" i="15"/>
  <c r="H33" i="15"/>
  <c r="H29" i="15"/>
  <c r="I25" i="15" s="1"/>
  <c r="H19" i="15"/>
  <c r="H55" i="15" s="1"/>
  <c r="H11" i="15"/>
  <c r="H12" i="15" s="1"/>
  <c r="H7" i="15"/>
  <c r="F33" i="15"/>
  <c r="F29" i="15"/>
  <c r="G26" i="15" s="1"/>
  <c r="F19" i="15"/>
  <c r="F55" i="15" s="1"/>
  <c r="F11" i="15"/>
  <c r="F12" i="15" s="1"/>
  <c r="F7" i="15"/>
  <c r="D29" i="15"/>
  <c r="E24" i="15" s="1"/>
  <c r="D19" i="15"/>
  <c r="D55" i="15" s="1"/>
  <c r="D11" i="15"/>
  <c r="D12" i="15" s="1"/>
  <c r="D7" i="15"/>
  <c r="B97" i="15"/>
  <c r="B111" i="15" s="1"/>
  <c r="B89" i="15"/>
  <c r="B85" i="15"/>
  <c r="B98" i="15" s="1"/>
  <c r="B112" i="15" s="1"/>
  <c r="B56" i="15"/>
  <c r="B33" i="15"/>
  <c r="B29" i="15"/>
  <c r="B19" i="15"/>
  <c r="B55" i="15" s="1"/>
  <c r="B11" i="15"/>
  <c r="B12" i="15" s="1"/>
  <c r="B7" i="15"/>
  <c r="R98" i="15" l="1"/>
  <c r="R112" i="15" s="1"/>
  <c r="R107" i="15"/>
  <c r="J107" i="15"/>
  <c r="D57" i="15"/>
  <c r="D92" i="15" s="1"/>
  <c r="L107" i="15"/>
  <c r="T107" i="15"/>
  <c r="F107" i="15"/>
  <c r="N107" i="15"/>
  <c r="H107" i="15"/>
  <c r="P107" i="15"/>
  <c r="F57" i="15"/>
  <c r="N57" i="15"/>
  <c r="N92" i="15" s="1"/>
  <c r="T13" i="15"/>
  <c r="S26" i="15"/>
  <c r="J57" i="15"/>
  <c r="R57" i="15"/>
  <c r="R92" i="15" s="1"/>
  <c r="H57" i="15"/>
  <c r="H92" i="15" s="1"/>
  <c r="P57" i="15"/>
  <c r="Q28" i="15"/>
  <c r="U25" i="15"/>
  <c r="L57" i="15"/>
  <c r="L92" i="15" s="1"/>
  <c r="I28" i="15"/>
  <c r="Q27" i="15"/>
  <c r="U24" i="15"/>
  <c r="D98" i="15"/>
  <c r="D112" i="15" s="1"/>
  <c r="F13" i="15"/>
  <c r="N13" i="15"/>
  <c r="I27" i="15"/>
  <c r="O24" i="15"/>
  <c r="Q26" i="15"/>
  <c r="U28" i="15"/>
  <c r="G24" i="15"/>
  <c r="E25" i="15"/>
  <c r="I26" i="15"/>
  <c r="O26" i="15"/>
  <c r="S27" i="15"/>
  <c r="U26" i="15"/>
  <c r="P92" i="15"/>
  <c r="J92" i="15"/>
  <c r="K25" i="15"/>
  <c r="K24" i="15"/>
  <c r="K26" i="15"/>
  <c r="F92" i="15"/>
  <c r="M26" i="15"/>
  <c r="M27" i="15"/>
  <c r="P13" i="15"/>
  <c r="M28" i="15"/>
  <c r="T58" i="15"/>
  <c r="T63" i="15" s="1"/>
  <c r="T70" i="15" s="1"/>
  <c r="U70" i="15" s="1"/>
  <c r="AC78" i="15" s="1"/>
  <c r="AD78" i="15" s="1"/>
  <c r="AE78" i="15" s="1"/>
  <c r="T92" i="15"/>
  <c r="E26" i="15"/>
  <c r="E27" i="15"/>
  <c r="G27" i="15"/>
  <c r="G28" i="15"/>
  <c r="O27" i="15"/>
  <c r="O28" i="15"/>
  <c r="E28" i="15"/>
  <c r="G25" i="15"/>
  <c r="K28" i="15"/>
  <c r="M25" i="15"/>
  <c r="I24" i="15"/>
  <c r="Q24" i="15"/>
  <c r="S25" i="15"/>
  <c r="S28" i="15"/>
  <c r="D13" i="15"/>
  <c r="D58" i="15" s="1"/>
  <c r="L13" i="15"/>
  <c r="J13" i="15"/>
  <c r="J58" i="15" s="1"/>
  <c r="J64" i="15" s="1"/>
  <c r="J71" i="15" s="1"/>
  <c r="K71" i="15" s="1"/>
  <c r="N79" i="15" s="1"/>
  <c r="O79" i="15" s="1"/>
  <c r="P79" i="15" s="1"/>
  <c r="R13" i="15"/>
  <c r="B57" i="15"/>
  <c r="B13" i="15"/>
  <c r="B107" i="15"/>
  <c r="H13" i="15"/>
  <c r="B92" i="15"/>
  <c r="C27" i="15"/>
  <c r="C26" i="15"/>
  <c r="C24" i="15"/>
  <c r="C25" i="15"/>
  <c r="C28" i="15"/>
  <c r="B52" i="8"/>
  <c r="B132" i="8" s="1"/>
  <c r="R58" i="15" l="1"/>
  <c r="B58" i="15"/>
  <c r="F94" i="15"/>
  <c r="F109" i="15"/>
  <c r="J94" i="15"/>
  <c r="J109" i="15"/>
  <c r="R94" i="15"/>
  <c r="R109" i="15"/>
  <c r="N94" i="15"/>
  <c r="N109" i="15"/>
  <c r="B62" i="15"/>
  <c r="B69" i="15" s="1"/>
  <c r="C69" i="15" s="1"/>
  <c r="B77" i="15" s="1"/>
  <c r="C77" i="15" s="1"/>
  <c r="D77" i="15" s="1"/>
  <c r="T94" i="15"/>
  <c r="T109" i="15"/>
  <c r="P94" i="15"/>
  <c r="P109" i="15"/>
  <c r="F58" i="15"/>
  <c r="F63" i="15" s="1"/>
  <c r="F70" i="15" s="1"/>
  <c r="G70" i="15" s="1"/>
  <c r="H78" i="15" s="1"/>
  <c r="I78" i="15" s="1"/>
  <c r="J78" i="15" s="1"/>
  <c r="L94" i="15"/>
  <c r="L109" i="15"/>
  <c r="H94" i="15"/>
  <c r="H109" i="15"/>
  <c r="L58" i="15"/>
  <c r="L61" i="15" s="1"/>
  <c r="L68" i="15" s="1"/>
  <c r="M68" i="15" s="1"/>
  <c r="H58" i="15"/>
  <c r="H64" i="15" s="1"/>
  <c r="H71" i="15" s="1"/>
  <c r="I71" i="15" s="1"/>
  <c r="K79" i="15" s="1"/>
  <c r="L79" i="15" s="1"/>
  <c r="M79" i="15" s="1"/>
  <c r="N58" i="15"/>
  <c r="N61" i="15" s="1"/>
  <c r="N68" i="15" s="1"/>
  <c r="O68" i="15" s="1"/>
  <c r="P58" i="15"/>
  <c r="P62" i="15" s="1"/>
  <c r="P69" i="15" s="1"/>
  <c r="Q69" i="15" s="1"/>
  <c r="W77" i="15" s="1"/>
  <c r="X77" i="15" s="1"/>
  <c r="Y77" i="15" s="1"/>
  <c r="B65" i="15"/>
  <c r="B72" i="15" s="1"/>
  <c r="C72" i="15" s="1"/>
  <c r="B80" i="15" s="1"/>
  <c r="C80" i="15" s="1"/>
  <c r="D80" i="15" s="1"/>
  <c r="B64" i="15"/>
  <c r="B71" i="15" s="1"/>
  <c r="C71" i="15" s="1"/>
  <c r="B79" i="15" s="1"/>
  <c r="C79" i="15" s="1"/>
  <c r="D79" i="15" s="1"/>
  <c r="R64" i="15"/>
  <c r="R71" i="15" s="1"/>
  <c r="S71" i="15" s="1"/>
  <c r="Z79" i="15" s="1"/>
  <c r="AA79" i="15" s="1"/>
  <c r="AB79" i="15" s="1"/>
  <c r="R63" i="15"/>
  <c r="R70" i="15" s="1"/>
  <c r="S70" i="15" s="1"/>
  <c r="Z78" i="15" s="1"/>
  <c r="AA78" i="15" s="1"/>
  <c r="AB78" i="15" s="1"/>
  <c r="R61" i="15"/>
  <c r="R68" i="15" s="1"/>
  <c r="S68" i="15" s="1"/>
  <c r="H61" i="15"/>
  <c r="H68" i="15" s="1"/>
  <c r="I68" i="15" s="1"/>
  <c r="F62" i="15"/>
  <c r="F69" i="15" s="1"/>
  <c r="G69" i="15" s="1"/>
  <c r="H77" i="15" s="1"/>
  <c r="I77" i="15" s="1"/>
  <c r="J77" i="15" s="1"/>
  <c r="R65" i="15"/>
  <c r="R72" i="15" s="1"/>
  <c r="S72" i="15" s="1"/>
  <c r="Z80" i="15" s="1"/>
  <c r="AA80" i="15" s="1"/>
  <c r="AB80" i="15" s="1"/>
  <c r="R62" i="15"/>
  <c r="R69" i="15" s="1"/>
  <c r="S69" i="15" s="1"/>
  <c r="Z77" i="15" s="1"/>
  <c r="AA77" i="15" s="1"/>
  <c r="AB77" i="15" s="1"/>
  <c r="D61" i="15"/>
  <c r="D68" i="15" s="1"/>
  <c r="D62" i="15"/>
  <c r="D69" i="15" s="1"/>
  <c r="E69" i="15" s="1"/>
  <c r="E77" i="15" s="1"/>
  <c r="F77" i="15" s="1"/>
  <c r="G77" i="15" s="1"/>
  <c r="J65" i="15"/>
  <c r="J72" i="15" s="1"/>
  <c r="K72" i="15" s="1"/>
  <c r="N80" i="15" s="1"/>
  <c r="O80" i="15" s="1"/>
  <c r="P80" i="15" s="1"/>
  <c r="D63" i="15"/>
  <c r="D70" i="15" s="1"/>
  <c r="E70" i="15" s="1"/>
  <c r="E78" i="15" s="1"/>
  <c r="F78" i="15" s="1"/>
  <c r="G78" i="15" s="1"/>
  <c r="J62" i="15"/>
  <c r="J69" i="15" s="1"/>
  <c r="K69" i="15" s="1"/>
  <c r="N77" i="15" s="1"/>
  <c r="O77" i="15" s="1"/>
  <c r="P77" i="15" s="1"/>
  <c r="B61" i="15"/>
  <c r="B68" i="15" s="1"/>
  <c r="C68" i="15" s="1"/>
  <c r="T62" i="15"/>
  <c r="T69" i="15" s="1"/>
  <c r="U69" i="15" s="1"/>
  <c r="AC77" i="15" s="1"/>
  <c r="AD77" i="15" s="1"/>
  <c r="AE77" i="15" s="1"/>
  <c r="D65" i="15"/>
  <c r="D72" i="15" s="1"/>
  <c r="E72" i="15" s="1"/>
  <c r="T65" i="15"/>
  <c r="T72" i="15" s="1"/>
  <c r="U72" i="15" s="1"/>
  <c r="AC80" i="15" s="1"/>
  <c r="AD80" i="15" s="1"/>
  <c r="AE80" i="15" s="1"/>
  <c r="J63" i="15"/>
  <c r="J70" i="15" s="1"/>
  <c r="K70" i="15" s="1"/>
  <c r="N78" i="15" s="1"/>
  <c r="O78" i="15" s="1"/>
  <c r="P78" i="15" s="1"/>
  <c r="D94" i="15"/>
  <c r="D109" i="15"/>
  <c r="B63" i="15"/>
  <c r="B70" i="15" s="1"/>
  <c r="C70" i="15" s="1"/>
  <c r="B78" i="15" s="1"/>
  <c r="C78" i="15" s="1"/>
  <c r="D78" i="15" s="1"/>
  <c r="D64" i="15"/>
  <c r="D71" i="15" s="1"/>
  <c r="E71" i="15" s="1"/>
  <c r="E79" i="15" s="1"/>
  <c r="F79" i="15" s="1"/>
  <c r="G79" i="15" s="1"/>
  <c r="T61" i="15"/>
  <c r="T68" i="15" s="1"/>
  <c r="J61" i="15"/>
  <c r="J68" i="15" s="1"/>
  <c r="T64" i="15"/>
  <c r="T71" i="15" s="1"/>
  <c r="U71" i="15" s="1"/>
  <c r="AC79" i="15" s="1"/>
  <c r="AD79" i="15" s="1"/>
  <c r="AE79" i="15" s="1"/>
  <c r="B109" i="15"/>
  <c r="B94" i="15"/>
  <c r="L206" i="10"/>
  <c r="M206" i="10"/>
  <c r="N206" i="10"/>
  <c r="O206" i="10"/>
  <c r="K206" i="10"/>
  <c r="J206" i="10"/>
  <c r="I206" i="10"/>
  <c r="H79" i="10"/>
  <c r="L65" i="15" l="1"/>
  <c r="L72" i="15" s="1"/>
  <c r="M72" i="15" s="1"/>
  <c r="Q80" i="15" s="1"/>
  <c r="R80" i="15" s="1"/>
  <c r="S80" i="15" s="1"/>
  <c r="F61" i="15"/>
  <c r="F68" i="15" s="1"/>
  <c r="G68" i="15" s="1"/>
  <c r="L62" i="15"/>
  <c r="L69" i="15" s="1"/>
  <c r="M69" i="15" s="1"/>
  <c r="Q77" i="15" s="1"/>
  <c r="R77" i="15" s="1"/>
  <c r="S77" i="15" s="1"/>
  <c r="F65" i="15"/>
  <c r="F72" i="15" s="1"/>
  <c r="G72" i="15" s="1"/>
  <c r="H80" i="15" s="1"/>
  <c r="I80" i="15" s="1"/>
  <c r="J80" i="15" s="1"/>
  <c r="L95" i="15"/>
  <c r="L110" i="15"/>
  <c r="P95" i="15"/>
  <c r="P110" i="15"/>
  <c r="N95" i="15"/>
  <c r="N110" i="15"/>
  <c r="J95" i="15"/>
  <c r="J110" i="15"/>
  <c r="L63" i="15"/>
  <c r="L70" i="15" s="1"/>
  <c r="M70" i="15" s="1"/>
  <c r="Q78" i="15" s="1"/>
  <c r="R78" i="15" s="1"/>
  <c r="S78" i="15" s="1"/>
  <c r="H95" i="15"/>
  <c r="H110" i="15"/>
  <c r="T95" i="15"/>
  <c r="T110" i="15"/>
  <c r="N65" i="15"/>
  <c r="N72" i="15" s="1"/>
  <c r="O72" i="15" s="1"/>
  <c r="T80" i="15" s="1"/>
  <c r="U80" i="15" s="1"/>
  <c r="V80" i="15" s="1"/>
  <c r="F64" i="15"/>
  <c r="F71" i="15" s="1"/>
  <c r="G71" i="15" s="1"/>
  <c r="H79" i="15" s="1"/>
  <c r="I79" i="15" s="1"/>
  <c r="J79" i="15" s="1"/>
  <c r="L64" i="15"/>
  <c r="L71" i="15" s="1"/>
  <c r="M71" i="15" s="1"/>
  <c r="Q79" i="15" s="1"/>
  <c r="R79" i="15" s="1"/>
  <c r="S79" i="15" s="1"/>
  <c r="R95" i="15"/>
  <c r="R110" i="15"/>
  <c r="F95" i="15"/>
  <c r="F110" i="15"/>
  <c r="P65" i="15"/>
  <c r="P72" i="15" s="1"/>
  <c r="Q72" i="15" s="1"/>
  <c r="W80" i="15" s="1"/>
  <c r="X80" i="15" s="1"/>
  <c r="Y80" i="15" s="1"/>
  <c r="H62" i="15"/>
  <c r="H69" i="15" s="1"/>
  <c r="I69" i="15" s="1"/>
  <c r="K77" i="15" s="1"/>
  <c r="L77" i="15" s="1"/>
  <c r="M77" i="15" s="1"/>
  <c r="H63" i="15"/>
  <c r="H70" i="15" s="1"/>
  <c r="I70" i="15" s="1"/>
  <c r="K78" i="15" s="1"/>
  <c r="L78" i="15" s="1"/>
  <c r="M78" i="15" s="1"/>
  <c r="P64" i="15"/>
  <c r="P71" i="15" s="1"/>
  <c r="Q71" i="15" s="1"/>
  <c r="W79" i="15" s="1"/>
  <c r="X79" i="15" s="1"/>
  <c r="Y79" i="15" s="1"/>
  <c r="P61" i="15"/>
  <c r="P68" i="15" s="1"/>
  <c r="P63" i="15"/>
  <c r="P70" i="15" s="1"/>
  <c r="Q70" i="15" s="1"/>
  <c r="W78" i="15" s="1"/>
  <c r="X78" i="15" s="1"/>
  <c r="Y78" i="15" s="1"/>
  <c r="N63" i="15"/>
  <c r="N70" i="15" s="1"/>
  <c r="O70" i="15" s="1"/>
  <c r="T78" i="15" s="1"/>
  <c r="U78" i="15" s="1"/>
  <c r="V78" i="15" s="1"/>
  <c r="N62" i="15"/>
  <c r="N69" i="15" s="1"/>
  <c r="O69" i="15" s="1"/>
  <c r="T77" i="15" s="1"/>
  <c r="U77" i="15" s="1"/>
  <c r="V77" i="15" s="1"/>
  <c r="N64" i="15"/>
  <c r="N71" i="15" s="1"/>
  <c r="O71" i="15" s="1"/>
  <c r="T79" i="15" s="1"/>
  <c r="U79" i="15" s="1"/>
  <c r="V79" i="15" s="1"/>
  <c r="H65" i="15"/>
  <c r="H72" i="15" s="1"/>
  <c r="I72" i="15" s="1"/>
  <c r="K80" i="15" s="1"/>
  <c r="L80" i="15" s="1"/>
  <c r="M80" i="15" s="1"/>
  <c r="B73" i="15"/>
  <c r="B88" i="15" s="1"/>
  <c r="B90" i="15" s="1"/>
  <c r="B108" i="15" s="1"/>
  <c r="R73" i="15"/>
  <c r="R88" i="15" s="1"/>
  <c r="R90" i="15" s="1"/>
  <c r="R108" i="15" s="1"/>
  <c r="D95" i="15"/>
  <c r="D110" i="15"/>
  <c r="Z76" i="15"/>
  <c r="S73" i="15"/>
  <c r="D73" i="15"/>
  <c r="D88" i="15" s="1"/>
  <c r="D90" i="15" s="1"/>
  <c r="D108" i="15" s="1"/>
  <c r="E68" i="15"/>
  <c r="E76" i="15" s="1"/>
  <c r="H76" i="15"/>
  <c r="J73" i="15"/>
  <c r="J88" i="15" s="1"/>
  <c r="J90" i="15" s="1"/>
  <c r="J108" i="15" s="1"/>
  <c r="K68" i="15"/>
  <c r="T73" i="15"/>
  <c r="T88" i="15" s="1"/>
  <c r="T90" i="15" s="1"/>
  <c r="T108" i="15" s="1"/>
  <c r="T113" i="15" s="1"/>
  <c r="T114" i="15" s="1"/>
  <c r="M124" i="15" s="1"/>
  <c r="L28" i="12" s="1"/>
  <c r="U68" i="15"/>
  <c r="Q76" i="15"/>
  <c r="K76" i="15"/>
  <c r="T76" i="15"/>
  <c r="E80" i="15"/>
  <c r="F80" i="15" s="1"/>
  <c r="G80" i="15" s="1"/>
  <c r="B110" i="15"/>
  <c r="B95" i="15"/>
  <c r="C73" i="15"/>
  <c r="B76" i="15"/>
  <c r="G73" i="15" l="1"/>
  <c r="F73" i="15"/>
  <c r="F88" i="15" s="1"/>
  <c r="F90" i="15" s="1"/>
  <c r="F108" i="15" s="1"/>
  <c r="F113" i="15" s="1"/>
  <c r="F114" i="15" s="1"/>
  <c r="F124" i="15" s="1"/>
  <c r="E28" i="12" s="1"/>
  <c r="R113" i="15"/>
  <c r="R114" i="15" s="1"/>
  <c r="L124" i="15" s="1"/>
  <c r="K28" i="12" s="1"/>
  <c r="L73" i="15"/>
  <c r="L88" i="15" s="1"/>
  <c r="L90" i="15" s="1"/>
  <c r="L108" i="15" s="1"/>
  <c r="L113" i="15" s="1"/>
  <c r="L114" i="15" s="1"/>
  <c r="I124" i="15" s="1"/>
  <c r="H28" i="12" s="1"/>
  <c r="M73" i="15"/>
  <c r="J113" i="15"/>
  <c r="J114" i="15" s="1"/>
  <c r="H124" i="15" s="1"/>
  <c r="G28" i="12" s="1"/>
  <c r="I73" i="15"/>
  <c r="P73" i="15"/>
  <c r="P88" i="15" s="1"/>
  <c r="P90" i="15" s="1"/>
  <c r="P108" i="15" s="1"/>
  <c r="P113" i="15" s="1"/>
  <c r="P114" i="15" s="1"/>
  <c r="K124" i="15" s="1"/>
  <c r="J28" i="12" s="1"/>
  <c r="Q68" i="15"/>
  <c r="Q73" i="15" s="1"/>
  <c r="B113" i="15"/>
  <c r="B114" i="15" s="1"/>
  <c r="D124" i="15" s="1"/>
  <c r="C28" i="12" s="1"/>
  <c r="O73" i="15"/>
  <c r="N73" i="15"/>
  <c r="N88" i="15" s="1"/>
  <c r="N90" i="15" s="1"/>
  <c r="N108" i="15" s="1"/>
  <c r="N113" i="15" s="1"/>
  <c r="N114" i="15" s="1"/>
  <c r="J124" i="15" s="1"/>
  <c r="I28" i="12" s="1"/>
  <c r="H73" i="15"/>
  <c r="H88" i="15" s="1"/>
  <c r="H90" i="15" s="1"/>
  <c r="H108" i="15" s="1"/>
  <c r="H113" i="15" s="1"/>
  <c r="H114" i="15" s="1"/>
  <c r="G124" i="15" s="1"/>
  <c r="F28" i="12" s="1"/>
  <c r="D113" i="15"/>
  <c r="D114" i="15" s="1"/>
  <c r="E124" i="15" s="1"/>
  <c r="D28" i="12" s="1"/>
  <c r="L76" i="15"/>
  <c r="K81" i="15"/>
  <c r="N76" i="15"/>
  <c r="K73" i="15"/>
  <c r="AA76" i="15"/>
  <c r="Z81" i="15"/>
  <c r="W76" i="15"/>
  <c r="E73" i="15"/>
  <c r="AC76" i="15"/>
  <c r="U73" i="15"/>
  <c r="E81" i="15"/>
  <c r="F76" i="15"/>
  <c r="U76" i="15"/>
  <c r="T81" i="15"/>
  <c r="R76" i="15"/>
  <c r="Q81" i="15"/>
  <c r="I76" i="15"/>
  <c r="H81" i="15"/>
  <c r="B81" i="15"/>
  <c r="C76" i="15"/>
  <c r="D76" i="15" s="1"/>
  <c r="D81" i="15" s="1"/>
  <c r="B104" i="15" s="1"/>
  <c r="B105" i="15" s="1"/>
  <c r="D122" i="15" s="1"/>
  <c r="D125" i="15" l="1"/>
  <c r="I81" i="15"/>
  <c r="J76" i="15"/>
  <c r="J81" i="15" s="1"/>
  <c r="U81" i="15"/>
  <c r="V76" i="15"/>
  <c r="V81" i="15" s="1"/>
  <c r="AA81" i="15"/>
  <c r="AB76" i="15"/>
  <c r="AB81" i="15" s="1"/>
  <c r="L81" i="15"/>
  <c r="M76" i="15"/>
  <c r="M81" i="15" s="1"/>
  <c r="F81" i="15"/>
  <c r="G76" i="15"/>
  <c r="G81" i="15" s="1"/>
  <c r="D104" i="15" s="1"/>
  <c r="D105" i="15" s="1"/>
  <c r="E125" i="15"/>
  <c r="F125" i="15" s="1"/>
  <c r="G125" i="15" s="1"/>
  <c r="H125" i="15" s="1"/>
  <c r="I125" i="15" s="1"/>
  <c r="J125" i="15" s="1"/>
  <c r="K125" i="15" s="1"/>
  <c r="L125" i="15" s="1"/>
  <c r="M125" i="15" s="1"/>
  <c r="R81" i="15"/>
  <c r="S76" i="15"/>
  <c r="S81" i="15" s="1"/>
  <c r="W81" i="15"/>
  <c r="X76" i="15"/>
  <c r="O76" i="15"/>
  <c r="N81" i="15"/>
  <c r="AD76" i="15"/>
  <c r="AC81" i="15"/>
  <c r="D120" i="15"/>
  <c r="C81" i="15"/>
  <c r="D121" i="15" l="1"/>
  <c r="D14" i="12"/>
  <c r="E14" i="12"/>
  <c r="F14" i="12"/>
  <c r="G14" i="12"/>
  <c r="H14" i="12"/>
  <c r="I14" i="12"/>
  <c r="J14" i="12"/>
  <c r="K14" i="12"/>
  <c r="L14" i="12"/>
  <c r="C14" i="12"/>
  <c r="AD81" i="15"/>
  <c r="AE76" i="15"/>
  <c r="AE81" i="15" s="1"/>
  <c r="E122" i="15"/>
  <c r="E120" i="15"/>
  <c r="E121" i="15" s="1"/>
  <c r="R104" i="15"/>
  <c r="F104" i="15"/>
  <c r="F105" i="15" s="1"/>
  <c r="L104" i="15"/>
  <c r="O81" i="15"/>
  <c r="P76" i="15"/>
  <c r="P81" i="15" s="1"/>
  <c r="H104" i="15"/>
  <c r="N104" i="15"/>
  <c r="X81" i="15"/>
  <c r="Y76" i="15"/>
  <c r="Y81" i="15" s="1"/>
  <c r="B53" i="8"/>
  <c r="J120" i="15" l="1"/>
  <c r="N105" i="15"/>
  <c r="L120" i="15"/>
  <c r="R105" i="15"/>
  <c r="L122" i="15" s="1"/>
  <c r="G120" i="15"/>
  <c r="H105" i="15"/>
  <c r="I120" i="15"/>
  <c r="L105" i="15"/>
  <c r="I122" i="15" s="1"/>
  <c r="D123" i="15"/>
  <c r="D21" i="12"/>
  <c r="E21" i="12"/>
  <c r="F21" i="12"/>
  <c r="G21" i="12"/>
  <c r="H21" i="12"/>
  <c r="I21" i="12"/>
  <c r="J21" i="12"/>
  <c r="K21" i="12"/>
  <c r="L21" i="12"/>
  <c r="C21" i="12"/>
  <c r="F120" i="15"/>
  <c r="F121" i="15" s="1"/>
  <c r="G121" i="15" s="1"/>
  <c r="F122" i="15"/>
  <c r="P104" i="15"/>
  <c r="G122" i="15"/>
  <c r="T104" i="15"/>
  <c r="J104" i="15"/>
  <c r="E123" i="15"/>
  <c r="J122" i="15"/>
  <c r="K120" i="15" l="1"/>
  <c r="P105" i="15"/>
  <c r="F123" i="15"/>
  <c r="G123" i="15" s="1"/>
  <c r="H123" i="15" s="1"/>
  <c r="I123" i="15" s="1"/>
  <c r="J123" i="15" s="1"/>
  <c r="M120" i="15"/>
  <c r="T105" i="15"/>
  <c r="M122" i="15" s="1"/>
  <c r="H120" i="15"/>
  <c r="H121" i="15" s="1"/>
  <c r="I121" i="15" s="1"/>
  <c r="J121" i="15" s="1"/>
  <c r="K121" i="15" s="1"/>
  <c r="L121" i="15" s="1"/>
  <c r="M121" i="15" s="1"/>
  <c r="J105" i="15"/>
  <c r="H122" i="15"/>
  <c r="K122" i="15"/>
  <c r="D31" i="10"/>
  <c r="C12" i="13"/>
  <c r="K123" i="15" l="1"/>
  <c r="L123" i="15" s="1"/>
  <c r="M123" i="15" s="1"/>
  <c r="D12" i="13"/>
  <c r="D7" i="13"/>
  <c r="C7" i="13"/>
  <c r="B7" i="13"/>
  <c r="D30" i="12"/>
  <c r="C30" i="12"/>
  <c r="D29" i="12"/>
  <c r="C29" i="12"/>
  <c r="D22" i="12"/>
  <c r="D23" i="12"/>
  <c r="C23" i="12"/>
  <c r="C22" i="12"/>
  <c r="D15" i="12"/>
  <c r="D16" i="12"/>
  <c r="C16" i="12"/>
  <c r="C15" i="12"/>
  <c r="E50" i="10"/>
  <c r="E49" i="10"/>
  <c r="E44" i="10"/>
  <c r="E132" i="10"/>
  <c r="D79" i="10"/>
  <c r="F79" i="10" s="1"/>
  <c r="E23" i="10"/>
  <c r="D60" i="10" s="1"/>
  <c r="B56" i="8"/>
  <c r="E40" i="10" s="1"/>
  <c r="B57" i="8"/>
  <c r="B55" i="8"/>
  <c r="B147" i="8"/>
  <c r="H206" i="10" s="1"/>
  <c r="B50" i="8"/>
  <c r="B29" i="8"/>
  <c r="B127" i="8" s="1"/>
  <c r="B17" i="8"/>
  <c r="B123" i="8" s="1"/>
  <c r="B32" i="8"/>
  <c r="B35" i="8"/>
  <c r="B83" i="8" s="1"/>
  <c r="B36" i="8"/>
  <c r="B84" i="8" s="1"/>
  <c r="B37" i="8"/>
  <c r="B89" i="8" s="1"/>
  <c r="B38" i="8"/>
  <c r="B91" i="8" s="1"/>
  <c r="B39" i="8"/>
  <c r="B41" i="8"/>
  <c r="B95" i="8" s="1"/>
  <c r="B42" i="8"/>
  <c r="B96" i="8" s="1"/>
  <c r="B43" i="8"/>
  <c r="B102" i="8" s="1"/>
  <c r="B44" i="8"/>
  <c r="B104" i="8" s="1"/>
  <c r="B105" i="8" s="1"/>
  <c r="B46" i="8"/>
  <c r="B108" i="8" s="1"/>
  <c r="B47" i="8"/>
  <c r="B111" i="8" s="1"/>
  <c r="B48" i="8"/>
  <c r="B113" i="8" s="1"/>
  <c r="B34" i="8"/>
  <c r="B82" i="8" s="1"/>
  <c r="B31" i="8"/>
  <c r="B28" i="8"/>
  <c r="B63" i="8" s="1"/>
  <c r="B7" i="8"/>
  <c r="E39" i="10" l="1"/>
  <c r="E7" i="13"/>
  <c r="C14" i="13" s="1"/>
  <c r="B23" i="8" s="1"/>
  <c r="F199" i="10"/>
  <c r="G199" i="10" s="1"/>
  <c r="F200" i="10"/>
  <c r="G200" i="10" s="1"/>
  <c r="B109" i="8"/>
  <c r="B114" i="8"/>
  <c r="B92" i="8"/>
  <c r="B97" i="8"/>
  <c r="B98" i="8" s="1"/>
  <c r="B99" i="8" s="1"/>
  <c r="B100" i="8" s="1"/>
  <c r="B85" i="8"/>
  <c r="B86" i="8" s="1"/>
  <c r="B87" i="8" s="1"/>
  <c r="E46" i="10" s="1"/>
  <c r="B79" i="8" l="1"/>
  <c r="B26" i="8"/>
  <c r="B25" i="8"/>
  <c r="B62" i="8" s="1"/>
  <c r="B64" i="8" s="1"/>
  <c r="B65" i="8" s="1"/>
  <c r="B120" i="8" s="1"/>
  <c r="B135" i="7"/>
  <c r="B149" i="7" s="1"/>
  <c r="B131" i="7"/>
  <c r="B127" i="7"/>
  <c r="B120" i="7"/>
  <c r="B121" i="7" s="1"/>
  <c r="B118" i="7"/>
  <c r="B115" i="7"/>
  <c r="B116" i="7" s="1"/>
  <c r="B111" i="7"/>
  <c r="B112" i="7" s="1"/>
  <c r="E52" i="10" s="1"/>
  <c r="B109" i="7"/>
  <c r="B103" i="7"/>
  <c r="B102" i="7"/>
  <c r="B98" i="7"/>
  <c r="B99" i="7" s="1"/>
  <c r="E51" i="10" s="1"/>
  <c r="B96" i="7"/>
  <c r="B90" i="7"/>
  <c r="B91" i="7"/>
  <c r="B104" i="7" s="1"/>
  <c r="B89" i="7"/>
  <c r="B68" i="7"/>
  <c r="B25" i="7"/>
  <c r="B13" i="7"/>
  <c r="B18" i="7" s="1"/>
  <c r="B15" i="8" s="1"/>
  <c r="B5" i="7"/>
  <c r="E116" i="10"/>
  <c r="J80" i="10"/>
  <c r="J107" i="10" s="1"/>
  <c r="L80" i="10"/>
  <c r="L107" i="10" s="1"/>
  <c r="N80" i="10"/>
  <c r="N107" i="10" s="1"/>
  <c r="P80" i="10"/>
  <c r="P107" i="10" s="1"/>
  <c r="R80" i="10"/>
  <c r="R107" i="10" s="1"/>
  <c r="T80" i="10"/>
  <c r="T107" i="10" s="1"/>
  <c r="J81" i="10"/>
  <c r="J108" i="10" s="1"/>
  <c r="L81" i="10"/>
  <c r="L108" i="10" s="1"/>
  <c r="N81" i="10"/>
  <c r="N108" i="10" s="1"/>
  <c r="P81" i="10"/>
  <c r="P108" i="10" s="1"/>
  <c r="R81" i="10"/>
  <c r="R108" i="10" s="1"/>
  <c r="T81" i="10"/>
  <c r="T108" i="10" s="1"/>
  <c r="J82" i="10"/>
  <c r="J109" i="10" s="1"/>
  <c r="L82" i="10"/>
  <c r="L109" i="10" s="1"/>
  <c r="N82" i="10"/>
  <c r="N109" i="10" s="1"/>
  <c r="P82" i="10"/>
  <c r="P109" i="10" s="1"/>
  <c r="R82" i="10"/>
  <c r="R109" i="10" s="1"/>
  <c r="T82" i="10"/>
  <c r="T109" i="10" s="1"/>
  <c r="J83" i="10"/>
  <c r="J110" i="10" s="1"/>
  <c r="L83" i="10"/>
  <c r="L110" i="10" s="1"/>
  <c r="N83" i="10"/>
  <c r="N110" i="10" s="1"/>
  <c r="P83" i="10"/>
  <c r="P110" i="10" s="1"/>
  <c r="R83" i="10"/>
  <c r="R110" i="10" s="1"/>
  <c r="T83" i="10"/>
  <c r="T110" i="10" s="1"/>
  <c r="J84" i="10"/>
  <c r="J111" i="10" s="1"/>
  <c r="L84" i="10"/>
  <c r="L111" i="10" s="1"/>
  <c r="N84" i="10"/>
  <c r="N111" i="10" s="1"/>
  <c r="P84" i="10"/>
  <c r="P111" i="10" s="1"/>
  <c r="R84" i="10"/>
  <c r="R111" i="10" s="1"/>
  <c r="T84" i="10"/>
  <c r="T111" i="10" s="1"/>
  <c r="J85" i="10"/>
  <c r="J112" i="10" s="1"/>
  <c r="L85" i="10"/>
  <c r="L112" i="10" s="1"/>
  <c r="N85" i="10"/>
  <c r="N112" i="10" s="1"/>
  <c r="P85" i="10"/>
  <c r="P112" i="10" s="1"/>
  <c r="R85" i="10"/>
  <c r="R112" i="10" s="1"/>
  <c r="T85" i="10"/>
  <c r="T112" i="10" s="1"/>
  <c r="J86" i="10"/>
  <c r="L86" i="10"/>
  <c r="N86" i="10"/>
  <c r="P86" i="10"/>
  <c r="R86" i="10"/>
  <c r="T86" i="10"/>
  <c r="T79" i="10"/>
  <c r="T106" i="10" s="1"/>
  <c r="R79" i="10"/>
  <c r="R106" i="10" s="1"/>
  <c r="P79" i="10"/>
  <c r="P106" i="10" s="1"/>
  <c r="N79" i="10"/>
  <c r="N106" i="10" s="1"/>
  <c r="L79" i="10"/>
  <c r="L106" i="10" s="1"/>
  <c r="J79" i="10"/>
  <c r="J106" i="10" s="1"/>
  <c r="H80" i="10"/>
  <c r="H107" i="10" s="1"/>
  <c r="H81" i="10"/>
  <c r="H108" i="10" s="1"/>
  <c r="H82" i="10"/>
  <c r="H109" i="10" s="1"/>
  <c r="H83" i="10"/>
  <c r="H110" i="10" s="1"/>
  <c r="H84" i="10"/>
  <c r="H111" i="10" s="1"/>
  <c r="H85" i="10"/>
  <c r="H112" i="10" s="1"/>
  <c r="H86" i="10"/>
  <c r="H106" i="10"/>
  <c r="F106" i="10"/>
  <c r="D87" i="10"/>
  <c r="E24" i="10"/>
  <c r="E80" i="10" s="1"/>
  <c r="E25" i="10"/>
  <c r="E81" i="10" s="1"/>
  <c r="E26" i="10"/>
  <c r="E27" i="10"/>
  <c r="E28" i="10"/>
  <c r="E84" i="10" s="1"/>
  <c r="E29" i="10"/>
  <c r="E85" i="10" s="1"/>
  <c r="E30" i="10"/>
  <c r="D80" i="10"/>
  <c r="F80" i="10" s="1"/>
  <c r="D81" i="10"/>
  <c r="F81" i="10" s="1"/>
  <c r="F97" i="10" s="1"/>
  <c r="D82" i="10"/>
  <c r="F82" i="10" s="1"/>
  <c r="F109" i="10" s="1"/>
  <c r="D83" i="10"/>
  <c r="F83" i="10" s="1"/>
  <c r="F110" i="10" s="1"/>
  <c r="D84" i="10"/>
  <c r="F84" i="10" s="1"/>
  <c r="F111" i="10" s="1"/>
  <c r="D85" i="10"/>
  <c r="F85" i="10" s="1"/>
  <c r="F101" i="10" s="1"/>
  <c r="D86" i="10"/>
  <c r="F86" i="10" s="1"/>
  <c r="B78" i="8" l="1"/>
  <c r="B80" i="8" s="1"/>
  <c r="G54" i="10"/>
  <c r="B121" i="8"/>
  <c r="B145" i="8" s="1"/>
  <c r="B7" i="7"/>
  <c r="B20" i="7"/>
  <c r="B18" i="8" s="1"/>
  <c r="B142" i="8"/>
  <c r="B133" i="8"/>
  <c r="B148" i="8" s="1"/>
  <c r="P113" i="10"/>
  <c r="F107" i="10"/>
  <c r="L113" i="10"/>
  <c r="T113" i="10"/>
  <c r="F24" i="10"/>
  <c r="H113" i="10"/>
  <c r="J113" i="10"/>
  <c r="R113" i="10"/>
  <c r="N113" i="10"/>
  <c r="F98" i="10"/>
  <c r="F96" i="10"/>
  <c r="H98" i="10"/>
  <c r="J95" i="10"/>
  <c r="J99" i="10"/>
  <c r="L96" i="10"/>
  <c r="L100" i="10"/>
  <c r="N97" i="10"/>
  <c r="N101" i="10"/>
  <c r="P98" i="10"/>
  <c r="R95" i="10"/>
  <c r="R99" i="10"/>
  <c r="T96" i="10"/>
  <c r="T100" i="10"/>
  <c r="F108" i="10"/>
  <c r="F112" i="10"/>
  <c r="F99" i="10"/>
  <c r="H95" i="10"/>
  <c r="H99" i="10"/>
  <c r="J96" i="10"/>
  <c r="J100" i="10"/>
  <c r="L97" i="10"/>
  <c r="L101" i="10"/>
  <c r="N98" i="10"/>
  <c r="P95" i="10"/>
  <c r="P99" i="10"/>
  <c r="R96" i="10"/>
  <c r="R100" i="10"/>
  <c r="T97" i="10"/>
  <c r="T101" i="10"/>
  <c r="F95" i="10"/>
  <c r="F100" i="10"/>
  <c r="H96" i="10"/>
  <c r="H100" i="10"/>
  <c r="J97" i="10"/>
  <c r="J101" i="10"/>
  <c r="L98" i="10"/>
  <c r="N95" i="10"/>
  <c r="N99" i="10"/>
  <c r="P96" i="10"/>
  <c r="P100" i="10"/>
  <c r="R97" i="10"/>
  <c r="R101" i="10"/>
  <c r="T98" i="10"/>
  <c r="H97" i="10"/>
  <c r="H101" i="10"/>
  <c r="J98" i="10"/>
  <c r="L95" i="10"/>
  <c r="L99" i="10"/>
  <c r="N96" i="10"/>
  <c r="N100" i="10"/>
  <c r="P97" i="10"/>
  <c r="P101" i="10"/>
  <c r="R98" i="10"/>
  <c r="T95" i="10"/>
  <c r="T99" i="10"/>
  <c r="B92" i="7"/>
  <c r="B93" i="7" s="1"/>
  <c r="B94" i="7" s="1"/>
  <c r="B105" i="7"/>
  <c r="B106" i="7" s="1"/>
  <c r="B107" i="7" s="1"/>
  <c r="E47" i="10" s="1"/>
  <c r="B27" i="7"/>
  <c r="C10" i="7"/>
  <c r="B11" i="8" s="1"/>
  <c r="C12" i="7"/>
  <c r="B13" i="8" s="1"/>
  <c r="C11" i="7"/>
  <c r="B12" i="8" s="1"/>
  <c r="F25" i="10"/>
  <c r="F30" i="10"/>
  <c r="F26" i="10"/>
  <c r="E82" i="10"/>
  <c r="E86" i="10"/>
  <c r="F29" i="10"/>
  <c r="F27" i="10"/>
  <c r="E79" i="10"/>
  <c r="E83" i="10"/>
  <c r="F28" i="10"/>
  <c r="B86" i="7" l="1"/>
  <c r="B29" i="7"/>
  <c r="B67" i="7" s="1"/>
  <c r="B69" i="7" s="1"/>
  <c r="B71" i="7" s="1"/>
  <c r="B85" i="7" s="1"/>
  <c r="B87" i="7" s="1"/>
  <c r="L201" i="10"/>
  <c r="M201" i="10"/>
  <c r="N201" i="10"/>
  <c r="O201" i="10"/>
  <c r="K201" i="10"/>
  <c r="J201" i="10"/>
  <c r="I201" i="10"/>
  <c r="H201" i="10"/>
  <c r="L204" i="10"/>
  <c r="O204" i="10"/>
  <c r="I204" i="10"/>
  <c r="H204" i="10"/>
  <c r="J204" i="10"/>
  <c r="N204" i="10"/>
  <c r="K204" i="10"/>
  <c r="M204" i="10"/>
  <c r="E120" i="10"/>
  <c r="B66" i="8"/>
  <c r="L207" i="10"/>
  <c r="M207" i="10"/>
  <c r="N207" i="10"/>
  <c r="H207" i="10"/>
  <c r="O207" i="10"/>
  <c r="K207" i="10"/>
  <c r="J207" i="10"/>
  <c r="I207" i="10"/>
  <c r="B73" i="7"/>
  <c r="F102" i="10"/>
  <c r="F113" i="10"/>
  <c r="R102" i="10"/>
  <c r="S116" i="10" s="1"/>
  <c r="N102" i="10"/>
  <c r="O116" i="10" s="1"/>
  <c r="H102" i="10"/>
  <c r="I116" i="10" s="1"/>
  <c r="T102" i="10"/>
  <c r="U116" i="10" s="1"/>
  <c r="P102" i="10"/>
  <c r="Q116" i="10" s="1"/>
  <c r="L102" i="10"/>
  <c r="M116" i="10" s="1"/>
  <c r="J102" i="10"/>
  <c r="K116" i="10" s="1"/>
  <c r="B75" i="7" l="1"/>
  <c r="B76" i="7" s="1"/>
  <c r="B79" i="7" s="1"/>
  <c r="B128" i="7"/>
  <c r="B129" i="7" s="1"/>
  <c r="B132" i="7" s="1"/>
  <c r="B133" i="7" s="1"/>
  <c r="B68" i="8"/>
  <c r="B124" i="8"/>
  <c r="B125" i="8" s="1"/>
  <c r="B128" i="8" s="1"/>
  <c r="B129" i="8" s="1"/>
  <c r="B146" i="8" s="1"/>
  <c r="B142" i="7"/>
  <c r="B145" i="7"/>
  <c r="B136" i="7"/>
  <c r="B150" i="7" s="1"/>
  <c r="B148" i="7"/>
  <c r="G116" i="10"/>
  <c r="C80" i="7"/>
  <c r="C81" i="7"/>
  <c r="C79" i="7"/>
  <c r="L205" i="10" l="1"/>
  <c r="M205" i="10"/>
  <c r="K205" i="10"/>
  <c r="J205" i="10"/>
  <c r="N205" i="10"/>
  <c r="I205" i="10"/>
  <c r="O205" i="10"/>
  <c r="H205" i="10"/>
  <c r="C72" i="8"/>
  <c r="B88" i="8" s="1"/>
  <c r="B69" i="8"/>
  <c r="C73" i="8"/>
  <c r="B101" i="8" s="1"/>
  <c r="C74" i="8"/>
  <c r="B110" i="8" s="1"/>
  <c r="B115" i="8" s="1"/>
  <c r="B81" i="7"/>
  <c r="B80" i="7"/>
  <c r="B143" i="7" s="1"/>
  <c r="B112" i="8" l="1"/>
  <c r="B106" i="8"/>
  <c r="B103" i="8"/>
  <c r="B139" i="8"/>
  <c r="B72" i="8"/>
  <c r="B140" i="8" s="1"/>
  <c r="B74" i="8"/>
  <c r="B73" i="8"/>
  <c r="B90" i="8"/>
  <c r="B117" i="8" s="1"/>
  <c r="B143" i="8" s="1"/>
  <c r="B93" i="8"/>
  <c r="C32" i="12"/>
  <c r="C33" i="12" s="1"/>
  <c r="D32" i="12"/>
  <c r="H157" i="7"/>
  <c r="G15" i="12" s="1"/>
  <c r="L157" i="7"/>
  <c r="K15" i="12" s="1"/>
  <c r="I157" i="7"/>
  <c r="H15" i="12" s="1"/>
  <c r="M157" i="7"/>
  <c r="L15" i="12" s="1"/>
  <c r="F157" i="7"/>
  <c r="J157" i="7"/>
  <c r="I15" i="12" s="1"/>
  <c r="G157" i="7"/>
  <c r="F15" i="12" s="1"/>
  <c r="K157" i="7"/>
  <c r="J15" i="12" s="1"/>
  <c r="D18" i="12"/>
  <c r="H202" i="10" l="1"/>
  <c r="K155" i="8"/>
  <c r="J16" i="12" s="1"/>
  <c r="G155" i="8"/>
  <c r="F16" i="12" s="1"/>
  <c r="L155" i="8"/>
  <c r="K16" i="12" s="1"/>
  <c r="M155" i="8"/>
  <c r="L16" i="12" s="1"/>
  <c r="H155" i="8"/>
  <c r="G16" i="12" s="1"/>
  <c r="F155" i="8"/>
  <c r="I155" i="8"/>
  <c r="H16" i="12" s="1"/>
  <c r="J155" i="8"/>
  <c r="I16" i="12" s="1"/>
  <c r="B118" i="8"/>
  <c r="B144" i="8" s="1"/>
  <c r="G159" i="7"/>
  <c r="K159" i="7"/>
  <c r="J159" i="7"/>
  <c r="F159" i="7"/>
  <c r="H159" i="7"/>
  <c r="L159" i="7"/>
  <c r="I159" i="7"/>
  <c r="M159" i="7"/>
  <c r="F158" i="7"/>
  <c r="G158" i="7" s="1"/>
  <c r="H158" i="7" s="1"/>
  <c r="I158" i="7" s="1"/>
  <c r="J158" i="7" s="1"/>
  <c r="K158" i="7" s="1"/>
  <c r="L158" i="7" s="1"/>
  <c r="M158" i="7" s="1"/>
  <c r="E15" i="12"/>
  <c r="D33" i="12"/>
  <c r="C18" i="12"/>
  <c r="D25" i="12"/>
  <c r="H203" i="10" l="1"/>
  <c r="B149" i="8"/>
  <c r="B150" i="8" s="1"/>
  <c r="F156" i="8"/>
  <c r="G156" i="8" s="1"/>
  <c r="H156" i="8" s="1"/>
  <c r="I156" i="8" s="1"/>
  <c r="J156" i="8" s="1"/>
  <c r="K156" i="8" s="1"/>
  <c r="L156" i="8" s="1"/>
  <c r="M156" i="8" s="1"/>
  <c r="E16" i="12"/>
  <c r="G157" i="8"/>
  <c r="F23" i="12" s="1"/>
  <c r="H157" i="8"/>
  <c r="G23" i="12" s="1"/>
  <c r="I157" i="8"/>
  <c r="H23" i="12" s="1"/>
  <c r="J157" i="8"/>
  <c r="I23" i="12" s="1"/>
  <c r="K157" i="8"/>
  <c r="J23" i="12" s="1"/>
  <c r="L157" i="8"/>
  <c r="K23" i="12" s="1"/>
  <c r="M157" i="8"/>
  <c r="L23" i="12" s="1"/>
  <c r="F157" i="8"/>
  <c r="H208" i="10"/>
  <c r="C19" i="12"/>
  <c r="D19" i="12" s="1"/>
  <c r="C25" i="12"/>
  <c r="C26" i="12" s="1"/>
  <c r="D26" i="12" s="1"/>
  <c r="B95" i="7"/>
  <c r="B100" i="7" s="1"/>
  <c r="G159" i="8" l="1"/>
  <c r="M159" i="8"/>
  <c r="H159" i="8"/>
  <c r="I159" i="8"/>
  <c r="J159" i="8"/>
  <c r="I30" i="12" s="1"/>
  <c r="F159" i="8"/>
  <c r="K159" i="8"/>
  <c r="J30" i="12" s="1"/>
  <c r="L159" i="8"/>
  <c r="K30" i="12" s="1"/>
  <c r="H199" i="10"/>
  <c r="E18" i="12"/>
  <c r="E19" i="12" s="1"/>
  <c r="F158" i="8"/>
  <c r="G158" i="8" s="1"/>
  <c r="H158" i="8" s="1"/>
  <c r="I158" i="8" s="1"/>
  <c r="J158" i="8" s="1"/>
  <c r="K158" i="8" s="1"/>
  <c r="L158" i="8" s="1"/>
  <c r="M158" i="8" s="1"/>
  <c r="E23" i="12"/>
  <c r="H200" i="10" s="1"/>
  <c r="F30" i="12"/>
  <c r="G30" i="12"/>
  <c r="H30" i="12"/>
  <c r="L30" i="12"/>
  <c r="B108" i="7"/>
  <c r="B113" i="7" s="1"/>
  <c r="B117" i="7"/>
  <c r="B122" i="7" s="1"/>
  <c r="B97" i="7"/>
  <c r="F160" i="8" l="1"/>
  <c r="G160" i="8" s="1"/>
  <c r="H160" i="8" s="1"/>
  <c r="I160" i="8" s="1"/>
  <c r="J160" i="8" s="1"/>
  <c r="K160" i="8" s="1"/>
  <c r="L160" i="8" s="1"/>
  <c r="M160" i="8" s="1"/>
  <c r="E30" i="12"/>
  <c r="B119" i="7"/>
  <c r="B125" i="7"/>
  <c r="B147" i="7" s="1"/>
  <c r="B110" i="7"/>
  <c r="B124" i="7" l="1"/>
  <c r="B146" i="7" s="1"/>
  <c r="B151" i="7" s="1"/>
  <c r="B152" i="7" s="1"/>
  <c r="H22" i="12" l="1"/>
  <c r="L22" i="12"/>
  <c r="I22" i="12"/>
  <c r="G22" i="12"/>
  <c r="F22" i="12"/>
  <c r="J22" i="12"/>
  <c r="K22" i="12"/>
  <c r="H161" i="7"/>
  <c r="G29" i="12" s="1"/>
  <c r="L161" i="7"/>
  <c r="K29" i="12" s="1"/>
  <c r="F161" i="7"/>
  <c r="I161" i="7"/>
  <c r="H29" i="12" s="1"/>
  <c r="M161" i="7"/>
  <c r="L29" i="12" s="1"/>
  <c r="G161" i="7"/>
  <c r="F29" i="12" s="1"/>
  <c r="J161" i="7"/>
  <c r="I29" i="12" s="1"/>
  <c r="K161" i="7"/>
  <c r="J29" i="12" s="1"/>
  <c r="F160" i="7" l="1"/>
  <c r="E22" i="12"/>
  <c r="E25" i="12" s="1"/>
  <c r="E26" i="12" s="1"/>
  <c r="F162" i="7"/>
  <c r="G162" i="7" s="1"/>
  <c r="H162" i="7" s="1"/>
  <c r="I162" i="7" s="1"/>
  <c r="J162" i="7" s="1"/>
  <c r="K162" i="7" s="1"/>
  <c r="L162" i="7" s="1"/>
  <c r="M162" i="7" s="1"/>
  <c r="E29" i="12"/>
  <c r="E32" i="12" s="1"/>
  <c r="E33" i="12" s="1"/>
  <c r="G160" i="7"/>
  <c r="H160" i="7" s="1"/>
  <c r="I160" i="7" s="1"/>
  <c r="J160" i="7" s="1"/>
  <c r="K160" i="7" s="1"/>
  <c r="L160" i="7" s="1"/>
  <c r="M160" i="7" s="1"/>
  <c r="G56" i="10" l="1"/>
  <c r="D68" i="10" l="1"/>
  <c r="D66" i="10" s="1"/>
  <c r="F87" i="10"/>
  <c r="D67" i="10"/>
  <c r="D65" i="10"/>
  <c r="D62" i="10"/>
  <c r="D64" i="10"/>
  <c r="R87" i="10"/>
  <c r="N87" i="10"/>
  <c r="T87" i="10"/>
  <c r="P87" i="10"/>
  <c r="L87" i="10"/>
  <c r="J87" i="10"/>
  <c r="H87" i="10"/>
  <c r="D61" i="10" l="1"/>
  <c r="D63" i="10"/>
  <c r="G79" i="10"/>
  <c r="G80" i="10"/>
  <c r="S84" i="10"/>
  <c r="S82" i="10"/>
  <c r="S86" i="10"/>
  <c r="S80" i="10"/>
  <c r="S118" i="10"/>
  <c r="S122" i="10" s="1"/>
  <c r="S81" i="10"/>
  <c r="S79" i="10"/>
  <c r="S83" i="10"/>
  <c r="S85" i="10"/>
  <c r="M118" i="10"/>
  <c r="M122" i="10" s="1"/>
  <c r="M85" i="10"/>
  <c r="M84" i="10"/>
  <c r="M80" i="10"/>
  <c r="M82" i="10"/>
  <c r="M83" i="10"/>
  <c r="M86" i="10"/>
  <c r="M79" i="10"/>
  <c r="M81" i="10"/>
  <c r="Q118" i="10"/>
  <c r="Q122" i="10" s="1"/>
  <c r="Q84" i="10"/>
  <c r="Q86" i="10"/>
  <c r="Q85" i="10"/>
  <c r="Q83" i="10"/>
  <c r="Q79" i="10"/>
  <c r="Q80" i="10"/>
  <c r="Q82" i="10"/>
  <c r="Q81" i="10"/>
  <c r="I118" i="10"/>
  <c r="I122" i="10" s="1"/>
  <c r="I79" i="10"/>
  <c r="E118" i="10"/>
  <c r="E122" i="10" s="1"/>
  <c r="G84" i="10"/>
  <c r="I82" i="10"/>
  <c r="I81" i="10"/>
  <c r="G82" i="10"/>
  <c r="G86" i="10"/>
  <c r="G118" i="10"/>
  <c r="G122" i="10" s="1"/>
  <c r="I124" i="10" s="1"/>
  <c r="I134" i="10" s="1"/>
  <c r="I86" i="10"/>
  <c r="I85" i="10"/>
  <c r="G81" i="10"/>
  <c r="I83" i="10"/>
  <c r="G83" i="10"/>
  <c r="I80" i="10"/>
  <c r="G85" i="10"/>
  <c r="I84" i="10"/>
  <c r="O85" i="10"/>
  <c r="O86" i="10"/>
  <c r="O79" i="10"/>
  <c r="O81" i="10"/>
  <c r="O83" i="10"/>
  <c r="O80" i="10"/>
  <c r="O118" i="10"/>
  <c r="O122" i="10" s="1"/>
  <c r="Q124" i="10" s="1"/>
  <c r="O84" i="10"/>
  <c r="O82" i="10"/>
  <c r="K81" i="10"/>
  <c r="K84" i="10"/>
  <c r="K85" i="10"/>
  <c r="K79" i="10"/>
  <c r="K86" i="10"/>
  <c r="K82" i="10"/>
  <c r="K83" i="10"/>
  <c r="K80" i="10"/>
  <c r="K118" i="10"/>
  <c r="K122" i="10" s="1"/>
  <c r="U118" i="10"/>
  <c r="U122" i="10" s="1"/>
  <c r="U83" i="10"/>
  <c r="U82" i="10"/>
  <c r="U79" i="10"/>
  <c r="U86" i="10"/>
  <c r="U84" i="10"/>
  <c r="U80" i="10"/>
  <c r="U81" i="10"/>
  <c r="U85" i="10"/>
  <c r="I135" i="10" l="1"/>
  <c r="Q134" i="10"/>
  <c r="Q135" i="10"/>
  <c r="G124" i="10"/>
  <c r="G134" i="10" s="1"/>
  <c r="O124" i="10"/>
  <c r="U124" i="10"/>
  <c r="M124" i="10"/>
  <c r="K124" i="10"/>
  <c r="S124" i="10"/>
  <c r="M134" i="10" l="1"/>
  <c r="M135" i="10"/>
  <c r="U135" i="10"/>
  <c r="U134" i="10"/>
  <c r="S135" i="10"/>
  <c r="S134" i="10"/>
  <c r="O135" i="10"/>
  <c r="O134" i="10"/>
  <c r="K135" i="10"/>
  <c r="K134" i="10"/>
  <c r="G126" i="10"/>
  <c r="I126" i="10" s="1"/>
  <c r="K126" i="10" s="1"/>
  <c r="M126" i="10" s="1"/>
  <c r="O126" i="10" s="1"/>
  <c r="Q126" i="10" s="1"/>
  <c r="S126" i="10" s="1"/>
  <c r="U126" i="10" s="1"/>
  <c r="G135" i="10"/>
  <c r="I136" i="10"/>
  <c r="Q136" i="10"/>
  <c r="K136" i="10" l="1"/>
  <c r="S141" i="10" s="1"/>
  <c r="U144" i="10"/>
  <c r="S144" i="10"/>
  <c r="Q141" i="10"/>
  <c r="U141" i="10"/>
  <c r="M141" i="10"/>
  <c r="U140" i="10"/>
  <c r="M140" i="10"/>
  <c r="Q140" i="10"/>
  <c r="O140" i="10"/>
  <c r="S140" i="10"/>
  <c r="K140" i="10"/>
  <c r="U136" i="10"/>
  <c r="S136" i="10"/>
  <c r="U145" i="10" s="1"/>
  <c r="G136" i="10"/>
  <c r="M136" i="10"/>
  <c r="O136" i="10"/>
  <c r="O141" i="10" l="1"/>
  <c r="I139" i="10"/>
  <c r="I150" i="10" s="1"/>
  <c r="I152" i="10" s="1"/>
  <c r="K139" i="10"/>
  <c r="K150" i="10" s="1"/>
  <c r="K152" i="10" s="1"/>
  <c r="S143" i="10"/>
  <c r="Q143" i="10"/>
  <c r="U143" i="10"/>
  <c r="Q142" i="10"/>
  <c r="O142" i="10"/>
  <c r="U142" i="10"/>
  <c r="S142" i="10"/>
  <c r="S139" i="10"/>
  <c r="M139" i="10"/>
  <c r="M150" i="10" s="1"/>
  <c r="M152" i="10" s="1"/>
  <c r="U139" i="10"/>
  <c r="Q139" i="10"/>
  <c r="O139" i="10"/>
  <c r="U150" i="10" l="1"/>
  <c r="U152" i="10" s="1"/>
  <c r="I153" i="10"/>
  <c r="K153" i="10" s="1"/>
  <c r="M153" i="10" s="1"/>
  <c r="I151" i="10"/>
  <c r="F24" i="12"/>
  <c r="I157" i="10"/>
  <c r="I160" i="10" s="1"/>
  <c r="I167" i="10" s="1"/>
  <c r="S150" i="10"/>
  <c r="S152" i="10" s="1"/>
  <c r="H24" i="12"/>
  <c r="G24" i="12"/>
  <c r="G17" i="12"/>
  <c r="F17" i="12"/>
  <c r="I158" i="10"/>
  <c r="I161" i="10" s="1"/>
  <c r="I164" i="10" s="1"/>
  <c r="Q150" i="10"/>
  <c r="Q152" i="10" s="1"/>
  <c r="O150" i="10"/>
  <c r="O152" i="10" s="1"/>
  <c r="M158" i="10"/>
  <c r="M161" i="10" s="1"/>
  <c r="M157" i="10"/>
  <c r="M160" i="10" s="1"/>
  <c r="K157" i="10"/>
  <c r="K160" i="10" s="1"/>
  <c r="K158" i="10"/>
  <c r="K161" i="10" s="1"/>
  <c r="I199" i="10" l="1"/>
  <c r="J199" i="10" s="1"/>
  <c r="K199" i="10" s="1"/>
  <c r="I200" i="10"/>
  <c r="J200" i="10" s="1"/>
  <c r="K200" i="10" s="1"/>
  <c r="G25" i="12"/>
  <c r="H18" i="12"/>
  <c r="F25" i="12"/>
  <c r="F26" i="12" s="1"/>
  <c r="F18" i="12"/>
  <c r="F19" i="12" s="1"/>
  <c r="H25" i="12"/>
  <c r="K151" i="10"/>
  <c r="M151" i="10" s="1"/>
  <c r="O151" i="10" s="1"/>
  <c r="Q151" i="10" s="1"/>
  <c r="S151" i="10" s="1"/>
  <c r="I17" i="12"/>
  <c r="O153" i="10"/>
  <c r="Q153" i="10" s="1"/>
  <c r="G18" i="12"/>
  <c r="S158" i="10"/>
  <c r="S161" i="10" s="1"/>
  <c r="K24" i="12"/>
  <c r="I168" i="10"/>
  <c r="I169" i="10" s="1"/>
  <c r="I203" i="10" s="1"/>
  <c r="K17" i="12"/>
  <c r="I163" i="10"/>
  <c r="I165" i="10" s="1"/>
  <c r="I202" i="10" s="1"/>
  <c r="I208" i="10" s="1"/>
  <c r="S157" i="10"/>
  <c r="S160" i="10" s="1"/>
  <c r="S163" i="10" s="1"/>
  <c r="L24" i="12"/>
  <c r="L17" i="12"/>
  <c r="U158" i="10"/>
  <c r="U161" i="10" s="1"/>
  <c r="U164" i="10" s="1"/>
  <c r="J24" i="12"/>
  <c r="J17" i="12"/>
  <c r="Q158" i="10"/>
  <c r="Q161" i="10" s="1"/>
  <c r="Q168" i="10" s="1"/>
  <c r="U157" i="10"/>
  <c r="U160" i="10" s="1"/>
  <c r="Q157" i="10"/>
  <c r="Q160" i="10" s="1"/>
  <c r="Q163" i="10" s="1"/>
  <c r="O157" i="10"/>
  <c r="O160" i="10" s="1"/>
  <c r="O163" i="10" s="1"/>
  <c r="I24" i="12"/>
  <c r="O158" i="10"/>
  <c r="O161" i="10" s="1"/>
  <c r="O168" i="10" s="1"/>
  <c r="M167" i="10"/>
  <c r="M163" i="10"/>
  <c r="M164" i="10"/>
  <c r="M168" i="10"/>
  <c r="K167" i="10"/>
  <c r="K163" i="10"/>
  <c r="K164" i="10"/>
  <c r="K168" i="10"/>
  <c r="L199" i="10" l="1"/>
  <c r="G26" i="12"/>
  <c r="H26" i="12" s="1"/>
  <c r="G19" i="12"/>
  <c r="H19" i="12" s="1"/>
  <c r="M199" i="10"/>
  <c r="N199" i="10" s="1"/>
  <c r="O199" i="10" s="1"/>
  <c r="L200" i="10"/>
  <c r="M200" i="10" s="1"/>
  <c r="N200" i="10" s="1"/>
  <c r="O200" i="10" s="1"/>
  <c r="S153" i="10"/>
  <c r="U153" i="10" s="1"/>
  <c r="K25" i="12"/>
  <c r="I25" i="12"/>
  <c r="L18" i="12"/>
  <c r="J18" i="12"/>
  <c r="L25" i="12"/>
  <c r="J25" i="12"/>
  <c r="K18" i="12"/>
  <c r="I18" i="12"/>
  <c r="S167" i="10"/>
  <c r="O164" i="10"/>
  <c r="O165" i="10" s="1"/>
  <c r="L202" i="10" s="1"/>
  <c r="Q167" i="10"/>
  <c r="Q169" i="10" s="1"/>
  <c r="M203" i="10" s="1"/>
  <c r="U168" i="10"/>
  <c r="Q164" i="10"/>
  <c r="Q165" i="10" s="1"/>
  <c r="M202" i="10" s="1"/>
  <c r="O167" i="10"/>
  <c r="O169" i="10" s="1"/>
  <c r="L203" i="10" s="1"/>
  <c r="U167" i="10"/>
  <c r="U163" i="10"/>
  <c r="U165" i="10" s="1"/>
  <c r="O202" i="10" s="1"/>
  <c r="S168" i="10"/>
  <c r="S169" i="10" s="1"/>
  <c r="N203" i="10" s="1"/>
  <c r="S164" i="10"/>
  <c r="S165" i="10" s="1"/>
  <c r="N202" i="10" s="1"/>
  <c r="M165" i="10"/>
  <c r="K202" i="10" s="1"/>
  <c r="M169" i="10"/>
  <c r="K203" i="10" s="1"/>
  <c r="K165" i="10"/>
  <c r="J202" i="10" s="1"/>
  <c r="K169" i="10"/>
  <c r="J203" i="10" s="1"/>
  <c r="I171" i="10"/>
  <c r="F31" i="12" l="1"/>
  <c r="F32" i="12" s="1"/>
  <c r="F33" i="12" s="1"/>
  <c r="I26" i="12"/>
  <c r="J26" i="12" s="1"/>
  <c r="K26" i="12" s="1"/>
  <c r="L26" i="12" s="1"/>
  <c r="K208" i="10"/>
  <c r="N208" i="10"/>
  <c r="I19" i="12"/>
  <c r="J19" i="12" s="1"/>
  <c r="K19" i="12" s="1"/>
  <c r="L19" i="12" s="1"/>
  <c r="L208" i="10"/>
  <c r="J208" i="10"/>
  <c r="M208" i="10"/>
  <c r="U169" i="10"/>
  <c r="O171" i="10"/>
  <c r="Q171" i="10"/>
  <c r="K171" i="10"/>
  <c r="M171" i="10"/>
  <c r="S171" i="10"/>
  <c r="K31" i="12" l="1"/>
  <c r="K32" i="12" s="1"/>
  <c r="H31" i="12"/>
  <c r="H32" i="12" s="1"/>
  <c r="G31" i="12"/>
  <c r="G32" i="12" s="1"/>
  <c r="G33" i="12" s="1"/>
  <c r="H33" i="12" s="1"/>
  <c r="J31" i="12"/>
  <c r="J32" i="12" s="1"/>
  <c r="I31" i="12"/>
  <c r="I32" i="12" s="1"/>
  <c r="U171" i="10"/>
  <c r="O203" i="10"/>
  <c r="O208" i="10" s="1"/>
  <c r="I33" i="12" l="1"/>
  <c r="J33" i="12" s="1"/>
  <c r="K33" i="12" s="1"/>
  <c r="L31" i="12"/>
  <c r="L32" i="12" s="1"/>
  <c r="L33"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tc={5B60EAFF-C4CC-4B59-AA17-58E376F8A518}</author>
    <author>tc={D862C7CA-767F-4F66-85AD-95A5C2BEF3FE}</author>
    <author>tc={996A9292-684B-42AF-94DF-023B614F94A8}</author>
    <author>tc={4FD2BFCA-3714-449C-9497-5D9E87225487}</author>
    <author>tc={244083F6-2913-4806-AED1-02312842A43E}</author>
    <author>tc={EFDF89E9-21AD-4413-B077-9664D23D2B98}</author>
    <author>tc={32A9465E-029A-4112-AFCD-1A9CA6534480}</author>
    <author>tc={9F521B18-5C48-47B0-BA19-F12EC2214461}</author>
    <author>tc={FFF450B0-691F-4AB5-8EB2-49159F82B366}</author>
    <author>tc={C6BADD48-6100-4C5B-80F2-03A4D5CA5635}</author>
  </authors>
  <commentList>
    <comment ref="B111" authorId="0" shapeId="0" xr:uid="{5B60EAFF-C4CC-4B59-AA17-58E376F8A518}">
      <text>
        <t>[Threaded comment]
Your version of Excel allows you to read this threaded comment; however, any edits to it will get removed if the file is opened in a newer version of Excel. Learn more: https://go.microsoft.com/fwlink/?linkid=870924
Comment:
    Ühekordne mõju</t>
      </text>
    </comment>
    <comment ref="D111" authorId="1" shapeId="0" xr:uid="{D862C7CA-767F-4F66-85AD-95A5C2BEF3FE}">
      <text>
        <t>[Threaded comment]
Your version of Excel allows you to read this threaded comment; however, any edits to it will get removed if the file is opened in a newer version of Excel. Learn more: https://go.microsoft.com/fwlink/?linkid=870924
Comment:
    Ühekordne mõju</t>
      </text>
    </comment>
    <comment ref="F111" authorId="2" shapeId="0" xr:uid="{996A9292-684B-42AF-94DF-023B614F94A8}">
      <text>
        <t>[Threaded comment]
Your version of Excel allows you to read this threaded comment; however, any edits to it will get removed if the file is opened in a newer version of Excel. Learn more: https://go.microsoft.com/fwlink/?linkid=870924
Comment:
    Ühekordne mõju</t>
      </text>
    </comment>
    <comment ref="H111" authorId="3" shapeId="0" xr:uid="{4FD2BFCA-3714-449C-9497-5D9E87225487}">
      <text>
        <t>[Threaded comment]
Your version of Excel allows you to read this threaded comment; however, any edits to it will get removed if the file is opened in a newer version of Excel. Learn more: https://go.microsoft.com/fwlink/?linkid=870924
Comment:
    Ühekordne mõju</t>
      </text>
    </comment>
    <comment ref="J111" authorId="4" shapeId="0" xr:uid="{244083F6-2913-4806-AED1-02312842A43E}">
      <text>
        <t>[Threaded comment]
Your version of Excel allows you to read this threaded comment; however, any edits to it will get removed if the file is opened in a newer version of Excel. Learn more: https://go.microsoft.com/fwlink/?linkid=870924
Comment:
    Ühekordne mõju</t>
      </text>
    </comment>
    <comment ref="L111" authorId="5" shapeId="0" xr:uid="{EFDF89E9-21AD-4413-B077-9664D23D2B98}">
      <text>
        <t>[Threaded comment]
Your version of Excel allows you to read this threaded comment; however, any edits to it will get removed if the file is opened in a newer version of Excel. Learn more: https://go.microsoft.com/fwlink/?linkid=870924
Comment:
    Ühekordne mõju</t>
      </text>
    </comment>
    <comment ref="N111" authorId="6" shapeId="0" xr:uid="{32A9465E-029A-4112-AFCD-1A9CA6534480}">
      <text>
        <t>[Threaded comment]
Your version of Excel allows you to read this threaded comment; however, any edits to it will get removed if the file is opened in a newer version of Excel. Learn more: https://go.microsoft.com/fwlink/?linkid=870924
Comment:
    Ühekordne mõju</t>
      </text>
    </comment>
    <comment ref="P111" authorId="7" shapeId="0" xr:uid="{9F521B18-5C48-47B0-BA19-F12EC2214461}">
      <text>
        <t>[Threaded comment]
Your version of Excel allows you to read this threaded comment; however, any edits to it will get removed if the file is opened in a newer version of Excel. Learn more: https://go.microsoft.com/fwlink/?linkid=870924
Comment:
    Ühekordne mõju</t>
      </text>
    </comment>
    <comment ref="R111" authorId="8" shapeId="0" xr:uid="{FFF450B0-691F-4AB5-8EB2-49159F82B366}">
      <text>
        <t>[Threaded comment]
Your version of Excel allows you to read this threaded comment; however, any edits to it will get removed if the file is opened in a newer version of Excel. Learn more: https://go.microsoft.com/fwlink/?linkid=870924
Comment:
    Ühekordne mõju</t>
      </text>
    </comment>
    <comment ref="T111" authorId="9" shapeId="0" xr:uid="{C6BADD48-6100-4C5B-80F2-03A4D5CA5635}">
      <text>
        <t>[Threaded comment]
Your version of Excel allows you to read this threaded comment; however, any edits to it will get removed if the file is opened in a newer version of Excel. Learn more: https://go.microsoft.com/fwlink/?linkid=870924
Comment:
    Ühekordne mõju</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tc={3D97E7BD-600F-4142-87BA-5BE059C169C2}</author>
    <author>tc={186EEA35-F1EA-4002-8A90-9E4707F642DF}</author>
  </authors>
  <commentList>
    <comment ref="B60" authorId="0" shapeId="0" xr:uid="{3D97E7BD-600F-4142-87BA-5BE059C169C2}">
      <text>
        <t>[Threaded comment]
Your version of Excel allows you to read this threaded comment; however, any edits to it will get removed if the file is opened in a newer version of Excel. Learn more: https://go.microsoft.com/fwlink/?linkid=870924
Comment:
    Täpsema info puudumise tõttu kasutati maagaasi eriheitefaktorit</t>
      </text>
    </comment>
    <comment ref="B149" authorId="1" shapeId="0" xr:uid="{186EEA35-F1EA-4002-8A90-9E4707F642DF}">
      <text>
        <t>[Threaded comment]
Your version of Excel allows you to read this threaded comment; however, any edits to it will get removed if the file is opened in a newer version of Excel. Learn more: https://go.microsoft.com/fwlink/?linkid=870924
Comment:
    Ühekordne mõju</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tc={5470C796-B84C-48CA-B4BE-7987441F7392}</author>
  </authors>
  <commentList>
    <comment ref="B147" authorId="0" shapeId="0" xr:uid="{5470C796-B84C-48CA-B4BE-7987441F7392}">
      <text>
        <t>[Threaded comment]
Your version of Excel allows you to read this threaded comment; however, any edits to it will get removed if the file is opened in a newer version of Excel. Learn more: https://go.microsoft.com/fwlink/?linkid=870924
Comment:
    Ühekordne mõju</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tc={269381A5-3B43-4F38-9EFD-F176756528B2}</author>
  </authors>
  <commentList>
    <comment ref="A112" authorId="0" shapeId="0" xr:uid="{269381A5-3B43-4F38-9EFD-F176756528B2}">
      <text>
        <t>[Threaded comment]
Your version of Excel allows you to read this threaded comment; however, any edits to it will get removed if the file is opened in a newer version of Excel. Learn more: https://go.microsoft.com/fwlink/?linkid=870924
Comment:
    2018 esmaselt registreeritud sõoduauto kõige kõrgem CO2 tase (g/km)</t>
      </text>
    </comment>
  </commentList>
</comments>
</file>

<file path=xl/sharedStrings.xml><?xml version="1.0" encoding="utf-8"?>
<sst xmlns="http://schemas.openxmlformats.org/spreadsheetml/2006/main" count="731" uniqueCount="340">
  <si>
    <r>
      <t>Käesolev arvutustabel on lisa Majandus- ja Kommunikatsiooniministeeriumi tellimusel teostatud uuringule "</t>
    </r>
    <r>
      <rPr>
        <b/>
        <i/>
        <sz val="20"/>
        <color rgb="FF000000"/>
        <rFont val="Garamond"/>
        <family val="1"/>
        <charset val="186"/>
      </rPr>
      <t>Riikliku energiasäästukohustuse täitmiseks sobilike finantsmeetmete arvutusmetoodikate väljatöötamine ja energiasäästu potentsiaali hindamine</t>
    </r>
    <r>
      <rPr>
        <b/>
        <sz val="20"/>
        <color rgb="FF000000"/>
        <rFont val="Garamond"/>
        <family val="1"/>
        <charset val="186"/>
      </rPr>
      <t>"</t>
    </r>
  </si>
  <si>
    <t xml:space="preserve">Arvutustabelis on uuringu läbiviijad tuginenud sisendandmete osas Statistikaameti ja Eurostati poolt avalikustatud või käesoleva uuringu jaoks eraldi päritud andmetele, rahvusvaheliste organisatsioonide poolt avalikustatud andmetele, tellija poolt edastatud andmetele ja asjakohastele teistele teadus- ja rakendusuuringutele või teistele allikatele. Allikad on arvutustabeli vastavatel töölehtedel eraldi välja toodud </t>
  </si>
  <si>
    <t>Arvutustabelis sisalduvad tulemid sõltuvad täiel määral arvutusteks kasutatud andmeallikatest ja nendes sisalduvates andmete kvaliteedist ja piirangutest. Saamaks parimat pilti arvutuste tulemustest ehk siis hinnangust arvutuslikule energiatarbimisele ja arvutuslikule säästule, tuleb arvutuste vastavaid andmevälju iga-aastaselt uuendada ajaliselt asjakohaste andmetega. Lisaks enne edasiste otsuste tegemist alternatiivsete meetmetena väljatoodud uute maksude kehtestamist Eestis (sõiduautode registreerimis ja aastamaks) soovitab töö teostaja, et vastavad institutsioonid viivad läbi detailse analüüsi, mille eesmärgiks on luua antud maksude optimaalne struktuur ja ülesehitus.</t>
  </si>
  <si>
    <t>Värvikoodid</t>
  </si>
  <si>
    <t>Arvutustabelis on asjakohased sisendandmed tähistatud heleoranži värviga (vastavaid sisendeid tuleb kohandada kui tekivad uued ajakohased andmed)</t>
  </si>
  <si>
    <t>Arvutustabelis on asjakohased arvutuste tulemusena olevad andmed tähistatud helesinise värviga (töötavad automaatselt, vajaduseta mitte muuta)</t>
  </si>
  <si>
    <t>Arvutuste muutmisel või värskendamisel on soovituslik sisestada uuendatud andmed heleoranzi värviga tähistatud andmeväljadesse</t>
  </si>
  <si>
    <t>Töölehed</t>
  </si>
  <si>
    <t>• Tööleht  "Kokkuvõte" esitab tervikpildi käesolevas arvutustabelis kasutatud alternatiivsetest maksumeetmetest prognoositud säästust</t>
  </si>
  <si>
    <t>• Töölehed "Teekasutus (aja)", st "Aastamaks jne, sisaldavad konkreetsete alternatiivse maksumeetmetest genereeritava säästu arvutusi ja kasutatavaid eeldusi</t>
  </si>
  <si>
    <t>• Tööleht  "Registreerimismaksu määr" sisaldab registreerimismaksu arvutusteks kasutatava määra tuletamise arvutusi</t>
  </si>
  <si>
    <t>Kokkuvõte</t>
  </si>
  <si>
    <t>Eeldus:</t>
  </si>
  <si>
    <t>On tehtud oletus, et kui aastamaks ja/või registreerimismaks võetakse kasutusele, siis rakenduvad antud maksud alates 2023 aastast (Aasta 3), kuna maksude detailne ülesehitus ja planeerimine ning poliitiline vastuvõtmine võtab aega.</t>
  </si>
  <si>
    <t>Aasta</t>
  </si>
  <si>
    <t>Igaaastane sääst: ajapõhine teekasutustasu</t>
  </si>
  <si>
    <t>Igaaastane sääst: sõiduautode aastamaks</t>
  </si>
  <si>
    <t>Igaaastane sääst: sõiduautode registreerimismaks (1)</t>
  </si>
  <si>
    <t>Igaaastane sääst: sõiduautode registreerimismaks (2)</t>
  </si>
  <si>
    <t>Kokku igaaastane sääst</t>
  </si>
  <si>
    <t>Kumulatiivne energiasääst (GWh)</t>
  </si>
  <si>
    <t>Igaaastane CO2 sääst: ajapõhine teekasutustasu</t>
  </si>
  <si>
    <t>Igaaastane CO2 sääst: sõiduautode aastamaks</t>
  </si>
  <si>
    <t>Igaaastane CO2 sääst: sõiduautode registreerimismaks (1)</t>
  </si>
  <si>
    <t>Igaaastane CO2 sääst: sõiduautode registreerimismaks (2)</t>
  </si>
  <si>
    <t>Kokku igaaastane CO2 sääst</t>
  </si>
  <si>
    <t>Kumulatiivne CO2 sääst (tuh t CO2 eq/GWh)</t>
  </si>
  <si>
    <t>Eelarveline mõju: ajapõhine teekasutustasu</t>
  </si>
  <si>
    <t>Eelarveline mõju: sõiduautode aastamaks</t>
  </si>
  <si>
    <t>Eelarveline mõju: sõiduautode registreerimismaks (1)</t>
  </si>
  <si>
    <t>Eelarveline mõju: sõiduautode registreerimismaks (2)</t>
  </si>
  <si>
    <t>Kokku eelarveline mõju</t>
  </si>
  <si>
    <t>Kumulatiivne eelarveline mõju</t>
  </si>
  <si>
    <t>Eeldused</t>
  </si>
  <si>
    <t>Allikad</t>
  </si>
  <si>
    <t>Veokite koguarv Eestis (2018)</t>
  </si>
  <si>
    <t>KPMG analüüs Maanteeameti statistikast (liiklusregistris arvel olevad veoautod, https://www.mnt.ee/et/ametist/statistika/soidukid/soidukitega-tehtud-toimingute-statistika#tab-1)</t>
  </si>
  <si>
    <t>Üle 3.5t veokite koguarv Eestis (2018)</t>
  </si>
  <si>
    <t>Üle 3.5t veokite osakaal</t>
  </si>
  <si>
    <t>Veokite kogu siseriiklik läbisõit (2018, km)</t>
  </si>
  <si>
    <t>Maanteeamet: Autopargi läbisõit 2018 (https://www.mnt.ee/sites/default/files/survey/labisoit_2018.pdf)</t>
  </si>
  <si>
    <t>Vahe Eesti ja välismaiste veokite läbisõidus (km)</t>
  </si>
  <si>
    <t>EY (Transpordimaksude rakendamise võimalused Eestis, https://www.riigikantselei.ee/sites/default/files/content-editors/uuringud/ey_transpordimaksud_lopparuanne_2015_final.pdf)</t>
  </si>
  <si>
    <t>Välismaiste veokite kogu läbisõit (km)</t>
  </si>
  <si>
    <t>Kogu veokite siseriiklik läbisõit (km)</t>
  </si>
  <si>
    <t>Üle 3.5t veokite läbisõit kogu läbisõidust (km)</t>
  </si>
  <si>
    <t>Ajapõhise teekasutustasu kulu maanteetranspordi sektorile (2018, €)</t>
  </si>
  <si>
    <r>
      <t xml:space="preserve">Maksu ja Tolliameti vastus KPMG päringule (kogu teenitud tulu maksult on kulu transpordi sektorile, </t>
    </r>
    <r>
      <rPr>
        <i/>
        <sz val="11"/>
        <color theme="1"/>
        <rFont val="Calibri"/>
        <family val="2"/>
        <charset val="186"/>
        <scheme val="minor"/>
      </rPr>
      <t>Teekasutustasu andmed alates 2018.a.xlsx</t>
    </r>
    <r>
      <rPr>
        <sz val="11"/>
        <color theme="1"/>
        <rFont val="Calibri"/>
        <family val="2"/>
        <scheme val="minor"/>
      </rPr>
      <t>)</t>
    </r>
  </si>
  <si>
    <t>Maanteetranspordi kogutulu (2017, €)</t>
  </si>
  <si>
    <t>KPMG, Statistikaameti andmete põhjal (Andmestik:EM001: Ettevõtete tulud, kulud ja kasum tegevusala (EMTAK 2008) ja tööga hõivatud isikute arvu  järgi (2005-2017), H494 Kaubavedu maanteel ja kolimisteenused)</t>
  </si>
  <si>
    <t>Maanteetranspordi keskmine töötajate arv (2017, €)</t>
  </si>
  <si>
    <t>Maanteetranspordi keskmine tulu muutus (2010-2017)</t>
  </si>
  <si>
    <t>Prognoositav maanteetranspordi kogutulu (2018, €)</t>
  </si>
  <si>
    <t>Transpordisektori lisandväärtuse ja kogutoodangu suhe</t>
  </si>
  <si>
    <t>https://stats.oecd.org/Index.aspx?DataSetCode=IOTSI4_2018#</t>
  </si>
  <si>
    <t>Hinnaelastsus</t>
  </si>
  <si>
    <t>Price sensitivity of European road freight transport – towards a better understanding of existing results (https://www.cedelft.eu/en/publications/1130/price-sensitivity-of-road-freight-transport-towards-a-better-understanding-of-existing-results)</t>
  </si>
  <si>
    <t>Eesti veokite energiatarve EURO klasside raames (2018)</t>
  </si>
  <si>
    <t>Osakaal kogu tarbest</t>
  </si>
  <si>
    <t>HDV Euro &lt;III (TJ)</t>
  </si>
  <si>
    <t>MKM (Transport_kytuse tarbimine_1990-2018.xlsx)</t>
  </si>
  <si>
    <t>HDV Euro III (TJ)</t>
  </si>
  <si>
    <t>HDV Euro IV (TJ)</t>
  </si>
  <si>
    <t>HDV Euro V (TJ)</t>
  </si>
  <si>
    <t>HDV Euro VI (TJ)</t>
  </si>
  <si>
    <t>Kokku (TJ)</t>
  </si>
  <si>
    <t>Veokite kütusetarve l/100km EURO klasside raames</t>
  </si>
  <si>
    <t>Veokite kütusekulu paranemine</t>
  </si>
  <si>
    <t xml:space="preserve"> https://www.scania.com/group/en/home/newsroom/news/2017/25-percent-less-fuel-consumption-in-24-years.html</t>
  </si>
  <si>
    <t>HDV Euro (&lt;III)</t>
  </si>
  <si>
    <t xml:space="preserve">HDV Euro III </t>
  </si>
  <si>
    <r>
      <t>MKM ja Scania (Johann Peetre email</t>
    </r>
    <r>
      <rPr>
        <i/>
        <sz val="11"/>
        <color theme="1"/>
        <rFont val="Calibri"/>
        <family val="2"/>
        <charset val="186"/>
        <scheme val="minor"/>
      </rPr>
      <t xml:space="preserve"> " Transpordi meetmed"</t>
    </r>
    <r>
      <rPr>
        <sz val="11"/>
        <color theme="1"/>
        <rFont val="Calibri"/>
        <family val="2"/>
        <scheme val="minor"/>
      </rPr>
      <t>, 24.04.2020)</t>
    </r>
  </si>
  <si>
    <t xml:space="preserve">HDV Euro IV </t>
  </si>
  <si>
    <t xml:space="preserve">HDV Euro V </t>
  </si>
  <si>
    <t xml:space="preserve">HDV Euro VI </t>
  </si>
  <si>
    <t>Diisli energiamahukus (GJ/t)</t>
  </si>
  <si>
    <t>International Energy Agency, Energy Statistics Manual (https://ec.europa.eu/eurostat/documents/3859598/5885369/NRG-2004-EN.PDF/b3c4b86f-8e88-4ca6-9188-b95320900b3f)</t>
  </si>
  <si>
    <t>Diisli erikaal (l/kg)</t>
  </si>
  <si>
    <t>Diisli aktsiisimäär (€/1000l)</t>
  </si>
  <si>
    <t>Maksu ja Tolliamet (https://www.emta.ee/et/ariklient/aktsiisid-vara-hasartmang/uldist/aktsiisimaarad)</t>
  </si>
  <si>
    <t>Diisli eriheide (t CO2 eq /GWh)</t>
  </si>
  <si>
    <t>KPMG tuletus SEI uuringu andmete põhjal (Stockholm Environmental Institute (SEI, 2019) – Eesti kliimaambitsiooni tõstmise võimaluste analüüs)</t>
  </si>
  <si>
    <t>GJ to TJ</t>
  </si>
  <si>
    <t>TJ to GWh</t>
  </si>
  <si>
    <t>kg to t</t>
  </si>
  <si>
    <t>Eesti SKP (2018)</t>
  </si>
  <si>
    <t>Statistikaamet (SKP jooksevhindades; sesoonselt ja tööpäevade arvuga korrigeeritud, https://www.stat.ee/stat-skp-jooksevhindades)</t>
  </si>
  <si>
    <t>Ühekordne maksu seadistamise kulu (€)</t>
  </si>
  <si>
    <t>Aluseks on võetud antud maksu esimese lugemise seletuskirjas (eelnõu 419SE) väljatoodud maksu rakendamisega seotud kulud (https://www.riigikogu.ee/tegevus/eelnoud/eelnou/5a35cad0-60db-43b6-8098-3782de124297/Liiklusseaduse%20muutmise%20ja%20sellega%20seonduvalt%20teiste%20seaduste%20muutmise%20seadus)</t>
  </si>
  <si>
    <t>Keskmine maksude administreerimise kulu osakaal maksutulust</t>
  </si>
  <si>
    <t xml:space="preserve">Maksu ja Tolliamet (https://www.emta.ee/sites/default/files/kontaktid-ja-ametist/ameti-struktuur-ulesanded-strateegia/strateegia/mta_kokkuvote_2019.pdf) </t>
  </si>
  <si>
    <t>Energiasäästu arvutus</t>
  </si>
  <si>
    <t>Teekasutustasust tulenev hinnatõus</t>
  </si>
  <si>
    <t>Muutus läbisõidus</t>
  </si>
  <si>
    <t>Muutus läbisõidus (km)</t>
  </si>
  <si>
    <t>Läbisõidu vähenemine energiatarve osakaalude alusel</t>
  </si>
  <si>
    <t>HDV Euro &lt;III (km)</t>
  </si>
  <si>
    <t>HDV Euro III (km)</t>
  </si>
  <si>
    <t>HDV Euro IV (km)</t>
  </si>
  <si>
    <t>HDV Euro V (km)</t>
  </si>
  <si>
    <t>HDV Euro VI (km)</t>
  </si>
  <si>
    <t>Säästetud diisli hulk EURO klasside raames</t>
  </si>
  <si>
    <t>Liiter</t>
  </si>
  <si>
    <t>Tonn</t>
  </si>
  <si>
    <t>Kokku</t>
  </si>
  <si>
    <t>Energiasääst aastas</t>
  </si>
  <si>
    <t>GJ</t>
  </si>
  <si>
    <t>TJ</t>
  </si>
  <si>
    <t>GWh</t>
  </si>
  <si>
    <t>HDV Euro II (TJ)</t>
  </si>
  <si>
    <t>Majanduslik mõju</t>
  </si>
  <si>
    <t>Maksutulu</t>
  </si>
  <si>
    <t xml:space="preserve">Saamata diisli aktsiis </t>
  </si>
  <si>
    <t>Säästetud diisli kogus</t>
  </si>
  <si>
    <t>Diisli aktsiis (€/l)</t>
  </si>
  <si>
    <t>Saamata aktsiisitulu</t>
  </si>
  <si>
    <t>Maanteetranspordi kogutodangu vähenemine</t>
  </si>
  <si>
    <t>Mõju SKP-le maanteetranspordi kogutoodangu vähenemisest</t>
  </si>
  <si>
    <t>Osakall kogu SKP-st</t>
  </si>
  <si>
    <t>Esialgne maksu seadistamise kulu</t>
  </si>
  <si>
    <t>Maksu administratiiv kulu</t>
  </si>
  <si>
    <t>Üks aasta</t>
  </si>
  <si>
    <t>Energiasääst (GWh)</t>
  </si>
  <si>
    <t>Energiasääst (t CO2 eq)</t>
  </si>
  <si>
    <t>Maksutulu (€)</t>
  </si>
  <si>
    <t>Saamata aktsiistulu (€)</t>
  </si>
  <si>
    <t>Maanteetranspordi kogutodangu vähenemine (€)</t>
  </si>
  <si>
    <t>SKP vähenemine (€)</t>
  </si>
  <si>
    <t>Ühekordne maksu seadistamise kulu</t>
  </si>
  <si>
    <t>Administratiiv kulu (€)</t>
  </si>
  <si>
    <t>Kulu kokku (€)</t>
  </si>
  <si>
    <t>Majanduslik mõju (€)</t>
  </si>
  <si>
    <t>10 aastane periood</t>
  </si>
  <si>
    <t>Perioodi number</t>
  </si>
  <si>
    <t xml:space="preserve">Kumulatiivne energiasääst </t>
  </si>
  <si>
    <t>CO2 sääst (tuh t CO2 eq)</t>
  </si>
  <si>
    <t>Kumulatiivne sääst heitekogustes</t>
  </si>
  <si>
    <t>Majanduslik mõju (negatiivne tähendab kulu, €)</t>
  </si>
  <si>
    <t>Kumulatiivne majanduslik mõju (negatiivne tähendab kulu,€)</t>
  </si>
  <si>
    <t>Allikas</t>
  </si>
  <si>
    <t>Aktiivse registrikandega sõiduautod (2018)</t>
  </si>
  <si>
    <t>Liiklusloenduse tulemused 2019. aastal (Teede tehnokeskus, https://www.mnt.ee/sites/default/files/content-editors/Failid/Liiklusloendus/2019/2_ll2019_aruanne.pdf)</t>
  </si>
  <si>
    <t>Aktiivse registrikandega sõiduautod (CO2 0-120 g/km)</t>
  </si>
  <si>
    <t>KPMG analüüs Maanteeameti statistikast (arvel olevad sõidukid, https://www.mnt.ee/et/ametist/statistika/soidukid/soidukitega-tehtud-toimingute-statistika#tab-1)</t>
  </si>
  <si>
    <t xml:space="preserve">Maksustatud aktiivse registrikandega sõiduautod </t>
  </si>
  <si>
    <t>Sõiduautode kütusekulu (2018)</t>
  </si>
  <si>
    <t>Bensiin (TJ)</t>
  </si>
  <si>
    <t>MKMi transpordiosakonna poolt jagatud fail (Transport_kytuse tarbimine_1990-2018.xlsx)</t>
  </si>
  <si>
    <t>Diisel (TJ)</t>
  </si>
  <si>
    <t>LPG (TJ)</t>
  </si>
  <si>
    <t>Kogu autopargi läbisõit (2018, km)</t>
  </si>
  <si>
    <t>Sõiduautode läbisõit (2018, km)</t>
  </si>
  <si>
    <t>Energiakulu kilomeetri kohta (TJ)</t>
  </si>
  <si>
    <t>Keskmine sõiduauto läbisõit aastas (km)</t>
  </si>
  <si>
    <t>Kodumajapidamiste kulu isiklikule sõiduvahendile (2018)</t>
  </si>
  <si>
    <t>Sõidukite ostmise kulu (€)</t>
  </si>
  <si>
    <t>OECD: Kodumajapidamiste kulutused (Final consumption expenditure of households, Estonia, Transport, https://stats.oecd.org/Index.aspx?DataSetCode=SNA_TABLE5)</t>
  </si>
  <si>
    <t>Isikliku sõidukivahendi kasutuse kulu (€)</t>
  </si>
  <si>
    <t>Kokku (€)</t>
  </si>
  <si>
    <t>Kulu sõiduki kohta (€)</t>
  </si>
  <si>
    <t>Sõidukite aastamaksu efektiivse määra osakaal aastasest sõidukikulust</t>
  </si>
  <si>
    <t>Sõidukite aastamaksu keskmine efektiivne määr (€)</t>
  </si>
  <si>
    <t>Autoomamise hinnaelastsus</t>
  </si>
  <si>
    <t>EUROPEAN COMMISSION - DG Taxation and Customs Union (Annex 1, https://ec.europa.eu/taxation_customs/sites/taxation/files/resources/documents/vehicle_tax_study_15-02-2002.pdf)</t>
  </si>
  <si>
    <t>Läbisõidu ja SKP elastsus</t>
  </si>
  <si>
    <t>Bensiini energiamahukus (GJ/t)</t>
  </si>
  <si>
    <t>Bensiini erikaal (l/kg)</t>
  </si>
  <si>
    <t>Kütuse kogus (l)</t>
  </si>
  <si>
    <t>KPMG</t>
  </si>
  <si>
    <t>Bensiini aktsiisimäär (€/1000l)</t>
  </si>
  <si>
    <t>Bensiini jaehind (€/l)</t>
  </si>
  <si>
    <t>International Energy Agency, Energy Prices and Taxes 202019Q1</t>
  </si>
  <si>
    <t>Käibemaksumäär</t>
  </si>
  <si>
    <t>Maksu ja Tolliamet (https://www.emta.ee/et/ariklient/tulu-kulu-kaive-kasum/kaibemaksuseaduse-selgitused/kaibemaksumaarad)</t>
  </si>
  <si>
    <t>Diisli jaehind (€/l)</t>
  </si>
  <si>
    <t>LPG energiamahukus (GJ/t)</t>
  </si>
  <si>
    <t>LPG aktsiisimäär (€/1000kg)</t>
  </si>
  <si>
    <t>LPG jaehind (€/kg)</t>
  </si>
  <si>
    <t>Aluseks on võetud ajapõhise teekasutustasu esialgse maksu rakendamisega seotud kulud</t>
  </si>
  <si>
    <t>Bensiini eriheide (t CO2 eq /GWh)</t>
  </si>
  <si>
    <t>LPG eriheide (t CO2 eq /GWh)</t>
  </si>
  <si>
    <t>Aastamaksust tulenev hinnatõus</t>
  </si>
  <si>
    <t>Autokasutuse vähenemine</t>
  </si>
  <si>
    <t>Vähenenud sõidukite arv</t>
  </si>
  <si>
    <t>Sõidukite vähenemisest säästetud läbisõit (km)</t>
  </si>
  <si>
    <t>Aastane energiasääst (TJ)</t>
  </si>
  <si>
    <t>Aastane energiasääst  (GWh)</t>
  </si>
  <si>
    <t>Säästu jaotus kütuseliigi raames</t>
  </si>
  <si>
    <t xml:space="preserve">Bensiin </t>
  </si>
  <si>
    <t>Diisel</t>
  </si>
  <si>
    <t>LPG</t>
  </si>
  <si>
    <t>Maksustatud sõiduautod</t>
  </si>
  <si>
    <t>Maksumäär (€)</t>
  </si>
  <si>
    <t>Igaastane maksutulu (€)</t>
  </si>
  <si>
    <t>Kütuse kogus (t)</t>
  </si>
  <si>
    <t>Energiahulk (TJ)</t>
  </si>
  <si>
    <t>L per TJ</t>
  </si>
  <si>
    <t>Säästetud bensiini kogus (l)</t>
  </si>
  <si>
    <t>Saamata bensiiniaktsiisi tulu (€)</t>
  </si>
  <si>
    <t>Käibemaks (€/l)</t>
  </si>
  <si>
    <t>Saamata käibemaks (€)</t>
  </si>
  <si>
    <t>Säästetud diisli kogus (l)</t>
  </si>
  <si>
    <t>Saamata diisliiaktsiisi tulu (€)</t>
  </si>
  <si>
    <t>Säästetud LPG kogus (t)</t>
  </si>
  <si>
    <t>Saamata LPG aktsiisi tulu (€)</t>
  </si>
  <si>
    <t>Käibemaks (€/kg)</t>
  </si>
  <si>
    <t>Kokku laekumata aktsiisitulu</t>
  </si>
  <si>
    <t>Kokku laekumata käibemaks</t>
  </si>
  <si>
    <t>Kogu Eesti läbisõit (km)</t>
  </si>
  <si>
    <t>Säästu % kogu läbisõidust</t>
  </si>
  <si>
    <t>SKP vähenemine</t>
  </si>
  <si>
    <t>Igaaastane administratiivkulu (€)</t>
  </si>
  <si>
    <t>Saamata käibemaksutulu (€)</t>
  </si>
  <si>
    <t>Igaaastane administratiivkulu</t>
  </si>
  <si>
    <t>Esmaselt registreeritud sõiduautod Eestis (2018)</t>
  </si>
  <si>
    <t>KPMG analüüs Maanteeameti statistikast (esmaselt (sh uued) registreeritud sõiduautod, https://www.mnt.ee/et/ametist/statistika/soidukid/soidukitega-tehtud-toimingute-statistika#tab-1)</t>
  </si>
  <si>
    <t>Sõiduautode arv millele maks ei rakendu (CO2 0-120 g/km)</t>
  </si>
  <si>
    <t>Sõiduautode arv millele rakendub registreerimismaks</t>
  </si>
  <si>
    <t>Uute autode osakaal esmaselt registreeritud autodest</t>
  </si>
  <si>
    <t>Sõiduautode kütusekasutuse osakaal</t>
  </si>
  <si>
    <t>Bensiin</t>
  </si>
  <si>
    <t>Energiakulu Kmi kohta</t>
  </si>
  <si>
    <t>Keskmine sõiduauto läbisõit aastas</t>
  </si>
  <si>
    <t>Keskmise uue auto hind</t>
  </si>
  <si>
    <t>Keskmise kasutatud auto hind (esmaselt reg)</t>
  </si>
  <si>
    <t>Sõidukite keskmine registreerimismaks</t>
  </si>
  <si>
    <r>
      <t>KPMG (Vaadake antud faili leht - "</t>
    </r>
    <r>
      <rPr>
        <i/>
        <sz val="11"/>
        <color theme="1"/>
        <rFont val="Calibri"/>
        <family val="2"/>
        <charset val="186"/>
        <scheme val="minor"/>
      </rPr>
      <t>Registreerimismaksu määr</t>
    </r>
    <r>
      <rPr>
        <sz val="11"/>
        <color theme="1"/>
        <rFont val="Calibri"/>
        <family val="2"/>
        <scheme val="minor"/>
      </rPr>
      <t>")</t>
    </r>
  </si>
  <si>
    <t>Uue auto hinna tõus</t>
  </si>
  <si>
    <t>Kasutatud auto hinna tõus</t>
  </si>
  <si>
    <t>Autoostu hinnaelastsus</t>
  </si>
  <si>
    <t>EUROPEAN COMMISSION - DG Taxation and Customs Union (p55, https://ec.europa.eu/taxation_customs/sites/taxation/files/resources/documents/vehicle_tax_study_15-02-2002.pdf)</t>
  </si>
  <si>
    <t>Säästu arvutus</t>
  </si>
  <si>
    <t>Registreerimismaksust tulenev keskmine hinnatõus</t>
  </si>
  <si>
    <t>Elastsus</t>
  </si>
  <si>
    <t>Autoostu vähenemine</t>
  </si>
  <si>
    <t>Vähem sõiduke ostetud</t>
  </si>
  <si>
    <t>Maksustatud sõiduautosid</t>
  </si>
  <si>
    <t>Igaastane maksutulu</t>
  </si>
  <si>
    <t>Uute autode müügist laekumata käibemaks</t>
  </si>
  <si>
    <t>Kasutatud autode müügist laekumata käibemaks</t>
  </si>
  <si>
    <t>Saamata käibemaksutulu autoostult (€)</t>
  </si>
  <si>
    <t>Registreerimismaksu pikaaegne mõju autopargile</t>
  </si>
  <si>
    <t>Iirimaa esmaselt registreeritud autode osakaalud CO2 klasside põhjal</t>
  </si>
  <si>
    <t>CO2 g/km</t>
  </si>
  <si>
    <t>Alla 120</t>
  </si>
  <si>
    <t>Klass A</t>
  </si>
  <si>
    <t>121-140</t>
  </si>
  <si>
    <t>Klass B</t>
  </si>
  <si>
    <t>141-155</t>
  </si>
  <si>
    <t>Klass C</t>
  </si>
  <si>
    <t>156-170</t>
  </si>
  <si>
    <t>Klass D</t>
  </si>
  <si>
    <t>171-190</t>
  </si>
  <si>
    <t>Klass E</t>
  </si>
  <si>
    <t>191-225</t>
  </si>
  <si>
    <t>Klass F</t>
  </si>
  <si>
    <t>Üle 225</t>
  </si>
  <si>
    <t>Klass G</t>
  </si>
  <si>
    <t>Tundmatu</t>
  </si>
  <si>
    <t>Kokku esmaselt reg autosid</t>
  </si>
  <si>
    <t>Eesti 2018 esmaselt registreeritud autode osakaalud Iirimaa CO2 klasside põhjal</t>
  </si>
  <si>
    <t>Kokku autosid</t>
  </si>
  <si>
    <t>Esmaselt reg mis kasutavad bensiini</t>
  </si>
  <si>
    <t>Esmaselt reg mis kasutavad diislit</t>
  </si>
  <si>
    <t>Bensiini eriheide (t CO2/GWh)</t>
  </si>
  <si>
    <t>Diisli eriheide (t CO2/GWh)</t>
  </si>
  <si>
    <t>Gramm to Tonn</t>
  </si>
  <si>
    <t>Bensiin l per TJ</t>
  </si>
  <si>
    <t>Diisel l per TJ</t>
  </si>
  <si>
    <t>Bensiini aktsiis (€/l)</t>
  </si>
  <si>
    <t>Bensiini käibemaks (€/l)</t>
  </si>
  <si>
    <t>Diisli käibemaks (€/l)</t>
  </si>
  <si>
    <t>Registreerimismaksust tulenev autoostude vähenemine</t>
  </si>
  <si>
    <r>
      <t>KPMG (Vaadake antud faili leht - "</t>
    </r>
    <r>
      <rPr>
        <i/>
        <sz val="11"/>
        <color theme="1"/>
        <rFont val="Calibri"/>
        <family val="2"/>
        <charset val="186"/>
        <scheme val="minor"/>
      </rPr>
      <t>Registreerimismaks (1)</t>
    </r>
    <r>
      <rPr>
        <sz val="11"/>
        <color theme="1"/>
        <rFont val="Calibri"/>
        <family val="2"/>
        <scheme val="minor"/>
      </rPr>
      <t>")</t>
    </r>
  </si>
  <si>
    <t>Säästu arvutamiseks kasutatav esmaselt registreeritud autode koguarv</t>
  </si>
  <si>
    <t>Eeldus: Klass A autode arv jääb muutmata, kuna neile maks ei rakendu. Ülejäänud kohandatakse osakaalude põhjal seoses sellega, et esmaselt registreeritud autode koguarv väheneb.</t>
  </si>
  <si>
    <t>Säästu arvutus (Eesti esmaselt registreeritud autode muutus arvestades Iirimaal toimunud muutustega)</t>
  </si>
  <si>
    <t xml:space="preserve">Keskmine registreerimismaksu tase on sarnane Iirimaaga, kuid kohandatud, et arvestada Eesti elanike ostuvõimuga. </t>
  </si>
  <si>
    <t xml:space="preserve">Esmaselt registreeritud autode koguarv jääb samaks (48,344) kuid muutub nende osakaal CO2 klasside raames. </t>
  </si>
  <si>
    <t xml:space="preserve">Eesti hetkeolukord (arvestades 2018 aasta statistikat) sarnaneb Iirimaa seisuga 2010 aastal ning sellest tulenevalt arvestatakse, et Eesti esmaselt registreeritud autode CO2 klasside osakaalud muutuvad sarnaselt Iirimaga perioodil 2010-2018. </t>
  </si>
  <si>
    <t xml:space="preserve">Seoses sellega, et Eesti osakaalud ei ole täpselt võrdsed Iirimaa 2010 aasta seisuga oleks kohene muutus 2011 aasta osakaaludeks liialt suur ning on modeleeritud vaheaasta, kus arvestatakse, et muutus on pool sellest mis toimub aastate 2010 ja 2011 vahel. </t>
  </si>
  <si>
    <t>Aasta 0 (2022)</t>
  </si>
  <si>
    <t>Aasta 1 (2023)</t>
  </si>
  <si>
    <t>Aasta 2 (2024)</t>
  </si>
  <si>
    <t>Aasta 3 (2025)</t>
  </si>
  <si>
    <t>Aasta 4 (2026)</t>
  </si>
  <si>
    <t>Aasta 5 (2027)</t>
  </si>
  <si>
    <t>Aasta 6 (2028)</t>
  </si>
  <si>
    <t>Aasta 7 (2029)</t>
  </si>
  <si>
    <t>Aasta 8 (2030)</t>
  </si>
  <si>
    <t>Keskmised heitmed</t>
  </si>
  <si>
    <t>2018 esmaselt registreeritud sõiduautode keskmine CO2 g/km</t>
  </si>
  <si>
    <t>KPMG analüüs Maanteeameti statistikast</t>
  </si>
  <si>
    <t>Keskmised heitmed kui esmalt registreeritud sõiduautod on klassi madalamal piiril</t>
  </si>
  <si>
    <t>Keskmine CO2</t>
  </si>
  <si>
    <t>Keskmised heimed kui esmalt registreeritud sõiduautod on klassi kõrgeimal piiril</t>
  </si>
  <si>
    <t>Kokku esmaselt registreeritud</t>
  </si>
  <si>
    <t>Sõiduauto keskmine läbisõit aastas</t>
  </si>
  <si>
    <t>Prognoositavad tulevikku CO2 heitmed</t>
  </si>
  <si>
    <t>Iga aastane CO2 vähenemine (g CO2)</t>
  </si>
  <si>
    <t>Kumulatiivne CO2 vähenemine (g CO2)</t>
  </si>
  <si>
    <t>Bensiini eriheide (g CO2/GWh)</t>
  </si>
  <si>
    <t>Diisli eriheide (g CO2/GWh)</t>
  </si>
  <si>
    <t>Energiasääst bensiinist (GWh)</t>
  </si>
  <si>
    <t>Energiasääst diislist (GWh)</t>
  </si>
  <si>
    <t>Kokku (GWh)</t>
  </si>
  <si>
    <t>Saavutatav sääst kui vähem saastlikud esmaselt registreeritud autod hakkavad sõitma</t>
  </si>
  <si>
    <t>Kumulatiivne sääst heitekogustes (tuh t Co2 eq)</t>
  </si>
  <si>
    <t>Energiasääst bensiinist (TJ)</t>
  </si>
  <si>
    <t>Energiasääst diislist (TJ)</t>
  </si>
  <si>
    <t>Säästetud bensiin (l)</t>
  </si>
  <si>
    <t>Säästetud diisel (l)</t>
  </si>
  <si>
    <t>Laekumata bensiini aktsiis (€)</t>
  </si>
  <si>
    <t>Laekumata diisli aktsiis (€)</t>
  </si>
  <si>
    <t>Laekumata käibemaksu aktsiis (€)</t>
  </si>
  <si>
    <t>Kokku laekumata tulu (€)</t>
  </si>
  <si>
    <t>Registreerimismaks kokkuvõte</t>
  </si>
  <si>
    <t>Kumulatiivne sääst heitekogustes (tuh t CO2 eq)</t>
  </si>
  <si>
    <t>Arvutuste läbiviimiseks kasutatav registreerimismaksumäär</t>
  </si>
  <si>
    <t>3 aasta keskmine</t>
  </si>
  <si>
    <t>Iirimaa esmaselt registreeritud autod</t>
  </si>
  <si>
    <t>https://statbank.cso.ie/px/pxeirestat/Statire/SelectVarVal/saveselections.asp</t>
  </si>
  <si>
    <t>Iirimaa registreerimismaksust saadud tulu (€m)</t>
  </si>
  <si>
    <t>Ireland data on taxation: https://ec.europa.eu/taxation_customs/business/economic-analysis-taxation/data-taxation_en</t>
  </si>
  <si>
    <t>Iirimaa keskmine registreerimismaks (€)</t>
  </si>
  <si>
    <t>SKP inimese kohta (kohandatud ostujõuga)</t>
  </si>
  <si>
    <t>Eesti (€/inimene)</t>
  </si>
  <si>
    <t>Estonia purchasing power adjusted GDP per capita: https://ec.europa.eu/eurostat/web/products-datasets/-/sdg_10_10</t>
  </si>
  <si>
    <t>Iirimaa (€/inimene)</t>
  </si>
  <si>
    <t>Eesti osakaal Iirimaast</t>
  </si>
  <si>
    <t>Eesti võimalik keskmine registreerimismaksu määr Iirimaa näitel</t>
  </si>
  <si>
    <t>Mittebiokomponentide osakaal bensiinis ja diislikütuses</t>
  </si>
  <si>
    <t>Vedelkütuse Seadus § 21'1 lg 1 (https://www.riigiteataja.ee/akt/VKS)</t>
  </si>
  <si>
    <t>Mittebiokomponentide osakaal diislikütuses</t>
  </si>
  <si>
    <t>Sisaldab mitmeid tabeleid (TEA18, TEA16, TEA05): https://statbank.cso.ie/px/pxeirestat/Database/eirestat/Vehicle%20Licensing%20Statistics%20Annual%20Series/Vehicle%20Licensing%20Statistics%20Annual%20Series_statbank.asp?sp=Vehicle%20Licensing%20Statistics%20Annual%20Series&amp;ProductID=DB_TE</t>
  </si>
  <si>
    <t>Kommentaar</t>
  </si>
  <si>
    <t xml:space="preserve">See tähendab, et eelnevatel aastatel saavutatud sääst ei kandu edasi, vaid igal aastal arvutatakse sääst uuesti ning saavutatud säästu peetakse uueks ega kanta edasi tulevastesse aastatesse (säästu enda eluiga on üks aasta). </t>
  </si>
  <si>
    <t>Sellepärast on ka allolevas kokkuvõtlikus tabelis eraldi väljatoodud igal aastal saavutatav uus sääst, mis on spetsiifiline just vastavale aastale ning ei kandu edasi tulevastesse aastatesse (saavutatud sääst 2021. aastal seondub ainult 2021. aastaga ning seda</t>
  </si>
  <si>
    <t xml:space="preserve">ei arvestata tulevastes aastates). Ainult reas 19, kus arvestatakse kogu ajaperioodi vältel saavutatav sääst liidetakse iga aasta säästud kokku, et saavutada kogu energiasäästu prognoos. </t>
  </si>
  <si>
    <t xml:space="preserve">Kuigi spetsiifilisi makse võidakse rakendada mitukümmend aastat, siis energiatõhususe arvestuses peetakse makse lühiajalisteks meetmeteks. Sellest tulenevalt arvestatakse, et maksude eluiga on üks aasta ning igal aastal arvestatakse neist saavutatavat säästu kui uut.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</si>
</sst>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00%"/>
    <numFmt numFmtId="166" formatCode="_-* #,##0\ _€_-;\-* #,##0\ _€_-;_-* &quot;-&quot;\ _€_-;_-@_-"/>
    <numFmt numFmtId="167" formatCode="_-* #,##0.00\ _€_-;\-* #,##0.00\ _€_-;_-* &quot;-&quot;??\ _€_-;_-@_-"/>
    <numFmt numFmtId="168" formatCode="_-* #,##0.00\ _€_-;\-* #,##0.00\ _€_-;_-* &quot;-&quot;\ _€_-;_-@_-"/>
    <numFmt numFmtId="169" formatCode="_-* #,##0.00000000\ _€_-;\-* #,##0.00000000\ _€_-;_-* &quot;-&quot;\ _€_-;_-@_-"/>
    <numFmt numFmtId="170" formatCode="_-* #,##0.0000\ _€_-;\-* #,##0.0000\ _€_-;_-* &quot;-&quot;\ _€_-;_-@_-"/>
    <numFmt numFmtId="171" formatCode="_-* #,##0.000\ _€_-;\-* #,##0.000\ _€_-;_-* &quot;-&quot;\ _€_-;_-@_-"/>
    <numFmt numFmtId="172" formatCode="_-* #,##0.0000\ _€_-;\-* #,##0.0000\ _€_-;_-* &quot;-&quot;??\ _€_-;_-@_-"/>
    <numFmt numFmtId="173" formatCode="_-* #,##0.00\ _€_-;\-* #,##0.00\ _€_-;_-* &quot;- &quot;_€_-;_-@_-"/>
  </numFmts>
  <fonts count="17">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1"/>
      <color theme="1"/>
      <name val="Calibri"/>
      <family val="2"/>
      <charset val="186"/>
      <scheme val="minor"/>
    </font>
    <font>
      <u/>
      <sz val="11"/>
      <color theme="10"/>
      <name val="Calibri"/>
      <family val="2"/>
      <scheme val="minor"/>
    </font>
    <font>
      <sz val="10"/>
      <color theme="1"/>
      <name val="Arial"/>
      <family val="2"/>
      <charset val="186"/>
    </font>
    <font>
      <b/>
      <sz val="10"/>
      <color theme="1"/>
      <name val="Arial"/>
      <family val="2"/>
      <charset val="186"/>
    </font>
    <font>
      <sz val="8"/>
      <name val="Calibri"/>
      <family val="2"/>
      <scheme val="minor"/>
    </font>
    <font>
      <sz val="11"/>
      <name val="Calibri"/>
      <family val="2"/>
      <charset val="186"/>
    </font>
    <font>
      <i/>
      <sz val="11"/>
      <color theme="1"/>
      <name val="Calibri"/>
      <family val="2"/>
      <charset val="186"/>
      <scheme val="minor"/>
    </font>
    <font>
      <b/>
      <sz val="20"/>
      <color rgb="FF000000"/>
      <name val="Garamond"/>
      <family val="1"/>
      <charset val="186"/>
    </font>
    <font>
      <b/>
      <i/>
      <sz val="20"/>
      <color rgb="FF000000"/>
      <name val="Garamond"/>
      <family val="1"/>
      <charset val="186"/>
    </font>
    <font>
      <sz val="20"/>
      <color rgb="FF000000"/>
      <name val="KPMG Thin"/>
      <family val="2"/>
      <charset val="186"/>
    </font>
    <font>
      <sz val="20"/>
      <color rgb="FF000000"/>
      <name val="Garamond"/>
      <family val="1"/>
      <charset val="186"/>
    </font>
    <font>
      <sz val="10"/>
      <color rgb="FF000000"/>
      <name val="Arial"/>
      <family val="2"/>
      <charset val="186"/>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2CC"/>
        <bgColor rgb="FFFFFFCC"/>
      </patternFill>
    </fill>
    <fill>
      <patternFill patternType="solid">
        <fgColor rgb="FFDEEBF7"/>
        <bgColor rgb="FFDDEBF7"/>
      </patternFill>
    </fill>
    <fill>
      <patternFill patternType="solid">
        <fgColor rgb="FFFFFFFF"/>
        <bgColor rgb="FFFCFCFC"/>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4">
    <xf numFmtId="0" fontId="0" fillId="0" borderId="0"/>
    <xf numFmtId="9" fontId="4" fillId="0" borderId="0" applyFont="0" applyFill="0" applyBorder="0" applyAlignment="0" applyProtection="0"/>
    <xf numFmtId="0" fontId="6" fillId="0" borderId="0" applyNumberFormat="0" applyFill="0" applyBorder="0" applyAlignment="0" applyProtection="0"/>
    <xf numFmtId="0" fontId="10" fillId="0" borderId="0"/>
  </cellStyleXfs>
  <cellXfs count="57">
    <xf numFmtId="0" fontId="0" fillId="0" borderId="0" xfId="0"/>
    <xf numFmtId="0" fontId="5" fillId="2" borderId="0" xfId="0" applyFont="1" applyFill="1"/>
    <xf numFmtId="0" fontId="0" fillId="2" borderId="0" xfId="0" applyFill="1"/>
    <xf numFmtId="0" fontId="0" fillId="2" borderId="0" xfId="0" applyFill="1" applyAlignment="1">
      <alignment horizontal="center"/>
    </xf>
    <xf numFmtId="9" fontId="0" fillId="2" borderId="0" xfId="1" applyFont="1" applyFill="1"/>
    <xf numFmtId="164" fontId="0" fillId="2" borderId="0" xfId="1" applyNumberFormat="1" applyFont="1" applyFill="1"/>
    <xf numFmtId="0" fontId="6" fillId="0" borderId="0" xfId="2"/>
    <xf numFmtId="3" fontId="0" fillId="2" borderId="0" xfId="0" applyNumberFormat="1" applyFill="1"/>
    <xf numFmtId="10" fontId="0" fillId="2" borderId="0" xfId="1" applyNumberFormat="1" applyFont="1" applyFill="1"/>
    <xf numFmtId="0" fontId="5" fillId="2" borderId="0" xfId="0" applyFont="1" applyFill="1" applyAlignment="1">
      <alignment horizontal="right"/>
    </xf>
    <xf numFmtId="0" fontId="5" fillId="4" borderId="0" xfId="0" applyFont="1" applyFill="1"/>
    <xf numFmtId="0" fontId="0" fillId="4" borderId="0" xfId="0" applyFill="1"/>
    <xf numFmtId="166" fontId="7" fillId="5" borderId="1" xfId="0" applyNumberFormat="1" applyFont="1" applyFill="1" applyBorder="1"/>
    <xf numFmtId="167" fontId="0" fillId="2" borderId="0" xfId="0" applyNumberFormat="1" applyFill="1"/>
    <xf numFmtId="168" fontId="7" fillId="6" borderId="1" xfId="0" applyNumberFormat="1" applyFont="1" applyFill="1" applyBorder="1"/>
    <xf numFmtId="169" fontId="7" fillId="6" borderId="1" xfId="0" applyNumberFormat="1" applyFont="1" applyFill="1" applyBorder="1"/>
    <xf numFmtId="168" fontId="0" fillId="2" borderId="0" xfId="0" applyNumberFormat="1" applyFill="1"/>
    <xf numFmtId="166" fontId="0" fillId="2" borderId="0" xfId="0" applyNumberFormat="1" applyFill="1"/>
    <xf numFmtId="10" fontId="7" fillId="5" borderId="1" xfId="1" applyNumberFormat="1" applyFont="1" applyFill="1" applyBorder="1" applyAlignment="1">
      <alignment vertical="center"/>
    </xf>
    <xf numFmtId="10" fontId="7" fillId="6" borderId="1" xfId="1" applyNumberFormat="1" applyFont="1" applyFill="1" applyBorder="1" applyAlignment="1">
      <alignment vertical="center"/>
    </xf>
    <xf numFmtId="168" fontId="8" fillId="6" borderId="1" xfId="0" applyNumberFormat="1" applyFont="1" applyFill="1" applyBorder="1"/>
    <xf numFmtId="170" fontId="7" fillId="6" borderId="1" xfId="0" applyNumberFormat="1" applyFont="1" applyFill="1" applyBorder="1"/>
    <xf numFmtId="165" fontId="7" fillId="6" borderId="1" xfId="1" applyNumberFormat="1" applyFont="1" applyFill="1" applyBorder="1" applyAlignment="1">
      <alignment vertical="center"/>
    </xf>
    <xf numFmtId="0" fontId="0" fillId="3" borderId="0" xfId="0" applyFill="1"/>
    <xf numFmtId="168" fontId="7" fillId="5" borderId="1" xfId="0" applyNumberFormat="1" applyFont="1" applyFill="1" applyBorder="1"/>
    <xf numFmtId="0" fontId="0" fillId="2" borderId="0" xfId="0" applyFill="1" applyAlignment="1"/>
    <xf numFmtId="4" fontId="0" fillId="2" borderId="0" xfId="0" applyNumberFormat="1" applyFill="1"/>
    <xf numFmtId="4" fontId="5" fillId="2" borderId="0" xfId="0" applyNumberFormat="1" applyFont="1" applyFill="1"/>
    <xf numFmtId="168" fontId="7" fillId="2" borderId="0" xfId="0" applyNumberFormat="1" applyFont="1" applyFill="1" applyBorder="1"/>
    <xf numFmtId="0" fontId="6" fillId="2" borderId="0" xfId="2" applyFill="1"/>
    <xf numFmtId="171" fontId="7" fillId="6" borderId="1" xfId="0" applyNumberFormat="1" applyFont="1" applyFill="1" applyBorder="1"/>
    <xf numFmtId="171" fontId="7" fillId="5" borderId="1" xfId="0" applyNumberFormat="1" applyFont="1" applyFill="1" applyBorder="1"/>
    <xf numFmtId="10" fontId="7" fillId="5" borderId="1" xfId="1" applyNumberFormat="1" applyFont="1" applyFill="1" applyBorder="1"/>
    <xf numFmtId="168" fontId="5" fillId="2" borderId="0" xfId="0" applyNumberFormat="1" applyFont="1" applyFill="1"/>
    <xf numFmtId="3" fontId="5" fillId="2" borderId="0" xfId="0" applyNumberFormat="1" applyFont="1" applyFill="1" applyAlignment="1">
      <alignment horizontal="center"/>
    </xf>
    <xf numFmtId="0" fontId="0" fillId="2" borderId="0" xfId="0" applyFill="1" applyAlignment="1">
      <alignment wrapText="1"/>
    </xf>
    <xf numFmtId="168" fontId="8" fillId="6" borderId="1" xfId="0" applyNumberFormat="1" applyFont="1" applyFill="1" applyBorder="1" applyAlignment="1">
      <alignment vertical="center"/>
    </xf>
    <xf numFmtId="14" fontId="8" fillId="2" borderId="0" xfId="0" applyNumberFormat="1" applyFont="1" applyFill="1" applyAlignment="1">
      <alignment horizontal="center"/>
    </xf>
    <xf numFmtId="172" fontId="0" fillId="2" borderId="0" xfId="0" applyNumberFormat="1" applyFill="1"/>
    <xf numFmtId="0" fontId="3" fillId="2" borderId="0" xfId="0" applyFont="1" applyFill="1"/>
    <xf numFmtId="1" fontId="8" fillId="2" borderId="0" xfId="0" applyNumberFormat="1" applyFont="1" applyFill="1" applyAlignment="1">
      <alignment horizontal="center"/>
    </xf>
    <xf numFmtId="0" fontId="12" fillId="0" borderId="0" xfId="0" applyFont="1" applyAlignment="1">
      <alignment vertical="top" wrapText="1"/>
    </xf>
    <xf numFmtId="10" fontId="15" fillId="7" borderId="1" xfId="1" applyNumberFormat="1" applyFont="1" applyFill="1" applyBorder="1" applyAlignment="1">
      <alignment horizontal="left" vertical="center" wrapText="1"/>
    </xf>
    <xf numFmtId="173" fontId="15" fillId="8" borderId="1" xfId="0" applyNumberFormat="1" applyFont="1" applyFill="1" applyBorder="1" applyAlignment="1">
      <alignment horizontal="left" vertical="center" wrapText="1"/>
    </xf>
    <xf numFmtId="0" fontId="15" fillId="0" borderId="0" xfId="0" applyFont="1" applyAlignment="1">
      <alignment horizontal="left" vertical="center" wrapText="1"/>
    </xf>
    <xf numFmtId="0" fontId="12" fillId="2" borderId="0" xfId="0" applyFont="1" applyFill="1" applyAlignment="1">
      <alignment vertical="top" wrapText="1"/>
    </xf>
    <xf numFmtId="0" fontId="14" fillId="2" borderId="0" xfId="0" applyFont="1" applyFill="1"/>
    <xf numFmtId="0" fontId="15" fillId="2" borderId="0" xfId="0" applyFont="1" applyFill="1" applyAlignment="1">
      <alignment wrapText="1"/>
    </xf>
    <xf numFmtId="0" fontId="15" fillId="2" borderId="0" xfId="0" applyFont="1" applyFill="1" applyAlignment="1">
      <alignment horizontal="left" vertical="center" wrapText="1"/>
    </xf>
    <xf numFmtId="0" fontId="2" fillId="2" borderId="0" xfId="0" applyFont="1" applyFill="1"/>
    <xf numFmtId="0" fontId="5" fillId="2" borderId="0" xfId="0" applyFont="1" applyFill="1" applyAlignment="1">
      <alignment horizontal="center"/>
    </xf>
    <xf numFmtId="0" fontId="0" fillId="9" borderId="0" xfId="0" applyFill="1"/>
    <xf numFmtId="10" fontId="16" fillId="7" borderId="1" xfId="1" applyNumberFormat="1" applyFont="1" applyFill="1" applyBorder="1" applyAlignment="1">
      <alignment vertical="center"/>
    </xf>
    <xf numFmtId="168" fontId="5" fillId="2" borderId="0" xfId="0" applyNumberFormat="1" applyFont="1" applyFill="1" applyAlignment="1">
      <alignment horizontal="right"/>
    </xf>
    <xf numFmtId="0" fontId="1" fillId="2" borderId="0" xfId="0" applyFont="1" applyFill="1"/>
    <xf numFmtId="0" fontId="5" fillId="2" borderId="0" xfId="0" applyFont="1" applyFill="1" applyAlignment="1">
      <alignment horizontal="center"/>
    </xf>
    <xf numFmtId="0" fontId="5" fillId="2" borderId="2" xfId="0" applyFont="1" applyFill="1" applyBorder="1" applyAlignment="1">
      <alignment horizontal="center"/>
    </xf>
  </cellXfs>
  <cellStyles count="4">
    <cellStyle name="Hyperlink" xfId="2" builtinId="8"/>
    <cellStyle name="Normaallaad 3" xfId="3" xr:uid="{02102906-97D7-4EB7-BDFA-8426D60428A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3"/>
          <c:order val="3"/>
          <c:tx>
            <c:strRef>
              <c:f>'Teekasutus (aja)'!$A$123</c:f>
              <c:strCache>
                <c:ptCount val="1"/>
                <c:pt idx="0">
                  <c:v>Kumulatiivne sääst heitekogustes</c:v>
                </c:pt>
              </c:strCache>
            </c:strRef>
          </c:tx>
          <c:spPr>
            <a:solidFill>
              <a:schemeClr val="accent1"/>
            </a:solidFill>
            <a:ln>
              <a:noFill/>
            </a:ln>
            <a:effectLst/>
          </c:spPr>
          <c:invertIfNegative val="0"/>
          <c:cat>
            <c:numRef>
              <c:f>'Teekasutus (aja)'!$D$118:$M$118</c:f>
              <c:numCache>
                <c:formatCode>0</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'Teekasutus (aja)'!$D$123:$M$123</c:f>
              <c:numCache>
                <c:formatCode>_-* #\ ##0.00\ _€_-;\-* #\ ##0.00\ _€_-;_-* "-"\ _€_-;_-@_-</c:formatCode>
                <c:ptCount val="10"/>
                <c:pt idx="0">
                  <c:v>3.9850992582653362</c:v>
                </c:pt>
                <c:pt idx="1">
                  <c:v>7.9701985165306724</c:v>
                </c:pt>
                <c:pt idx="2">
                  <c:v>11.955297774796009</c:v>
                </c:pt>
                <c:pt idx="3">
                  <c:v>15.940397033061345</c:v>
                </c:pt>
                <c:pt idx="4">
                  <c:v>19.925496291326681</c:v>
                </c:pt>
                <c:pt idx="5">
                  <c:v>23.910595549592017</c:v>
                </c:pt>
                <c:pt idx="6">
                  <c:v>27.895694807857353</c:v>
                </c:pt>
                <c:pt idx="7">
                  <c:v>31.880794066122689</c:v>
                </c:pt>
                <c:pt idx="8">
                  <c:v>35.865893324388026</c:v>
                </c:pt>
                <c:pt idx="9">
                  <c:v>39.850992582653362</c:v>
                </c:pt>
              </c:numCache>
            </c:numRef>
          </c:val>
          <c:extLst>
            <c:ext xmlns:c16="http://schemas.microsoft.com/office/drawing/2014/chart" uri="{C3380CC4-5D6E-409C-BE32-E72D297353CC}">
              <c16:uniqueId val="{00000003-0B37-4A39-854C-18F7A717D641}"/>
            </c:ext>
          </c:extLst>
        </c:ser>
        <c:dLbls>
          <c:showLegendKey val="0"/>
          <c:showVal val="0"/>
          <c:showCatName val="0"/>
          <c:showSerName val="0"/>
          <c:showPercent val="0"/>
          <c:showBubbleSize val="0"/>
        </c:dLbls>
        <c:gapWidth val="219"/>
        <c:axId val="1477580095"/>
        <c:axId val="1231821823"/>
      </c:barChart>
      <c:lineChart>
        <c:grouping val="standard"/>
        <c:varyColors val="0"/>
        <c:ser>
          <c:idx val="1"/>
          <c:order val="1"/>
          <c:tx>
            <c:strRef>
              <c:f>'Teekasutus (aja)'!$A$121</c:f>
              <c:strCache>
                <c:ptCount val="1"/>
                <c:pt idx="0">
                  <c:v>Kumulatiivne energiasääst </c:v>
                </c:pt>
              </c:strCache>
            </c:strRef>
          </c:tx>
          <c:spPr>
            <a:ln w="28575" cap="rnd">
              <a:solidFill>
                <a:schemeClr val="accent2"/>
              </a:solidFill>
              <a:round/>
            </a:ln>
            <a:effectLst/>
          </c:spPr>
          <c:marker>
            <c:symbol val="none"/>
          </c:marker>
          <c:cat>
            <c:numRef>
              <c:f>'Teekasutus (aja)'!$D$118:$M$118</c:f>
              <c:numCache>
                <c:formatCode>0</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f>'Teekasutus (aja)'!$D$121:$M$121</c:f>
              <c:numCache>
                <c:formatCode>_-* #\ ##0.00\ _€_-;\-* #\ ##0.00\ _€_-;_-* "-"\ _€_-;_-@_-</c:formatCode>
                <c:ptCount val="10"/>
                <c:pt idx="0">
                  <c:v>16.412095818532791</c:v>
                </c:pt>
                <c:pt idx="1">
                  <c:v>32.824191637065582</c:v>
                </c:pt>
                <c:pt idx="2">
                  <c:v>49.236287455598372</c:v>
                </c:pt>
                <c:pt idx="3">
                  <c:v>65.648383274131163</c:v>
                </c:pt>
                <c:pt idx="4">
                  <c:v>82.060479092663954</c:v>
                </c:pt>
                <c:pt idx="5">
                  <c:v>98.472574911196745</c:v>
                </c:pt>
                <c:pt idx="6">
                  <c:v>114.88467072972954</c:v>
                </c:pt>
                <c:pt idx="7">
                  <c:v>131.29676654826233</c:v>
                </c:pt>
                <c:pt idx="8">
                  <c:v>147.70886236679513</c:v>
                </c:pt>
                <c:pt idx="9">
                  <c:v>164.12095818532794</c:v>
                </c:pt>
              </c:numCache>
            </c:numRef>
          </c:val>
          <c:smooth val="0"/>
          <c:extLst>
            <c:ext xmlns:c16="http://schemas.microsoft.com/office/drawing/2014/chart" uri="{C3380CC4-5D6E-409C-BE32-E72D297353CC}">
              <c16:uniqueId val="{00000001-0B37-4A39-854C-18F7A717D641}"/>
            </c:ext>
          </c:extLst>
        </c:ser>
        <c:dLbls>
          <c:showLegendKey val="0"/>
          <c:showVal val="0"/>
          <c:showCatName val="0"/>
          <c:showSerName val="0"/>
          <c:showPercent val="0"/>
          <c:showBubbleSize val="0"/>
        </c:dLbls>
        <c:marker val="1"/>
        <c:smooth val="0"/>
        <c:axId val="1378089839"/>
        <c:axId val="1231840127"/>
        <c:extLst>
          <c:ext xmlns:c15="http://schemas.microsoft.com/office/drawing/2012/chart" uri="{02D57815-91ED-43cb-92C2-25804820EDAC}">
            <c15:filteredLineSeries>
              <c15:ser>
                <c:idx val="0"/>
                <c:order val="0"/>
                <c:tx>
                  <c:strRef>
                    <c:extLst>
                      <c:ext uri="{02D57815-91ED-43cb-92C2-25804820EDAC}">
                        <c15:formulaRef>
                          <c15:sqref>'Teekasutus (aja)'!$A$120</c15:sqref>
                        </c15:formulaRef>
                      </c:ext>
                    </c:extLst>
                    <c:strCache>
                      <c:ptCount val="1"/>
                      <c:pt idx="0">
                        <c:v>Energiasääst (GWh)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uri="{02D57815-91ED-43cb-92C2-25804820EDAC}">
                        <c15:formulaRef>
                          <c15:sqref>'Teekasutus (aja)'!$D$118:$M$118</c15:sqref>
                        </c15:formulaRef>
                      </c:ext>
                    </c:extLst>
                    <c:numCache>
                      <c:formatCode>0</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extLst>
                      <c:ext uri="{02D57815-91ED-43cb-92C2-25804820EDAC}">
                        <c15:formulaRef>
                          <c15:sqref>'Teekasutus (aja)'!$B$120:$M$120</c15:sqref>
                        </c15:formulaRef>
                      </c:ext>
                    </c:extLst>
                    <c:numCache>
                      <c:formatCode>General</c:formatCode>
                      <c:ptCount val="12"/>
                      <c:pt idx="2" formatCode="_-* #\ ##0.00\ _€_-;\-* #\ ##0.00\ _€_-;_-* &quot;-&quot;\ _€_-;_-@_-">
                        <c:v>16.412095818532791</c:v>
                      </c:pt>
                      <c:pt idx="3" formatCode="_-* #\ ##0.00\ _€_-;\-* #\ ##0.00\ _€_-;_-* &quot;-&quot;\ _€_-;_-@_-">
                        <c:v>16.412095818532791</c:v>
                      </c:pt>
                      <c:pt idx="4" formatCode="_-* #\ ##0.00\ _€_-;\-* #\ ##0.00\ _€_-;_-* &quot;-&quot;\ _€_-;_-@_-">
                        <c:v>16.412095818532791</c:v>
                      </c:pt>
                      <c:pt idx="5" formatCode="_-* #\ ##0.00\ _€_-;\-* #\ ##0.00\ _€_-;_-* &quot;-&quot;\ _€_-;_-@_-">
                        <c:v>16.412095818532791</c:v>
                      </c:pt>
                      <c:pt idx="6" formatCode="_-* #\ ##0.00\ _€_-;\-* #\ ##0.00\ _€_-;_-* &quot;-&quot;\ _€_-;_-@_-">
                        <c:v>16.412095818532791</c:v>
                      </c:pt>
                      <c:pt idx="7" formatCode="_-* #\ ##0.00\ _€_-;\-* #\ ##0.00\ _€_-;_-* &quot;-&quot;\ _€_-;_-@_-">
                        <c:v>16.412095818532791</c:v>
                      </c:pt>
                      <c:pt idx="8" formatCode="_-* #\ ##0.00\ _€_-;\-* #\ ##0.00\ _€_-;_-* &quot;-&quot;\ _€_-;_-@_-">
                        <c:v>16.412095818532791</c:v>
                      </c:pt>
                      <c:pt idx="9" formatCode="_-* #\ ##0.00\ _€_-;\-* #\ ##0.00\ _€_-;_-* &quot;-&quot;\ _€_-;_-@_-">
                        <c:v>16.412095818532791</c:v>
                      </c:pt>
                      <c:pt idx="10" formatCode="_-* #\ ##0.00\ _€_-;\-* #\ ##0.00\ _€_-;_-* &quot;-&quot;\ _€_-;_-@_-">
                        <c:v>16.412095818532791</c:v>
                      </c:pt>
                      <c:pt idx="11" formatCode="_-* #\ ##0.00\ _€_-;\-* #\ ##0.00\ _€_-;_-* &quot;-&quot;\ _€_-;_-@_-">
                        <c:v>16.412095818532791</c:v>
                      </c:pt>
                    </c:numCache>
                  </c:numRef>
                </c:val>
                <c:smooth val="0"/>
                <c:extLst>
                  <c:ext xmlns:c16="http://schemas.microsoft.com/office/drawing/2014/chart" uri="{C3380CC4-5D6E-409C-BE32-E72D297353CC}">
                    <c16:uniqueId val="{00000000-0B37-4A39-854C-18F7A717D641}"/>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'Teekasutus (aja)'!$A$122</c15:sqref>
                        </c15:formulaRef>
                      </c:ext>
                    </c:extLst>
                    <c:strCache>
                      <c:ptCount val="1"/>
                      <c:pt idx="0">
                        <c:v>CO2 sääst (tuh t CO2 eq)</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extLst xmlns:c15="http://schemas.microsoft.com/office/drawing/2012/chart">
                      <c:ext xmlns:c15="http://schemas.microsoft.com/office/drawing/2012/chart" uri="{02D57815-91ED-43cb-92C2-25804820EDAC}">
                        <c15:formulaRef>
                          <c15:sqref>'Teekasutus (aja)'!$D$118:$M$118</c15:sqref>
                        </c15:formulaRef>
                      </c:ext>
                    </c:extLst>
                    <c:numCache>
                      <c:formatCode>0</c:formatCode>
                      <c:ptCount val="10"/>
                      <c:pt idx="0">
                        <c:v>2021</c:v>
                      </c:pt>
                      <c:pt idx="1">
                        <c:v>2022</c:v>
                      </c:pt>
                      <c:pt idx="2">
                        <c:v>2023</c:v>
                      </c:pt>
                      <c:pt idx="3">
                        <c:v>2024</c:v>
                      </c:pt>
                      <c:pt idx="4">
                        <c:v>2025</c:v>
                      </c:pt>
                      <c:pt idx="5">
                        <c:v>2026</c:v>
                      </c:pt>
                      <c:pt idx="6">
                        <c:v>2027</c:v>
                      </c:pt>
                      <c:pt idx="7">
                        <c:v>2028</c:v>
                      </c:pt>
                      <c:pt idx="8">
                        <c:v>2029</c:v>
                      </c:pt>
                      <c:pt idx="9">
                        <c:v>2030</c:v>
                      </c:pt>
                    </c:numCache>
                  </c:numRef>
                </c:cat>
                <c:val>
                  <c:numRef>
                    <c:extLst xmlns:c15="http://schemas.microsoft.com/office/drawing/2012/chart">
                      <c:ext xmlns:c15="http://schemas.microsoft.com/office/drawing/2012/chart" uri="{02D57815-91ED-43cb-92C2-25804820EDAC}">
                        <c15:formulaRef>
                          <c15:sqref>'Teekasutus (aja)'!$B$122:$M$122</c15:sqref>
                        </c15:formulaRef>
                      </c:ext>
                    </c:extLst>
                    <c:numCache>
                      <c:formatCode>General</c:formatCode>
                      <c:ptCount val="12"/>
                      <c:pt idx="2" formatCode="_-* #\ ##0.00\ _€_-;\-* #\ ##0.00\ _€_-;_-* &quot;-&quot;\ _€_-;_-@_-">
                        <c:v>3.9850992582653362</c:v>
                      </c:pt>
                      <c:pt idx="3" formatCode="_-* #\ ##0.00\ _€_-;\-* #\ ##0.00\ _€_-;_-* &quot;-&quot;\ _€_-;_-@_-">
                        <c:v>3.9850992582653362</c:v>
                      </c:pt>
                      <c:pt idx="4" formatCode="_-* #\ ##0.00\ _€_-;\-* #\ ##0.00\ _€_-;_-* &quot;-&quot;\ _€_-;_-@_-">
                        <c:v>3.9850992582653362</c:v>
                      </c:pt>
                      <c:pt idx="5" formatCode="_-* #\ ##0.00\ _€_-;\-* #\ ##0.00\ _€_-;_-* &quot;-&quot;\ _€_-;_-@_-">
                        <c:v>3.9850992582653362</c:v>
                      </c:pt>
                      <c:pt idx="6" formatCode="_-* #\ ##0.00\ _€_-;\-* #\ ##0.00\ _€_-;_-* &quot;-&quot;\ _€_-;_-@_-">
                        <c:v>3.9850992582653362</c:v>
                      </c:pt>
                      <c:pt idx="7" formatCode="_-* #\ ##0.00\ _€_-;\-* #\ ##0.00\ _€_-;_-* &quot;-&quot;\ _€_-;_-@_-">
                        <c:v>3.9850992582653362</c:v>
                      </c:pt>
                      <c:pt idx="8" formatCode="_-* #\ ##0.00\ _€_-;\-* #\ ##0.00\ _€_-;_-* &quot;-&quot;\ _€_-;_-@_-">
                        <c:v>3.9850992582653362</c:v>
                      </c:pt>
                      <c:pt idx="9" formatCode="_-* #\ ##0.00\ _€_-;\-* #\ ##0.00\ _€_-;_-* &quot;-&quot;\ _€_-;_-@_-">
                        <c:v>3.9850992582653362</c:v>
                      </c:pt>
                      <c:pt idx="10" formatCode="_-* #\ ##0.00\ _€_-;\-* #\ ##0.00\ _€_-;_-* &quot;-&quot;\ _€_-;_-@_-">
                        <c:v>3.9850992582653362</c:v>
                      </c:pt>
                      <c:pt idx="11" formatCode="_-* #\ ##0.00\ _€_-;\-* #\ ##0.00\ _€_-;_-* &quot;-&quot;\ _€_-;_-@_-">
                        <c:v>3.9850992582653362</c:v>
                      </c:pt>
                    </c:numCache>
                  </c:numRef>
                </c:val>
                <c:smooth val="0"/>
                <c:extLst xmlns:c15="http://schemas.microsoft.com/office/drawing/2012/chart">
                  <c:ext xmlns:c16="http://schemas.microsoft.com/office/drawing/2014/chart" uri="{C3380CC4-5D6E-409C-BE32-E72D297353CC}">
                    <c16:uniqueId val="{00000002-0B37-4A39-854C-18F7A717D641}"/>
                  </c:ext>
                </c:extLst>
              </c15:ser>
            </c15:filteredLineSeries>
          </c:ext>
        </c:extLst>
      </c:lineChart>
      <c:catAx>
        <c:axId val="137808983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t-EE">
                    <a:solidFill>
                      <a:schemeClr val="tx1"/>
                    </a:solidFill>
                    <a:latin typeface="Arial" panose="020B0604020202020204" pitchFamily="34" charset="0"/>
                    <a:cs typeface="Arial" panose="020B0604020202020204" pitchFamily="34" charset="0"/>
                  </a:rPr>
                  <a:t>Aasta</a:t>
                </a:r>
                <a:endParaRPr lang="en-GB">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t-EE"/>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t-EE"/>
          </a:p>
        </c:txPr>
        <c:crossAx val="1231840127"/>
        <c:crosses val="autoZero"/>
        <c:auto val="1"/>
        <c:lblAlgn val="ctr"/>
        <c:lblOffset val="100"/>
        <c:noMultiLvlLbl val="0"/>
      </c:catAx>
      <c:valAx>
        <c:axId val="1231840127"/>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t-EE">
                    <a:solidFill>
                      <a:schemeClr val="tx1"/>
                    </a:solidFill>
                    <a:latin typeface="Arial" panose="020B0604020202020204" pitchFamily="34" charset="0"/>
                    <a:cs typeface="Arial" panose="020B0604020202020204" pitchFamily="34" charset="0"/>
                  </a:rPr>
                  <a:t>GWh</a:t>
                </a:r>
                <a:endParaRPr lang="en-GB">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t-E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t-EE"/>
          </a:p>
        </c:txPr>
        <c:crossAx val="1378089839"/>
        <c:crosses val="autoZero"/>
        <c:crossBetween val="between"/>
      </c:valAx>
      <c:valAx>
        <c:axId val="1231821823"/>
        <c:scaling>
          <c:orientation val="minMax"/>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t-EE" sz="1000" b="0" i="0" baseline="0">
                    <a:solidFill>
                      <a:schemeClr val="tx1"/>
                    </a:solidFill>
                    <a:effectLst/>
                    <a:latin typeface="Arial" panose="020B0604020202020204" pitchFamily="34" charset="0"/>
                    <a:cs typeface="Arial" panose="020B0604020202020204" pitchFamily="34" charset="0"/>
                  </a:rPr>
                  <a:t>tuhat t CO2 eq/GWh</a:t>
                </a:r>
                <a:endParaRPr lang="en-GB" sz="1000">
                  <a:solidFill>
                    <a:schemeClr val="tx1"/>
                  </a:solidFill>
                  <a:effectLst/>
                  <a:latin typeface="Arial" panose="020B0604020202020204" pitchFamily="34" charset="0"/>
                  <a:cs typeface="Arial" panose="020B0604020202020204" pitchFamily="34" charset="0"/>
                </a:endParaRPr>
              </a:p>
            </c:rich>
          </c:tx>
          <c:layout>
            <c:manualLayout>
              <c:xMode val="edge"/>
              <c:yMode val="edge"/>
              <c:x val="0.96025251344400264"/>
              <c:y val="0.22946917810636769"/>
            </c:manualLayout>
          </c:layout>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t-EE"/>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t-EE"/>
          </a:p>
        </c:txPr>
        <c:crossAx val="1477580095"/>
        <c:crosses val="max"/>
        <c:crossBetween val="between"/>
      </c:valAx>
      <c:catAx>
        <c:axId val="1477580095"/>
        <c:scaling>
          <c:orientation val="minMax"/>
        </c:scaling>
        <c:delete val="1"/>
        <c:axPos val="b"/>
        <c:numFmt formatCode="0" sourceLinked="1"/>
        <c:majorTickMark val="out"/>
        <c:minorTickMark val="none"/>
        <c:tickLblPos val="nextTo"/>
        <c:crossAx val="1231821823"/>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4"/>
          <c:order val="4"/>
          <c:tx>
            <c:strRef>
              <c:f>Aastamaks!$A$160:$B$160</c:f>
              <c:strCache>
                <c:ptCount val="2"/>
                <c:pt idx="0">
                  <c:v>Kumulatiivne sääst heitekogustes</c:v>
                </c:pt>
              </c:strCache>
            </c:strRef>
          </c:tx>
          <c:spPr>
            <a:solidFill>
              <a:schemeClr val="accent5"/>
            </a:solidFill>
            <a:ln>
              <a:noFill/>
            </a:ln>
            <a:effectLst/>
          </c:spPr>
          <c:invertIfNegative val="0"/>
          <c:cat>
            <c:strRef>
              <c:f>Aastamaks!$C$156:$M$156</c:f>
              <c:strCache>
                <c:ptCount val="11"/>
                <c:pt idx="0">
                  <c:v>Aasta</c:v>
                </c:pt>
                <c:pt idx="1">
                  <c:v>2021</c:v>
                </c:pt>
                <c:pt idx="2">
                  <c:v>2022</c:v>
                </c:pt>
                <c:pt idx="3">
                  <c:v>2023</c:v>
                </c:pt>
                <c:pt idx="4">
                  <c:v>2024</c:v>
                </c:pt>
                <c:pt idx="5">
                  <c:v>2025</c:v>
                </c:pt>
                <c:pt idx="6">
                  <c:v>2026</c:v>
                </c:pt>
                <c:pt idx="7">
                  <c:v>2027</c:v>
                </c:pt>
                <c:pt idx="8">
                  <c:v>2028</c:v>
                </c:pt>
                <c:pt idx="9">
                  <c:v>2029</c:v>
                </c:pt>
                <c:pt idx="10">
                  <c:v>2030</c:v>
                </c:pt>
              </c:strCache>
            </c:strRef>
          </c:cat>
          <c:val>
            <c:numRef>
              <c:f>Aastamaks!$C$160:$M$160</c:f>
              <c:numCache>
                <c:formatCode>_-* #\ ##0.00\ _€_-;\-* #\ ##0.00\ _€_-;_-* "-"\ _€_-;_-@_-</c:formatCode>
                <c:ptCount val="11"/>
                <c:pt idx="3">
                  <c:v>4.8224431279011117</c:v>
                </c:pt>
                <c:pt idx="4">
                  <c:v>9.6448862558022235</c:v>
                </c:pt>
                <c:pt idx="5">
                  <c:v>14.467329383703335</c:v>
                </c:pt>
                <c:pt idx="6">
                  <c:v>19.289772511604447</c:v>
                </c:pt>
                <c:pt idx="7">
                  <c:v>24.112215639505557</c:v>
                </c:pt>
                <c:pt idx="8">
                  <c:v>28.934658767406667</c:v>
                </c:pt>
                <c:pt idx="9">
                  <c:v>33.757101895307777</c:v>
                </c:pt>
                <c:pt idx="10">
                  <c:v>38.579545023208887</c:v>
                </c:pt>
              </c:numCache>
            </c:numRef>
          </c:val>
          <c:extLst>
            <c:ext xmlns:c16="http://schemas.microsoft.com/office/drawing/2014/chart" uri="{C3380CC4-5D6E-409C-BE32-E72D297353CC}">
              <c16:uniqueId val="{00000004-AB5B-4EAC-A271-05679431C13B}"/>
            </c:ext>
          </c:extLst>
        </c:ser>
        <c:dLbls>
          <c:showLegendKey val="0"/>
          <c:showVal val="0"/>
          <c:showCatName val="0"/>
          <c:showSerName val="0"/>
          <c:showPercent val="0"/>
          <c:showBubbleSize val="0"/>
        </c:dLbls>
        <c:gapWidth val="219"/>
        <c:axId val="751426111"/>
        <c:axId val="1636628239"/>
      </c:barChart>
      <c:lineChart>
        <c:grouping val="standard"/>
        <c:varyColors val="0"/>
        <c:ser>
          <c:idx val="2"/>
          <c:order val="2"/>
          <c:tx>
            <c:strRef>
              <c:f>Aastamaks!$A$158:$B$158</c:f>
              <c:strCache>
                <c:ptCount val="2"/>
                <c:pt idx="0">
                  <c:v>Kumulatiivne energiasääst </c:v>
                </c:pt>
              </c:strCache>
            </c:strRef>
          </c:tx>
          <c:spPr>
            <a:ln w="28575" cap="rnd">
              <a:solidFill>
                <a:schemeClr val="accent2"/>
              </a:solidFill>
              <a:round/>
            </a:ln>
            <a:effectLst/>
          </c:spPr>
          <c:marker>
            <c:symbol val="none"/>
          </c:marker>
          <c:cat>
            <c:strRef>
              <c:f>Aastamaks!$C$156:$M$156</c:f>
              <c:strCache>
                <c:ptCount val="11"/>
                <c:pt idx="0">
                  <c:v>Aasta</c:v>
                </c:pt>
                <c:pt idx="1">
                  <c:v>2021</c:v>
                </c:pt>
                <c:pt idx="2">
                  <c:v>2022</c:v>
                </c:pt>
                <c:pt idx="3">
                  <c:v>2023</c:v>
                </c:pt>
                <c:pt idx="4">
                  <c:v>2024</c:v>
                </c:pt>
                <c:pt idx="5">
                  <c:v>2025</c:v>
                </c:pt>
                <c:pt idx="6">
                  <c:v>2026</c:v>
                </c:pt>
                <c:pt idx="7">
                  <c:v>2027</c:v>
                </c:pt>
                <c:pt idx="8">
                  <c:v>2028</c:v>
                </c:pt>
                <c:pt idx="9">
                  <c:v>2029</c:v>
                </c:pt>
                <c:pt idx="10">
                  <c:v>2030</c:v>
                </c:pt>
              </c:strCache>
            </c:strRef>
          </c:cat>
          <c:val>
            <c:numRef>
              <c:f>Aastamaks!$C$158:$M$158</c:f>
              <c:numCache>
                <c:formatCode>_-* #\ ##0.00\ _€_-;\-* #\ ##0.00\ _€_-;_-* "-"\ _€_-;_-@_-</c:formatCode>
                <c:ptCount val="11"/>
                <c:pt idx="3">
                  <c:v>20.59653506261337</c:v>
                </c:pt>
                <c:pt idx="4">
                  <c:v>41.19307012522674</c:v>
                </c:pt>
                <c:pt idx="5">
                  <c:v>61.78960518784011</c:v>
                </c:pt>
                <c:pt idx="6">
                  <c:v>82.386140250453479</c:v>
                </c:pt>
                <c:pt idx="7">
                  <c:v>102.98267531306685</c:v>
                </c:pt>
                <c:pt idx="8">
                  <c:v>123.57921037568022</c:v>
                </c:pt>
                <c:pt idx="9">
                  <c:v>144.17574543829357</c:v>
                </c:pt>
                <c:pt idx="10">
                  <c:v>164.77228050090696</c:v>
                </c:pt>
              </c:numCache>
            </c:numRef>
          </c:val>
          <c:smooth val="0"/>
          <c:extLst>
            <c:ext xmlns:c16="http://schemas.microsoft.com/office/drawing/2014/chart" uri="{C3380CC4-5D6E-409C-BE32-E72D297353CC}">
              <c16:uniqueId val="{00000002-AB5B-4EAC-A271-05679431C13B}"/>
            </c:ext>
          </c:extLst>
        </c:ser>
        <c:dLbls>
          <c:showLegendKey val="0"/>
          <c:showVal val="0"/>
          <c:showCatName val="0"/>
          <c:showSerName val="0"/>
          <c:showPercent val="0"/>
          <c:showBubbleSize val="0"/>
        </c:dLbls>
        <c:marker val="1"/>
        <c:smooth val="0"/>
        <c:axId val="1694136575"/>
        <c:axId val="1636628655"/>
        <c:extLst>
          <c:ext xmlns:c15="http://schemas.microsoft.com/office/drawing/2012/chart" uri="{02D57815-91ED-43cb-92C2-25804820EDAC}">
            <c15:filteredLineSeries>
              <c15:ser>
                <c:idx val="0"/>
                <c:order val="0"/>
                <c:tx>
                  <c:strRef>
                    <c:extLst>
                      <c:ext uri="{02D57815-91ED-43cb-92C2-25804820EDAC}">
                        <c15:formulaRef>
                          <c15:sqref>Aastamaks!$A$156:$B$156</c15:sqref>
                        </c15:formulaRef>
                      </c:ext>
                    </c:extLst>
                    <c:strCache>
                      <c:ptCount val="2"/>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Aastamaks!$C$156:$M$156</c15:sqref>
                        </c15:formulaRef>
                      </c:ext>
                    </c:extLst>
                    <c:strCache>
                      <c:ptCount val="11"/>
                      <c:pt idx="0">
                        <c:v>Aasta</c:v>
                      </c:pt>
                      <c:pt idx="1">
                        <c:v>2021</c:v>
                      </c:pt>
                      <c:pt idx="2">
                        <c:v>2022</c:v>
                      </c:pt>
                      <c:pt idx="3">
                        <c:v>2023</c:v>
                      </c:pt>
                      <c:pt idx="4">
                        <c:v>2024</c:v>
                      </c:pt>
                      <c:pt idx="5">
                        <c:v>2025</c:v>
                      </c:pt>
                      <c:pt idx="6">
                        <c:v>2026</c:v>
                      </c:pt>
                      <c:pt idx="7">
                        <c:v>2027</c:v>
                      </c:pt>
                      <c:pt idx="8">
                        <c:v>2028</c:v>
                      </c:pt>
                      <c:pt idx="9">
                        <c:v>2029</c:v>
                      </c:pt>
                      <c:pt idx="10">
                        <c:v>2030</c:v>
                      </c:pt>
                    </c:strCache>
                  </c:strRef>
                </c:cat>
                <c:val>
                  <c:numRef>
                    <c:extLst>
                      <c:ext uri="{02D57815-91ED-43cb-92C2-25804820EDAC}">
                        <c15:formulaRef>
                          <c15:sqref>Aastamaks!$C$156:$M$156</c15:sqref>
                        </c15:formulaRef>
                      </c:ext>
                    </c:extLst>
                    <c:numCache>
                      <c:formatCode>0</c:formatCode>
                      <c:ptCount val="11"/>
                      <c:pt idx="0" formatCode="General">
                        <c:v>0</c:v>
                      </c:pt>
                      <c:pt idx="1">
                        <c:v>2021</c:v>
                      </c:pt>
                      <c:pt idx="2">
                        <c:v>2022</c:v>
                      </c:pt>
                      <c:pt idx="3">
                        <c:v>2023</c:v>
                      </c:pt>
                      <c:pt idx="4">
                        <c:v>2024</c:v>
                      </c:pt>
                      <c:pt idx="5">
                        <c:v>2025</c:v>
                      </c:pt>
                      <c:pt idx="6">
                        <c:v>2026</c:v>
                      </c:pt>
                      <c:pt idx="7">
                        <c:v>2027</c:v>
                      </c:pt>
                      <c:pt idx="8">
                        <c:v>2028</c:v>
                      </c:pt>
                      <c:pt idx="9">
                        <c:v>2029</c:v>
                      </c:pt>
                      <c:pt idx="10">
                        <c:v>2030</c:v>
                      </c:pt>
                    </c:numCache>
                  </c:numRef>
                </c:val>
                <c:smooth val="0"/>
                <c:extLst>
                  <c:ext xmlns:c16="http://schemas.microsoft.com/office/drawing/2014/chart" uri="{C3380CC4-5D6E-409C-BE32-E72D297353CC}">
                    <c16:uniqueId val="{00000000-AB5B-4EAC-A271-05679431C13B}"/>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Aastamaks!$A$157:$B$157</c15:sqref>
                        </c15:formulaRef>
                      </c:ext>
                    </c:extLst>
                    <c:strCache>
                      <c:ptCount val="2"/>
                      <c:pt idx="0">
                        <c:v>Energiasääst (GWh)</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xmlns:c15="http://schemas.microsoft.com/office/drawing/2012/chart">
                      <c:ext xmlns:c15="http://schemas.microsoft.com/office/drawing/2012/chart" uri="{02D57815-91ED-43cb-92C2-25804820EDAC}">
                        <c15:formulaRef>
                          <c15:sqref>Aastamaks!$C$156:$M$156</c15:sqref>
                        </c15:formulaRef>
                      </c:ext>
                    </c:extLst>
                    <c:strCache>
                      <c:ptCount val="11"/>
                      <c:pt idx="0">
                        <c:v>Aasta</c:v>
                      </c:pt>
                      <c:pt idx="1">
                        <c:v>2021</c:v>
                      </c:pt>
                      <c:pt idx="2">
                        <c:v>2022</c:v>
                      </c:pt>
                      <c:pt idx="3">
                        <c:v>2023</c:v>
                      </c:pt>
                      <c:pt idx="4">
                        <c:v>2024</c:v>
                      </c:pt>
                      <c:pt idx="5">
                        <c:v>2025</c:v>
                      </c:pt>
                      <c:pt idx="6">
                        <c:v>2026</c:v>
                      </c:pt>
                      <c:pt idx="7">
                        <c:v>2027</c:v>
                      </c:pt>
                      <c:pt idx="8">
                        <c:v>2028</c:v>
                      </c:pt>
                      <c:pt idx="9">
                        <c:v>2029</c:v>
                      </c:pt>
                      <c:pt idx="10">
                        <c:v>2030</c:v>
                      </c:pt>
                    </c:strCache>
                  </c:strRef>
                </c:cat>
                <c:val>
                  <c:numRef>
                    <c:extLst xmlns:c15="http://schemas.microsoft.com/office/drawing/2012/chart">
                      <c:ext xmlns:c15="http://schemas.microsoft.com/office/drawing/2012/chart" uri="{02D57815-91ED-43cb-92C2-25804820EDAC}">
                        <c15:formulaRef>
                          <c15:sqref>Aastamaks!$C$157:$M$157</c15:sqref>
                        </c15:formulaRef>
                      </c:ext>
                    </c:extLst>
                    <c:numCache>
                      <c:formatCode>_-* #\ ##0.00\ _€_-;\-* #\ ##0.00\ _€_-;_-* "-"\ _€_-;_-@_-</c:formatCode>
                      <c:ptCount val="11"/>
                      <c:pt idx="3">
                        <c:v>20.59653506261337</c:v>
                      </c:pt>
                      <c:pt idx="4">
                        <c:v>20.59653506261337</c:v>
                      </c:pt>
                      <c:pt idx="5">
                        <c:v>20.59653506261337</c:v>
                      </c:pt>
                      <c:pt idx="6">
                        <c:v>20.59653506261337</c:v>
                      </c:pt>
                      <c:pt idx="7">
                        <c:v>20.59653506261337</c:v>
                      </c:pt>
                      <c:pt idx="8">
                        <c:v>20.59653506261337</c:v>
                      </c:pt>
                      <c:pt idx="9">
                        <c:v>20.59653506261337</c:v>
                      </c:pt>
                      <c:pt idx="10">
                        <c:v>20.59653506261337</c:v>
                      </c:pt>
                    </c:numCache>
                  </c:numRef>
                </c:val>
                <c:smooth val="0"/>
                <c:extLst xmlns:c15="http://schemas.microsoft.com/office/drawing/2012/chart">
                  <c:ext xmlns:c16="http://schemas.microsoft.com/office/drawing/2014/chart" uri="{C3380CC4-5D6E-409C-BE32-E72D297353CC}">
                    <c16:uniqueId val="{00000001-AB5B-4EAC-A271-05679431C13B}"/>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Aastamaks!$A$159:$B$159</c15:sqref>
                        </c15:formulaRef>
                      </c:ext>
                    </c:extLst>
                    <c:strCache>
                      <c:ptCount val="2"/>
                      <c:pt idx="0">
                        <c:v>CO2 sääst (tuh t CO2 eq)</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extLst xmlns:c15="http://schemas.microsoft.com/office/drawing/2012/chart">
                      <c:ext xmlns:c15="http://schemas.microsoft.com/office/drawing/2012/chart" uri="{02D57815-91ED-43cb-92C2-25804820EDAC}">
                        <c15:formulaRef>
                          <c15:sqref>Aastamaks!$C$156:$M$156</c15:sqref>
                        </c15:formulaRef>
                      </c:ext>
                    </c:extLst>
                    <c:strCache>
                      <c:ptCount val="11"/>
                      <c:pt idx="0">
                        <c:v>Aasta</c:v>
                      </c:pt>
                      <c:pt idx="1">
                        <c:v>2021</c:v>
                      </c:pt>
                      <c:pt idx="2">
                        <c:v>2022</c:v>
                      </c:pt>
                      <c:pt idx="3">
                        <c:v>2023</c:v>
                      </c:pt>
                      <c:pt idx="4">
                        <c:v>2024</c:v>
                      </c:pt>
                      <c:pt idx="5">
                        <c:v>2025</c:v>
                      </c:pt>
                      <c:pt idx="6">
                        <c:v>2026</c:v>
                      </c:pt>
                      <c:pt idx="7">
                        <c:v>2027</c:v>
                      </c:pt>
                      <c:pt idx="8">
                        <c:v>2028</c:v>
                      </c:pt>
                      <c:pt idx="9">
                        <c:v>2029</c:v>
                      </c:pt>
                      <c:pt idx="10">
                        <c:v>2030</c:v>
                      </c:pt>
                    </c:strCache>
                  </c:strRef>
                </c:cat>
                <c:val>
                  <c:numRef>
                    <c:extLst xmlns:c15="http://schemas.microsoft.com/office/drawing/2012/chart">
                      <c:ext xmlns:c15="http://schemas.microsoft.com/office/drawing/2012/chart" uri="{02D57815-91ED-43cb-92C2-25804820EDAC}">
                        <c15:formulaRef>
                          <c15:sqref>Aastamaks!$C$159:$M$159</c15:sqref>
                        </c15:formulaRef>
                      </c:ext>
                    </c:extLst>
                    <c:numCache>
                      <c:formatCode>_-* #\ ##0.00\ _€_-;\-* #\ ##0.00\ _€_-;_-* "-"\ _€_-;_-@_-</c:formatCode>
                      <c:ptCount val="11"/>
                      <c:pt idx="3">
                        <c:v>4.8224431279011117</c:v>
                      </c:pt>
                      <c:pt idx="4">
                        <c:v>4.8224431279011117</c:v>
                      </c:pt>
                      <c:pt idx="5">
                        <c:v>4.8224431279011117</c:v>
                      </c:pt>
                      <c:pt idx="6">
                        <c:v>4.8224431279011117</c:v>
                      </c:pt>
                      <c:pt idx="7">
                        <c:v>4.8224431279011117</c:v>
                      </c:pt>
                      <c:pt idx="8">
                        <c:v>4.8224431279011117</c:v>
                      </c:pt>
                      <c:pt idx="9">
                        <c:v>4.8224431279011117</c:v>
                      </c:pt>
                      <c:pt idx="10">
                        <c:v>4.8224431279011117</c:v>
                      </c:pt>
                    </c:numCache>
                  </c:numRef>
                </c:val>
                <c:smooth val="0"/>
                <c:extLst xmlns:c15="http://schemas.microsoft.com/office/drawing/2012/chart">
                  <c:ext xmlns:c16="http://schemas.microsoft.com/office/drawing/2014/chart" uri="{C3380CC4-5D6E-409C-BE32-E72D297353CC}">
                    <c16:uniqueId val="{00000003-AB5B-4EAC-A271-05679431C13B}"/>
                  </c:ext>
                </c:extLst>
              </c15:ser>
            </c15:filteredLineSeries>
          </c:ext>
        </c:extLst>
      </c:lineChart>
      <c:catAx>
        <c:axId val="169413657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t-EE">
                    <a:solidFill>
                      <a:schemeClr val="tx1"/>
                    </a:solidFill>
                    <a:latin typeface="Arial" panose="020B0604020202020204" pitchFamily="34" charset="0"/>
                    <a:cs typeface="Arial" panose="020B0604020202020204" pitchFamily="34" charset="0"/>
                  </a:rPr>
                  <a:t>Aasta</a:t>
                </a:r>
                <a:endParaRPr lang="en-GB">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t-E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t-EE"/>
          </a:p>
        </c:txPr>
        <c:crossAx val="1636628655"/>
        <c:crosses val="autoZero"/>
        <c:auto val="1"/>
        <c:lblAlgn val="ctr"/>
        <c:lblOffset val="100"/>
        <c:noMultiLvlLbl val="0"/>
      </c:catAx>
      <c:valAx>
        <c:axId val="1636628655"/>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t-EE">
                    <a:solidFill>
                      <a:schemeClr val="tx1"/>
                    </a:solidFill>
                    <a:latin typeface="Arial" panose="020B0604020202020204" pitchFamily="34" charset="0"/>
                    <a:cs typeface="Arial" panose="020B0604020202020204" pitchFamily="34" charset="0"/>
                  </a:rPr>
                  <a:t>GWh</a:t>
                </a:r>
                <a:endParaRPr lang="en-GB">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t-E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t-EE"/>
          </a:p>
        </c:txPr>
        <c:crossAx val="1694136575"/>
        <c:crosses val="autoZero"/>
        <c:crossBetween val="between"/>
      </c:valAx>
      <c:valAx>
        <c:axId val="1636628239"/>
        <c:scaling>
          <c:orientation val="minMax"/>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t-EE">
                    <a:solidFill>
                      <a:schemeClr val="tx1"/>
                    </a:solidFill>
                    <a:latin typeface="Arial" panose="020B0604020202020204" pitchFamily="34" charset="0"/>
                    <a:cs typeface="Arial" panose="020B0604020202020204" pitchFamily="34" charset="0"/>
                  </a:rPr>
                  <a:t>tuhat t CO2 eq/GWh</a:t>
                </a:r>
                <a:endParaRPr lang="en-GB">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t-EE"/>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t-EE"/>
          </a:p>
        </c:txPr>
        <c:crossAx val="751426111"/>
        <c:crosses val="max"/>
        <c:crossBetween val="between"/>
      </c:valAx>
      <c:catAx>
        <c:axId val="751426111"/>
        <c:scaling>
          <c:orientation val="minMax"/>
        </c:scaling>
        <c:delete val="1"/>
        <c:axPos val="b"/>
        <c:numFmt formatCode="General" sourceLinked="1"/>
        <c:majorTickMark val="out"/>
        <c:minorTickMark val="none"/>
        <c:tickLblPos val="nextTo"/>
        <c:crossAx val="163662823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4"/>
          <c:order val="4"/>
          <c:tx>
            <c:strRef>
              <c:f>'Registreerimismaks (1)'!$A$158:$B$158</c:f>
              <c:strCache>
                <c:ptCount val="2"/>
                <c:pt idx="0">
                  <c:v>Kumulatiivne sääst heitekogustes</c:v>
                </c:pt>
              </c:strCache>
            </c:strRef>
          </c:tx>
          <c:spPr>
            <a:solidFill>
              <a:schemeClr val="accent5"/>
            </a:solidFill>
            <a:ln>
              <a:noFill/>
            </a:ln>
            <a:effectLst/>
          </c:spPr>
          <c:invertIfNegative val="0"/>
          <c:cat>
            <c:strRef>
              <c:f>'Registreerimismaks (1)'!$C$154:$M$154</c:f>
              <c:strCache>
                <c:ptCount val="11"/>
                <c:pt idx="0">
                  <c:v>Aasta</c:v>
                </c:pt>
                <c:pt idx="1">
                  <c:v>2021</c:v>
                </c:pt>
                <c:pt idx="2">
                  <c:v>2022</c:v>
                </c:pt>
                <c:pt idx="3">
                  <c:v>2023</c:v>
                </c:pt>
                <c:pt idx="4">
                  <c:v>2024</c:v>
                </c:pt>
                <c:pt idx="5">
                  <c:v>2025</c:v>
                </c:pt>
                <c:pt idx="6">
                  <c:v>2026</c:v>
                </c:pt>
                <c:pt idx="7">
                  <c:v>2027</c:v>
                </c:pt>
                <c:pt idx="8">
                  <c:v>2028</c:v>
                </c:pt>
                <c:pt idx="9">
                  <c:v>2029</c:v>
                </c:pt>
                <c:pt idx="10">
                  <c:v>2030</c:v>
                </c:pt>
              </c:strCache>
            </c:strRef>
          </c:cat>
          <c:val>
            <c:numRef>
              <c:f>'Registreerimismaks (1)'!$C$158:$M$158</c:f>
              <c:numCache>
                <c:formatCode>_-* #\ ##0.00\ _€_-;\-* #\ ##0.00\ _€_-;_-* "-"\ _€_-;_-@_-</c:formatCode>
                <c:ptCount val="11"/>
                <c:pt idx="3">
                  <c:v>5.0814336222520744</c:v>
                </c:pt>
                <c:pt idx="4">
                  <c:v>10.162867244504149</c:v>
                </c:pt>
                <c:pt idx="5">
                  <c:v>15.244300866756223</c:v>
                </c:pt>
                <c:pt idx="6">
                  <c:v>20.325734489008298</c:v>
                </c:pt>
                <c:pt idx="7">
                  <c:v>25.407168111260372</c:v>
                </c:pt>
                <c:pt idx="8">
                  <c:v>30.488601733512446</c:v>
                </c:pt>
                <c:pt idx="9">
                  <c:v>35.570035355764517</c:v>
                </c:pt>
                <c:pt idx="10">
                  <c:v>40.651468978016595</c:v>
                </c:pt>
              </c:numCache>
            </c:numRef>
          </c:val>
          <c:extLst>
            <c:ext xmlns:c16="http://schemas.microsoft.com/office/drawing/2014/chart" uri="{C3380CC4-5D6E-409C-BE32-E72D297353CC}">
              <c16:uniqueId val="{00000004-6C2A-4DB7-98D7-C6A86DD04845}"/>
            </c:ext>
          </c:extLst>
        </c:ser>
        <c:dLbls>
          <c:showLegendKey val="0"/>
          <c:showVal val="0"/>
          <c:showCatName val="0"/>
          <c:showSerName val="0"/>
          <c:showPercent val="0"/>
          <c:showBubbleSize val="0"/>
        </c:dLbls>
        <c:gapWidth val="219"/>
        <c:axId val="1694559519"/>
        <c:axId val="1695386047"/>
      </c:barChart>
      <c:lineChart>
        <c:grouping val="standard"/>
        <c:varyColors val="0"/>
        <c:ser>
          <c:idx val="2"/>
          <c:order val="2"/>
          <c:tx>
            <c:strRef>
              <c:f>'Registreerimismaks (1)'!$A$156:$B$156</c:f>
              <c:strCache>
                <c:ptCount val="2"/>
                <c:pt idx="0">
                  <c:v>Kumulatiivne energiasääst </c:v>
                </c:pt>
              </c:strCache>
            </c:strRef>
          </c:tx>
          <c:spPr>
            <a:ln w="28575" cap="rnd">
              <a:solidFill>
                <a:schemeClr val="accent2"/>
              </a:solidFill>
              <a:round/>
            </a:ln>
            <a:effectLst/>
          </c:spPr>
          <c:marker>
            <c:symbol val="none"/>
          </c:marker>
          <c:cat>
            <c:strRef>
              <c:f>'Registreerimismaks (1)'!$C$154:$M$154</c:f>
              <c:strCache>
                <c:ptCount val="11"/>
                <c:pt idx="0">
                  <c:v>Aasta</c:v>
                </c:pt>
                <c:pt idx="1">
                  <c:v>2021</c:v>
                </c:pt>
                <c:pt idx="2">
                  <c:v>2022</c:v>
                </c:pt>
                <c:pt idx="3">
                  <c:v>2023</c:v>
                </c:pt>
                <c:pt idx="4">
                  <c:v>2024</c:v>
                </c:pt>
                <c:pt idx="5">
                  <c:v>2025</c:v>
                </c:pt>
                <c:pt idx="6">
                  <c:v>2026</c:v>
                </c:pt>
                <c:pt idx="7">
                  <c:v>2027</c:v>
                </c:pt>
                <c:pt idx="8">
                  <c:v>2028</c:v>
                </c:pt>
                <c:pt idx="9">
                  <c:v>2029</c:v>
                </c:pt>
                <c:pt idx="10">
                  <c:v>2030</c:v>
                </c:pt>
              </c:strCache>
            </c:strRef>
          </c:cat>
          <c:val>
            <c:numRef>
              <c:f>'Registreerimismaks (1)'!$C$156:$M$156</c:f>
              <c:numCache>
                <c:formatCode>_-* #\ ##0.00\ _€_-;\-* #\ ##0.00\ _€_-;_-* "-"\ _€_-;_-@_-</c:formatCode>
                <c:ptCount val="11"/>
                <c:pt idx="3">
                  <c:v>21.702677044241021</c:v>
                </c:pt>
                <c:pt idx="4">
                  <c:v>43.405354088482042</c:v>
                </c:pt>
                <c:pt idx="5">
                  <c:v>65.108031132723056</c:v>
                </c:pt>
                <c:pt idx="6">
                  <c:v>86.810708176964084</c:v>
                </c:pt>
                <c:pt idx="7">
                  <c:v>108.51338522120511</c:v>
                </c:pt>
                <c:pt idx="8">
                  <c:v>130.21606226544614</c:v>
                </c:pt>
                <c:pt idx="9">
                  <c:v>151.91873930968717</c:v>
                </c:pt>
                <c:pt idx="10">
                  <c:v>173.6214163539282</c:v>
                </c:pt>
              </c:numCache>
            </c:numRef>
          </c:val>
          <c:smooth val="0"/>
          <c:extLst>
            <c:ext xmlns:c16="http://schemas.microsoft.com/office/drawing/2014/chart" uri="{C3380CC4-5D6E-409C-BE32-E72D297353CC}">
              <c16:uniqueId val="{00000002-6C2A-4DB7-98D7-C6A86DD04845}"/>
            </c:ext>
          </c:extLst>
        </c:ser>
        <c:dLbls>
          <c:showLegendKey val="0"/>
          <c:showVal val="0"/>
          <c:showCatName val="0"/>
          <c:showSerName val="0"/>
          <c:showPercent val="0"/>
          <c:showBubbleSize val="0"/>
        </c:dLbls>
        <c:marker val="1"/>
        <c:smooth val="0"/>
        <c:axId val="1694142575"/>
        <c:axId val="1646924495"/>
        <c:extLst>
          <c:ext xmlns:c15="http://schemas.microsoft.com/office/drawing/2012/chart" uri="{02D57815-91ED-43cb-92C2-25804820EDAC}">
            <c15:filteredLineSeries>
              <c15:ser>
                <c:idx val="0"/>
                <c:order val="0"/>
                <c:tx>
                  <c:strRef>
                    <c:extLst>
                      <c:ext uri="{02D57815-91ED-43cb-92C2-25804820EDAC}">
                        <c15:formulaRef>
                          <c15:sqref>'Registreerimismaks (1)'!$A$154:$B$154</c15:sqref>
                        </c15:formulaRef>
                      </c:ext>
                    </c:extLst>
                    <c:strCache>
                      <c:ptCount val="2"/>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'Registreerimismaks (1)'!$C$154:$M$154</c15:sqref>
                        </c15:formulaRef>
                      </c:ext>
                    </c:extLst>
                    <c:strCache>
                      <c:ptCount val="11"/>
                      <c:pt idx="0">
                        <c:v>Aasta</c:v>
                      </c:pt>
                      <c:pt idx="1">
                        <c:v>2021</c:v>
                      </c:pt>
                      <c:pt idx="2">
                        <c:v>2022</c:v>
                      </c:pt>
                      <c:pt idx="3">
                        <c:v>2023</c:v>
                      </c:pt>
                      <c:pt idx="4">
                        <c:v>2024</c:v>
                      </c:pt>
                      <c:pt idx="5">
                        <c:v>2025</c:v>
                      </c:pt>
                      <c:pt idx="6">
                        <c:v>2026</c:v>
                      </c:pt>
                      <c:pt idx="7">
                        <c:v>2027</c:v>
                      </c:pt>
                      <c:pt idx="8">
                        <c:v>2028</c:v>
                      </c:pt>
                      <c:pt idx="9">
                        <c:v>2029</c:v>
                      </c:pt>
                      <c:pt idx="10">
                        <c:v>2030</c:v>
                      </c:pt>
                    </c:strCache>
                  </c:strRef>
                </c:cat>
                <c:val>
                  <c:numRef>
                    <c:extLst>
                      <c:ext uri="{02D57815-91ED-43cb-92C2-25804820EDAC}">
                        <c15:formulaRef>
                          <c15:sqref>'Registreerimismaks (1)'!$C$154:$M$154</c15:sqref>
                        </c15:formulaRef>
                      </c:ext>
                    </c:extLst>
                    <c:numCache>
                      <c:formatCode>0</c:formatCode>
                      <c:ptCount val="11"/>
                      <c:pt idx="0" formatCode="General">
                        <c:v>0</c:v>
                      </c:pt>
                      <c:pt idx="1">
                        <c:v>2021</c:v>
                      </c:pt>
                      <c:pt idx="2">
                        <c:v>2022</c:v>
                      </c:pt>
                      <c:pt idx="3">
                        <c:v>2023</c:v>
                      </c:pt>
                      <c:pt idx="4">
                        <c:v>2024</c:v>
                      </c:pt>
                      <c:pt idx="5">
                        <c:v>2025</c:v>
                      </c:pt>
                      <c:pt idx="6">
                        <c:v>2026</c:v>
                      </c:pt>
                      <c:pt idx="7">
                        <c:v>2027</c:v>
                      </c:pt>
                      <c:pt idx="8">
                        <c:v>2028</c:v>
                      </c:pt>
                      <c:pt idx="9">
                        <c:v>2029</c:v>
                      </c:pt>
                      <c:pt idx="10">
                        <c:v>2030</c:v>
                      </c:pt>
                    </c:numCache>
                  </c:numRef>
                </c:val>
                <c:smooth val="0"/>
                <c:extLst>
                  <c:ext xmlns:c16="http://schemas.microsoft.com/office/drawing/2014/chart" uri="{C3380CC4-5D6E-409C-BE32-E72D297353CC}">
                    <c16:uniqueId val="{00000000-6C2A-4DB7-98D7-C6A86DD04845}"/>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'Registreerimismaks (1)'!$A$155:$B$155</c15:sqref>
                        </c15:formulaRef>
                      </c:ext>
                    </c:extLst>
                    <c:strCache>
                      <c:ptCount val="2"/>
                      <c:pt idx="0">
                        <c:v>Energiasääst (GWh)</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xmlns:c15="http://schemas.microsoft.com/office/drawing/2012/chart">
                      <c:ext xmlns:c15="http://schemas.microsoft.com/office/drawing/2012/chart" uri="{02D57815-91ED-43cb-92C2-25804820EDAC}">
                        <c15:formulaRef>
                          <c15:sqref>'Registreerimismaks (1)'!$C$154:$M$154</c15:sqref>
                        </c15:formulaRef>
                      </c:ext>
                    </c:extLst>
                    <c:strCache>
                      <c:ptCount val="11"/>
                      <c:pt idx="0">
                        <c:v>Aasta</c:v>
                      </c:pt>
                      <c:pt idx="1">
                        <c:v>2021</c:v>
                      </c:pt>
                      <c:pt idx="2">
                        <c:v>2022</c:v>
                      </c:pt>
                      <c:pt idx="3">
                        <c:v>2023</c:v>
                      </c:pt>
                      <c:pt idx="4">
                        <c:v>2024</c:v>
                      </c:pt>
                      <c:pt idx="5">
                        <c:v>2025</c:v>
                      </c:pt>
                      <c:pt idx="6">
                        <c:v>2026</c:v>
                      </c:pt>
                      <c:pt idx="7">
                        <c:v>2027</c:v>
                      </c:pt>
                      <c:pt idx="8">
                        <c:v>2028</c:v>
                      </c:pt>
                      <c:pt idx="9">
                        <c:v>2029</c:v>
                      </c:pt>
                      <c:pt idx="10">
                        <c:v>2030</c:v>
                      </c:pt>
                    </c:strCache>
                  </c:strRef>
                </c:cat>
                <c:val>
                  <c:numRef>
                    <c:extLst xmlns:c15="http://schemas.microsoft.com/office/drawing/2012/chart">
                      <c:ext xmlns:c15="http://schemas.microsoft.com/office/drawing/2012/chart" uri="{02D57815-91ED-43cb-92C2-25804820EDAC}">
                        <c15:formulaRef>
                          <c15:sqref>'Registreerimismaks (1)'!$C$155:$M$155</c15:sqref>
                        </c15:formulaRef>
                      </c:ext>
                    </c:extLst>
                    <c:numCache>
                      <c:formatCode>_-* #\ ##0.00\ _€_-;\-* #\ ##0.00\ _€_-;_-* "-"\ _€_-;_-@_-</c:formatCode>
                      <c:ptCount val="11"/>
                      <c:pt idx="3">
                        <c:v>21.702677044241021</c:v>
                      </c:pt>
                      <c:pt idx="4">
                        <c:v>21.702677044241021</c:v>
                      </c:pt>
                      <c:pt idx="5">
                        <c:v>21.702677044241021</c:v>
                      </c:pt>
                      <c:pt idx="6">
                        <c:v>21.702677044241021</c:v>
                      </c:pt>
                      <c:pt idx="7">
                        <c:v>21.702677044241021</c:v>
                      </c:pt>
                      <c:pt idx="8">
                        <c:v>21.702677044241021</c:v>
                      </c:pt>
                      <c:pt idx="9">
                        <c:v>21.702677044241021</c:v>
                      </c:pt>
                      <c:pt idx="10">
                        <c:v>21.702677044241021</c:v>
                      </c:pt>
                    </c:numCache>
                  </c:numRef>
                </c:val>
                <c:smooth val="0"/>
                <c:extLst xmlns:c15="http://schemas.microsoft.com/office/drawing/2012/chart">
                  <c:ext xmlns:c16="http://schemas.microsoft.com/office/drawing/2014/chart" uri="{C3380CC4-5D6E-409C-BE32-E72D297353CC}">
                    <c16:uniqueId val="{00000001-6C2A-4DB7-98D7-C6A86DD04845}"/>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'Registreerimismaks (1)'!$A$157:$B$157</c15:sqref>
                        </c15:formulaRef>
                      </c:ext>
                    </c:extLst>
                    <c:strCache>
                      <c:ptCount val="2"/>
                      <c:pt idx="0">
                        <c:v>CO2 sääst (tuh t CO2 eq)</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extLst xmlns:c15="http://schemas.microsoft.com/office/drawing/2012/chart">
                      <c:ext xmlns:c15="http://schemas.microsoft.com/office/drawing/2012/chart" uri="{02D57815-91ED-43cb-92C2-25804820EDAC}">
                        <c15:formulaRef>
                          <c15:sqref>'Registreerimismaks (1)'!$C$154:$M$154</c15:sqref>
                        </c15:formulaRef>
                      </c:ext>
                    </c:extLst>
                    <c:strCache>
                      <c:ptCount val="11"/>
                      <c:pt idx="0">
                        <c:v>Aasta</c:v>
                      </c:pt>
                      <c:pt idx="1">
                        <c:v>2021</c:v>
                      </c:pt>
                      <c:pt idx="2">
                        <c:v>2022</c:v>
                      </c:pt>
                      <c:pt idx="3">
                        <c:v>2023</c:v>
                      </c:pt>
                      <c:pt idx="4">
                        <c:v>2024</c:v>
                      </c:pt>
                      <c:pt idx="5">
                        <c:v>2025</c:v>
                      </c:pt>
                      <c:pt idx="6">
                        <c:v>2026</c:v>
                      </c:pt>
                      <c:pt idx="7">
                        <c:v>2027</c:v>
                      </c:pt>
                      <c:pt idx="8">
                        <c:v>2028</c:v>
                      </c:pt>
                      <c:pt idx="9">
                        <c:v>2029</c:v>
                      </c:pt>
                      <c:pt idx="10">
                        <c:v>2030</c:v>
                      </c:pt>
                    </c:strCache>
                  </c:strRef>
                </c:cat>
                <c:val>
                  <c:numRef>
                    <c:extLst xmlns:c15="http://schemas.microsoft.com/office/drawing/2012/chart">
                      <c:ext xmlns:c15="http://schemas.microsoft.com/office/drawing/2012/chart" uri="{02D57815-91ED-43cb-92C2-25804820EDAC}">
                        <c15:formulaRef>
                          <c15:sqref>'Registreerimismaks (1)'!$C$157:$M$157</c15:sqref>
                        </c15:formulaRef>
                      </c:ext>
                    </c:extLst>
                    <c:numCache>
                      <c:formatCode>_-* #\ ##0.00\ _€_-;\-* #\ ##0.00\ _€_-;_-* "-"\ _€_-;_-@_-</c:formatCode>
                      <c:ptCount val="11"/>
                      <c:pt idx="3">
                        <c:v>5.0814336222520744</c:v>
                      </c:pt>
                      <c:pt idx="4">
                        <c:v>5.0814336222520744</c:v>
                      </c:pt>
                      <c:pt idx="5">
                        <c:v>5.0814336222520744</c:v>
                      </c:pt>
                      <c:pt idx="6">
                        <c:v>5.0814336222520744</c:v>
                      </c:pt>
                      <c:pt idx="7">
                        <c:v>5.0814336222520744</c:v>
                      </c:pt>
                      <c:pt idx="8">
                        <c:v>5.0814336222520744</c:v>
                      </c:pt>
                      <c:pt idx="9">
                        <c:v>5.0814336222520744</c:v>
                      </c:pt>
                      <c:pt idx="10">
                        <c:v>5.0814336222520744</c:v>
                      </c:pt>
                    </c:numCache>
                  </c:numRef>
                </c:val>
                <c:smooth val="0"/>
                <c:extLst xmlns:c15="http://schemas.microsoft.com/office/drawing/2012/chart">
                  <c:ext xmlns:c16="http://schemas.microsoft.com/office/drawing/2014/chart" uri="{C3380CC4-5D6E-409C-BE32-E72D297353CC}">
                    <c16:uniqueId val="{00000003-6C2A-4DB7-98D7-C6A86DD04845}"/>
                  </c:ext>
                </c:extLst>
              </c15:ser>
            </c15:filteredLineSeries>
          </c:ext>
        </c:extLst>
      </c:lineChart>
      <c:catAx>
        <c:axId val="169414257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t-EE">
                    <a:solidFill>
                      <a:schemeClr val="tx1"/>
                    </a:solidFill>
                    <a:latin typeface="Arial" panose="020B0604020202020204" pitchFamily="34" charset="0"/>
                    <a:cs typeface="Arial" panose="020B0604020202020204" pitchFamily="34" charset="0"/>
                  </a:rPr>
                  <a:t>Aasta</a:t>
                </a:r>
                <a:endParaRPr lang="en-GB">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t-E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t-EE"/>
          </a:p>
        </c:txPr>
        <c:crossAx val="1646924495"/>
        <c:crosses val="autoZero"/>
        <c:auto val="1"/>
        <c:lblAlgn val="ctr"/>
        <c:lblOffset val="100"/>
        <c:noMultiLvlLbl val="0"/>
      </c:catAx>
      <c:valAx>
        <c:axId val="1646924495"/>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t-EE">
                    <a:solidFill>
                      <a:schemeClr val="tx1"/>
                    </a:solidFill>
                    <a:latin typeface="Arial" panose="020B0604020202020204" pitchFamily="34" charset="0"/>
                    <a:cs typeface="Arial" panose="020B0604020202020204" pitchFamily="34" charset="0"/>
                  </a:rPr>
                  <a:t>GWh</a:t>
                </a:r>
                <a:endParaRPr lang="en-GB">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t-E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t-EE"/>
          </a:p>
        </c:txPr>
        <c:crossAx val="1694142575"/>
        <c:crosses val="autoZero"/>
        <c:crossBetween val="between"/>
      </c:valAx>
      <c:valAx>
        <c:axId val="1695386047"/>
        <c:scaling>
          <c:orientation val="minMax"/>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t-EE">
                    <a:solidFill>
                      <a:schemeClr val="tx1"/>
                    </a:solidFill>
                    <a:latin typeface="Arial" panose="020B0604020202020204" pitchFamily="34" charset="0"/>
                    <a:cs typeface="Arial" panose="020B0604020202020204" pitchFamily="34" charset="0"/>
                  </a:rPr>
                  <a:t>tuhat t CO2 eq/GWh</a:t>
                </a:r>
                <a:endParaRPr lang="en-GB">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t-EE"/>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t-EE"/>
          </a:p>
        </c:txPr>
        <c:crossAx val="1694559519"/>
        <c:crosses val="max"/>
        <c:crossBetween val="between"/>
      </c:valAx>
      <c:catAx>
        <c:axId val="1694559519"/>
        <c:scaling>
          <c:orientation val="minMax"/>
        </c:scaling>
        <c:delete val="1"/>
        <c:axPos val="b"/>
        <c:numFmt formatCode="General" sourceLinked="1"/>
        <c:majorTickMark val="out"/>
        <c:minorTickMark val="none"/>
        <c:tickLblPos val="nextTo"/>
        <c:crossAx val="169538604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278054901794361E-2"/>
          <c:y val="7.4884190187843563E-2"/>
          <c:w val="0.84344389019641131"/>
          <c:h val="0.6914969979601584"/>
        </c:manualLayout>
      </c:layout>
      <c:barChart>
        <c:barDir val="col"/>
        <c:grouping val="clustered"/>
        <c:varyColors val="0"/>
        <c:ser>
          <c:idx val="3"/>
          <c:order val="3"/>
          <c:tx>
            <c:strRef>
              <c:f>'Registreerimismaks (2)'!$A$153:$G$153</c:f>
              <c:strCache>
                <c:ptCount val="7"/>
                <c:pt idx="0">
                  <c:v>Kumulatiivne sääst heitekogustes</c:v>
                </c:pt>
              </c:strCache>
            </c:strRef>
          </c:tx>
          <c:spPr>
            <a:solidFill>
              <a:schemeClr val="accent5"/>
            </a:solidFill>
            <a:ln>
              <a:noFill/>
            </a:ln>
            <a:effectLst/>
          </c:spPr>
          <c:invertIfNegative val="0"/>
          <c:cat>
            <c:strRef>
              <c:extLst>
                <c:ext xmlns:c15="http://schemas.microsoft.com/office/drawing/2012/chart" uri="{02D57815-91ED-43cb-92C2-25804820EDAC}">
                  <c15:fullRef>
                    <c15:sqref>'Registreerimismaks (2)'!$H$149:$U$149</c15:sqref>
                  </c15:fullRef>
                </c:ext>
              </c:extLst>
              <c:f>('Registreerimismaks (2)'!$I$149,'Registreerimismaks (2)'!$K$149,'Registreerimismaks (2)'!$M$149,'Registreerimismaks (2)'!$O$149,'Registreerimismaks (2)'!$Q$149,'Registreerimismaks (2)'!$S$149,'Registreerimismaks (2)'!$U$149)</c:f>
              <c:strCache>
                <c:ptCount val="7"/>
                <c:pt idx="0">
                  <c:v>2024</c:v>
                </c:pt>
                <c:pt idx="1">
                  <c:v>2025</c:v>
                </c:pt>
                <c:pt idx="2">
                  <c:v>2026</c:v>
                </c:pt>
                <c:pt idx="3">
                  <c:v>2027</c:v>
                </c:pt>
                <c:pt idx="4">
                  <c:v>2028</c:v>
                </c:pt>
                <c:pt idx="5">
                  <c:v>2029</c:v>
                </c:pt>
                <c:pt idx="6">
                  <c:v>2030</c:v>
                </c:pt>
              </c:strCache>
            </c:strRef>
          </c:cat>
          <c:val>
            <c:numRef>
              <c:extLst>
                <c:ext xmlns:c15="http://schemas.microsoft.com/office/drawing/2012/chart" uri="{02D57815-91ED-43cb-92C2-25804820EDAC}">
                  <c15:fullRef>
                    <c15:sqref>'Registreerimismaks (2)'!$H$153:$U$153</c15:sqref>
                  </c15:fullRef>
                </c:ext>
              </c:extLst>
              <c:f>('Registreerimismaks (2)'!$I$153,'Registreerimismaks (2)'!$K$153,'Registreerimismaks (2)'!$M$153,'Registreerimismaks (2)'!$O$153,'Registreerimismaks (2)'!$Q$153,'Registreerimismaks (2)'!$S$153,'Registreerimismaks (2)'!$U$153)</c:f>
              <c:numCache>
                <c:formatCode>_-* #\ ##0.00\ _€_-;\-* #\ ##0.00\ _€_-;_-* "-"\ _€_-;_-@_-</c:formatCode>
                <c:ptCount val="7"/>
                <c:pt idx="0">
                  <c:v>12.347899928505317</c:v>
                </c:pt>
                <c:pt idx="1">
                  <c:v>31.643364688239071</c:v>
                </c:pt>
                <c:pt idx="2">
                  <c:v>55.851084325896338</c:v>
                </c:pt>
                <c:pt idx="3">
                  <c:v>83.944237070116969</c:v>
                </c:pt>
                <c:pt idx="4">
                  <c:v>117.13671892155267</c:v>
                </c:pt>
                <c:pt idx="5">
                  <c:v>155.56204658040576</c:v>
                </c:pt>
                <c:pt idx="6">
                  <c:v>197.56775878757762</c:v>
                </c:pt>
              </c:numCache>
            </c:numRef>
          </c:val>
          <c:extLst>
            <c:ext xmlns:c16="http://schemas.microsoft.com/office/drawing/2014/chart" uri="{C3380CC4-5D6E-409C-BE32-E72D297353CC}">
              <c16:uniqueId val="{00000003-951D-46F2-BE7A-82BF7CA568E2}"/>
            </c:ext>
          </c:extLst>
        </c:ser>
        <c:dLbls>
          <c:showLegendKey val="0"/>
          <c:showVal val="0"/>
          <c:showCatName val="0"/>
          <c:showSerName val="0"/>
          <c:showPercent val="0"/>
          <c:showBubbleSize val="0"/>
        </c:dLbls>
        <c:gapWidth val="219"/>
        <c:axId val="1694139775"/>
        <c:axId val="1579225247"/>
      </c:barChart>
      <c:lineChart>
        <c:grouping val="standard"/>
        <c:varyColors val="0"/>
        <c:ser>
          <c:idx val="1"/>
          <c:order val="1"/>
          <c:tx>
            <c:strRef>
              <c:f>'Registreerimismaks (2)'!$A$151:$G$151</c:f>
              <c:strCache>
                <c:ptCount val="7"/>
                <c:pt idx="0">
                  <c:v>Kumulatiivne energiasääst </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'Registreerimismaks (2)'!$H$149:$U$149</c15:sqref>
                  </c15:fullRef>
                </c:ext>
              </c:extLst>
              <c:f>('Registreerimismaks (2)'!$I$149,'Registreerimismaks (2)'!$K$149,'Registreerimismaks (2)'!$M$149,'Registreerimismaks (2)'!$O$149,'Registreerimismaks (2)'!$Q$149,'Registreerimismaks (2)'!$S$149,'Registreerimismaks (2)'!$U$149)</c:f>
              <c:strCache>
                <c:ptCount val="7"/>
                <c:pt idx="0">
                  <c:v>2024</c:v>
                </c:pt>
                <c:pt idx="1">
                  <c:v>2025</c:v>
                </c:pt>
                <c:pt idx="2">
                  <c:v>2026</c:v>
                </c:pt>
                <c:pt idx="3">
                  <c:v>2027</c:v>
                </c:pt>
                <c:pt idx="4">
                  <c:v>2028</c:v>
                </c:pt>
                <c:pt idx="5">
                  <c:v>2029</c:v>
                </c:pt>
                <c:pt idx="6">
                  <c:v>2030</c:v>
                </c:pt>
              </c:strCache>
            </c:strRef>
          </c:cat>
          <c:val>
            <c:numRef>
              <c:extLst>
                <c:ext xmlns:c15="http://schemas.microsoft.com/office/drawing/2012/chart" uri="{02D57815-91ED-43cb-92C2-25804820EDAC}">
                  <c15:fullRef>
                    <c15:sqref>'Registreerimismaks (2)'!$H$151:$U$151</c15:sqref>
                  </c15:fullRef>
                </c:ext>
              </c:extLst>
              <c:f>('Registreerimismaks (2)'!$I$151,'Registreerimismaks (2)'!$K$151,'Registreerimismaks (2)'!$M$151,'Registreerimismaks (2)'!$O$151,'Registreerimismaks (2)'!$Q$151,'Registreerimismaks (2)'!$S$151,'Registreerimismaks (2)'!$U$151)</c:f>
              <c:numCache>
                <c:formatCode>_-* #\ ##0.00\ _€_-;\-* #\ ##0.00\ _€_-;_-* "-"\ _€_-;_-@_-</c:formatCode>
                <c:ptCount val="7"/>
                <c:pt idx="0">
                  <c:v>52.601968250908186</c:v>
                </c:pt>
                <c:pt idx="1">
                  <c:v>134.80051460735677</c:v>
                </c:pt>
                <c:pt idx="2">
                  <c:v>237.92523275212659</c:v>
                </c:pt>
                <c:pt idx="3">
                  <c:v>357.60186904458533</c:v>
                </c:pt>
                <c:pt idx="4">
                  <c:v>499.00161204763822</c:v>
                </c:pt>
                <c:pt idx="5">
                  <c:v>662.69324198024344</c:v>
                </c:pt>
                <c:pt idx="6">
                  <c:v>841.63728531327888</c:v>
                </c:pt>
              </c:numCache>
            </c:numRef>
          </c:val>
          <c:smooth val="0"/>
          <c:extLst>
            <c:ext xmlns:c16="http://schemas.microsoft.com/office/drawing/2014/chart" uri="{C3380CC4-5D6E-409C-BE32-E72D297353CC}">
              <c16:uniqueId val="{00000001-951D-46F2-BE7A-82BF7CA568E2}"/>
            </c:ext>
          </c:extLst>
        </c:ser>
        <c:dLbls>
          <c:showLegendKey val="0"/>
          <c:showVal val="0"/>
          <c:showCatName val="0"/>
          <c:showSerName val="0"/>
          <c:showPercent val="0"/>
          <c:showBubbleSize val="0"/>
        </c:dLbls>
        <c:marker val="1"/>
        <c:smooth val="0"/>
        <c:axId val="1637086271"/>
        <c:axId val="1880122319"/>
        <c:extLst>
          <c:ext xmlns:c15="http://schemas.microsoft.com/office/drawing/2012/chart" uri="{02D57815-91ED-43cb-92C2-25804820EDAC}">
            <c15:filteredLineSeries>
              <c15:ser>
                <c:idx val="0"/>
                <c:order val="0"/>
                <c:tx>
                  <c:strRef>
                    <c:extLst>
                      <c:ext uri="{02D57815-91ED-43cb-92C2-25804820EDAC}">
                        <c15:formulaRef>
                          <c15:sqref>'Registreerimismaks (2)'!$A$150:$G$150</c15:sqref>
                        </c15:formulaRef>
                      </c:ext>
                    </c:extLst>
                    <c:strCache>
                      <c:ptCount val="7"/>
                      <c:pt idx="0">
                        <c:v>Energiasääst (GWh)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ullRef>
                          <c15:sqref>'Registreerimismaks (2)'!$H$149:$U$149</c15:sqref>
                        </c15:fullRef>
                        <c15:formulaRef>
                          <c15:sqref>('Registreerimismaks (2)'!$I$149,'Registreerimismaks (2)'!$K$149,'Registreerimismaks (2)'!$M$149,'Registreerimismaks (2)'!$O$149,'Registreerimismaks (2)'!$Q$149,'Registreerimismaks (2)'!$S$149,'Registreerimismaks (2)'!$U$149)</c15:sqref>
                        </c15:formulaRef>
                      </c:ext>
                    </c:extLst>
                    <c:strCache>
                      <c:ptCount val="7"/>
                      <c:pt idx="0">
                        <c:v>2024</c:v>
                      </c:pt>
                      <c:pt idx="1">
                        <c:v>2025</c:v>
                      </c:pt>
                      <c:pt idx="2">
                        <c:v>2026</c:v>
                      </c:pt>
                      <c:pt idx="3">
                        <c:v>2027</c:v>
                      </c:pt>
                      <c:pt idx="4">
                        <c:v>2028</c:v>
                      </c:pt>
                      <c:pt idx="5">
                        <c:v>2029</c:v>
                      </c:pt>
                      <c:pt idx="6">
                        <c:v>2030</c:v>
                      </c:pt>
                    </c:strCache>
                  </c:strRef>
                </c:cat>
                <c:val>
                  <c:numRef>
                    <c:extLst>
                      <c:ext uri="{02D57815-91ED-43cb-92C2-25804820EDAC}">
                        <c15:fullRef>
                          <c15:sqref>'Registreerimismaks (2)'!$H$150:$U$150</c15:sqref>
                        </c15:fullRef>
                        <c15:formulaRef>
                          <c15:sqref>('Registreerimismaks (2)'!$I$150,'Registreerimismaks (2)'!$K$150,'Registreerimismaks (2)'!$M$150,'Registreerimismaks (2)'!$O$150,'Registreerimismaks (2)'!$Q$150,'Registreerimismaks (2)'!$S$150,'Registreerimismaks (2)'!$U$150)</c15:sqref>
                        </c15:formulaRef>
                      </c:ext>
                    </c:extLst>
                    <c:numCache>
                      <c:formatCode>_-* #\ ##0.00\ _€_-;\-* #\ ##0.00\ _€_-;_-* "-"\ _€_-;_-@_-</c:formatCode>
                      <c:ptCount val="7"/>
                      <c:pt idx="0">
                        <c:v>52.601968250908186</c:v>
                      </c:pt>
                      <c:pt idx="1">
                        <c:v>82.198546356448603</c:v>
                      </c:pt>
                      <c:pt idx="2">
                        <c:v>103.12471814476982</c:v>
                      </c:pt>
                      <c:pt idx="3">
                        <c:v>119.67663629245871</c:v>
                      </c:pt>
                      <c:pt idx="4">
                        <c:v>141.39974300305289</c:v>
                      </c:pt>
                      <c:pt idx="5">
                        <c:v>163.69162993260522</c:v>
                      </c:pt>
                      <c:pt idx="6">
                        <c:v>178.94404333303547</c:v>
                      </c:pt>
                    </c:numCache>
                  </c:numRef>
                </c:val>
                <c:smooth val="0"/>
                <c:extLst>
                  <c:ext xmlns:c16="http://schemas.microsoft.com/office/drawing/2014/chart" uri="{C3380CC4-5D6E-409C-BE32-E72D297353CC}">
                    <c16:uniqueId val="{00000000-951D-46F2-BE7A-82BF7CA568E2}"/>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'Registreerimismaks (2)'!$A$152:$G$152</c15:sqref>
                        </c15:formulaRef>
                      </c:ext>
                    </c:extLst>
                    <c:strCache>
                      <c:ptCount val="7"/>
                      <c:pt idx="0">
                        <c:v>Kumulatiivne sääst heitekogustes (tuh t Co2 eq)</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'Registreerimismaks (2)'!$H$149:$U$149</c15:sqref>
                        </c15:fullRef>
                        <c15:formulaRef>
                          <c15:sqref>('Registreerimismaks (2)'!$I$149,'Registreerimismaks (2)'!$K$149,'Registreerimismaks (2)'!$M$149,'Registreerimismaks (2)'!$O$149,'Registreerimismaks (2)'!$Q$149,'Registreerimismaks (2)'!$S$149,'Registreerimismaks (2)'!$U$149)</c15:sqref>
                        </c15:formulaRef>
                      </c:ext>
                    </c:extLst>
                    <c:strCache>
                      <c:ptCount val="7"/>
                      <c:pt idx="0">
                        <c:v>2024</c:v>
                      </c:pt>
                      <c:pt idx="1">
                        <c:v>2025</c:v>
                      </c:pt>
                      <c:pt idx="2">
                        <c:v>2026</c:v>
                      </c:pt>
                      <c:pt idx="3">
                        <c:v>2027</c:v>
                      </c:pt>
                      <c:pt idx="4">
                        <c:v>2028</c:v>
                      </c:pt>
                      <c:pt idx="5">
                        <c:v>2029</c:v>
                      </c:pt>
                      <c:pt idx="6">
                        <c:v>2030</c:v>
                      </c:pt>
                    </c:strCache>
                  </c:strRef>
                </c:cat>
                <c:val>
                  <c:numRef>
                    <c:extLst>
                      <c:ext xmlns:c15="http://schemas.microsoft.com/office/drawing/2012/chart" uri="{02D57815-91ED-43cb-92C2-25804820EDAC}">
                        <c15:fullRef>
                          <c15:sqref>'Registreerimismaks (2)'!$H$152:$U$152</c15:sqref>
                        </c15:fullRef>
                        <c15:formulaRef>
                          <c15:sqref>('Registreerimismaks (2)'!$I$152,'Registreerimismaks (2)'!$K$152,'Registreerimismaks (2)'!$M$152,'Registreerimismaks (2)'!$O$152,'Registreerimismaks (2)'!$Q$152,'Registreerimismaks (2)'!$S$152,'Registreerimismaks (2)'!$U$152)</c15:sqref>
                        </c15:formulaRef>
                      </c:ext>
                    </c:extLst>
                    <c:numCache>
                      <c:formatCode>_-* #\ ##0.00\ _€_-;\-* #\ ##0.00\ _€_-;_-* "-"\ _€_-;_-@_-</c:formatCode>
                      <c:ptCount val="7"/>
                      <c:pt idx="0">
                        <c:v>12.347899928505317</c:v>
                      </c:pt>
                      <c:pt idx="1">
                        <c:v>19.295464759733754</c:v>
                      </c:pt>
                      <c:pt idx="2">
                        <c:v>24.20771963765727</c:v>
                      </c:pt>
                      <c:pt idx="3">
                        <c:v>28.093152744220635</c:v>
                      </c:pt>
                      <c:pt idx="4">
                        <c:v>33.192481851435709</c:v>
                      </c:pt>
                      <c:pt idx="5">
                        <c:v>38.425327658853099</c:v>
                      </c:pt>
                      <c:pt idx="6">
                        <c:v>42.005712207171861</c:v>
                      </c:pt>
                    </c:numCache>
                  </c:numRef>
                </c:val>
                <c:smooth val="0"/>
                <c:extLst xmlns:c15="http://schemas.microsoft.com/office/drawing/2012/chart">
                  <c:ext xmlns:c16="http://schemas.microsoft.com/office/drawing/2014/chart" uri="{C3380CC4-5D6E-409C-BE32-E72D297353CC}">
                    <c16:uniqueId val="{00000002-951D-46F2-BE7A-82BF7CA568E2}"/>
                  </c:ext>
                </c:extLst>
              </c15:ser>
            </c15:filteredLineSeries>
          </c:ext>
        </c:extLst>
      </c:lineChart>
      <c:catAx>
        <c:axId val="163708627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t-EE" b="0">
                    <a:solidFill>
                      <a:schemeClr val="tx1"/>
                    </a:solidFill>
                    <a:latin typeface="Arial" panose="020B0604020202020204" pitchFamily="34" charset="0"/>
                    <a:cs typeface="Arial" panose="020B0604020202020204" pitchFamily="34" charset="0"/>
                  </a:rPr>
                  <a:t>Aasta</a:t>
                </a:r>
                <a:endParaRPr lang="en-GB" b="0">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t-E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t-EE"/>
          </a:p>
        </c:txPr>
        <c:crossAx val="1880122319"/>
        <c:crosses val="autoZero"/>
        <c:auto val="1"/>
        <c:lblAlgn val="ctr"/>
        <c:lblOffset val="100"/>
        <c:noMultiLvlLbl val="0"/>
      </c:catAx>
      <c:valAx>
        <c:axId val="1880122319"/>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t-EE">
                    <a:solidFill>
                      <a:schemeClr val="tx1"/>
                    </a:solidFill>
                    <a:latin typeface="Arial" panose="020B0604020202020204" pitchFamily="34" charset="0"/>
                    <a:cs typeface="Arial" panose="020B0604020202020204" pitchFamily="34" charset="0"/>
                  </a:rPr>
                  <a:t>GWh</a:t>
                </a:r>
                <a:endParaRPr lang="en-GB">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t-E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t-EE"/>
          </a:p>
        </c:txPr>
        <c:crossAx val="1637086271"/>
        <c:crosses val="autoZero"/>
        <c:crossBetween val="between"/>
      </c:valAx>
      <c:valAx>
        <c:axId val="1579225247"/>
        <c:scaling>
          <c:orientation val="minMax"/>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t-EE">
                    <a:solidFill>
                      <a:schemeClr val="tx1"/>
                    </a:solidFill>
                    <a:latin typeface="Arial" panose="020B0604020202020204" pitchFamily="34" charset="0"/>
                    <a:cs typeface="Arial" panose="020B0604020202020204" pitchFamily="34" charset="0"/>
                  </a:rPr>
                  <a:t>tuhat t CO2 eq/GWh</a:t>
                </a:r>
                <a:endParaRPr lang="en-GB">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t-EE"/>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t-EE"/>
          </a:p>
        </c:txPr>
        <c:crossAx val="1694139775"/>
        <c:crosses val="max"/>
        <c:crossBetween val="between"/>
      </c:valAx>
      <c:catAx>
        <c:axId val="1694139775"/>
        <c:scaling>
          <c:orientation val="minMax"/>
        </c:scaling>
        <c:delete val="1"/>
        <c:axPos val="b"/>
        <c:numFmt formatCode="General" sourceLinked="1"/>
        <c:majorTickMark val="out"/>
        <c:minorTickMark val="none"/>
        <c:tickLblPos val="nextTo"/>
        <c:crossAx val="157922524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125730</xdr:colOff>
      <xdr:row>0</xdr:row>
      <xdr:rowOff>140970</xdr:rowOff>
    </xdr:from>
    <xdr:to>
      <xdr:col>0</xdr:col>
      <xdr:colOff>2762158</xdr:colOff>
      <xdr:row>6</xdr:row>
      <xdr:rowOff>152400</xdr:rowOff>
    </xdr:to>
    <xdr:pic>
      <xdr:nvPicPr>
        <xdr:cNvPr id="2" name="Picture 1">
          <a:extLst>
            <a:ext uri="{FF2B5EF4-FFF2-40B4-BE49-F238E27FC236}">
              <a16:creationId xmlns:a16="http://schemas.microsoft.com/office/drawing/2014/main" id="{1703722C-599B-4D6C-8AC0-056BE3B772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730" y="140970"/>
          <a:ext cx="2644048" cy="1097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127</xdr:row>
      <xdr:rowOff>85725</xdr:rowOff>
    </xdr:from>
    <xdr:to>
      <xdr:col>7</xdr:col>
      <xdr:colOff>733425</xdr:colOff>
      <xdr:row>146</xdr:row>
      <xdr:rowOff>152400</xdr:rowOff>
    </xdr:to>
    <xdr:graphicFrame macro="">
      <xdr:nvGraphicFramePr>
        <xdr:cNvPr id="3" name="Chart 2">
          <a:extLst>
            <a:ext uri="{FF2B5EF4-FFF2-40B4-BE49-F238E27FC236}">
              <a16:creationId xmlns:a16="http://schemas.microsoft.com/office/drawing/2014/main" id="{7B0512E8-D7DB-445A-8F80-524469D153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876300</xdr:colOff>
      <xdr:row>165</xdr:row>
      <xdr:rowOff>85725</xdr:rowOff>
    </xdr:from>
    <xdr:to>
      <xdr:col>8</xdr:col>
      <xdr:colOff>1017270</xdr:colOff>
      <xdr:row>184</xdr:row>
      <xdr:rowOff>40005</xdr:rowOff>
    </xdr:to>
    <xdr:graphicFrame macro="">
      <xdr:nvGraphicFramePr>
        <xdr:cNvPr id="3" name="Chart 2">
          <a:extLst>
            <a:ext uri="{FF2B5EF4-FFF2-40B4-BE49-F238E27FC236}">
              <a16:creationId xmlns:a16="http://schemas.microsoft.com/office/drawing/2014/main" id="{72EAE9D8-06BF-4ACE-9BC6-231C79890F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473392</xdr:colOff>
      <xdr:row>165</xdr:row>
      <xdr:rowOff>26671</xdr:rowOff>
    </xdr:from>
    <xdr:to>
      <xdr:col>8</xdr:col>
      <xdr:colOff>1066800</xdr:colOff>
      <xdr:row>184</xdr:row>
      <xdr:rowOff>19051</xdr:rowOff>
    </xdr:to>
    <xdr:graphicFrame macro="">
      <xdr:nvGraphicFramePr>
        <xdr:cNvPr id="2" name="Chart 1">
          <a:extLst>
            <a:ext uri="{FF2B5EF4-FFF2-40B4-BE49-F238E27FC236}">
              <a16:creationId xmlns:a16="http://schemas.microsoft.com/office/drawing/2014/main" id="{093B56B1-383E-4559-915A-4768B960AF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116204</xdr:colOff>
      <xdr:row>172</xdr:row>
      <xdr:rowOff>50481</xdr:rowOff>
    </xdr:from>
    <xdr:to>
      <xdr:col>13</xdr:col>
      <xdr:colOff>731519</xdr:colOff>
      <xdr:row>192</xdr:row>
      <xdr:rowOff>15240</xdr:rowOff>
    </xdr:to>
    <xdr:graphicFrame macro="">
      <xdr:nvGraphicFramePr>
        <xdr:cNvPr id="2" name="Chart 1">
          <a:extLst>
            <a:ext uri="{FF2B5EF4-FFF2-40B4-BE49-F238E27FC236}">
              <a16:creationId xmlns:a16="http://schemas.microsoft.com/office/drawing/2014/main" id="{CC4AB085-E206-4715-A4F4-FC5941BDB6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Ševoldajev, Dmitri" id="{940237CB-E2DC-46F3-968D-78E896B6544D}" userId="S::dsevoldajev@kpmg.com::79ccc219-51d0-4e41-894e-82e6bce9dfb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11" dT="2020-06-09T14:41:33.05" personId="{940237CB-E2DC-46F3-968D-78E896B6544D}" id="{5B60EAFF-C4CC-4B59-AA17-58E376F8A518}">
    <text>Ühekordne mõju</text>
  </threadedComment>
  <threadedComment ref="D111" dT="2020-06-09T14:41:33.05" personId="{940237CB-E2DC-46F3-968D-78E896B6544D}" id="{D862C7CA-767F-4F66-85AD-95A5C2BEF3FE}">
    <text>Ühekordne mõju</text>
  </threadedComment>
  <threadedComment ref="F111" dT="2020-06-09T14:41:33.05" personId="{940237CB-E2DC-46F3-968D-78E896B6544D}" id="{996A9292-684B-42AF-94DF-023B614F94A8}">
    <text>Ühekordne mõju</text>
  </threadedComment>
  <threadedComment ref="H111" dT="2020-06-09T14:41:33.05" personId="{940237CB-E2DC-46F3-968D-78E896B6544D}" id="{4FD2BFCA-3714-449C-9497-5D9E87225487}">
    <text>Ühekordne mõju</text>
  </threadedComment>
  <threadedComment ref="J111" dT="2020-06-09T14:41:33.05" personId="{940237CB-E2DC-46F3-968D-78E896B6544D}" id="{244083F6-2913-4806-AED1-02312842A43E}">
    <text>Ühekordne mõju</text>
  </threadedComment>
  <threadedComment ref="L111" dT="2020-06-09T14:41:33.05" personId="{940237CB-E2DC-46F3-968D-78E896B6544D}" id="{EFDF89E9-21AD-4413-B077-9664D23D2B98}">
    <text>Ühekordne mõju</text>
  </threadedComment>
  <threadedComment ref="N111" dT="2020-06-09T14:41:33.05" personId="{940237CB-E2DC-46F3-968D-78E896B6544D}" id="{32A9465E-029A-4112-AFCD-1A9CA6534480}">
    <text>Ühekordne mõju</text>
  </threadedComment>
  <threadedComment ref="P111" dT="2020-06-09T14:41:33.05" personId="{940237CB-E2DC-46F3-968D-78E896B6544D}" id="{9F521B18-5C48-47B0-BA19-F12EC2214461}">
    <text>Ühekordne mõju</text>
  </threadedComment>
  <threadedComment ref="R111" dT="2020-06-09T14:41:33.05" personId="{940237CB-E2DC-46F3-968D-78E896B6544D}" id="{FFF450B0-691F-4AB5-8EB2-49159F82B366}">
    <text>Ühekordne mõju</text>
  </threadedComment>
  <threadedComment ref="T111" dT="2020-06-09T14:41:33.05" personId="{940237CB-E2DC-46F3-968D-78E896B6544D}" id="{C6BADD48-6100-4C5B-80F2-03A4D5CA5635}">
    <text>Ühekordne mõju</text>
  </threadedComment>
</ThreadedComments>
</file>

<file path=xl/threadedComments/threadedComment2.xml><?xml version="1.0" encoding="utf-8"?>
<ThreadedComments xmlns="http://schemas.microsoft.com/office/spreadsheetml/2018/threadedcomments" xmlns:x="http://schemas.openxmlformats.org/spreadsheetml/2006/main">
  <threadedComment ref="B60" dT="2020-06-09T14:43:28.09" personId="{940237CB-E2DC-46F3-968D-78E896B6544D}" id="{3D97E7BD-600F-4142-87BA-5BE059C169C2}">
    <text>Täpsema info puudumise tõttu kasutati maagaasi eriheitefaktorit</text>
  </threadedComment>
  <threadedComment ref="B149" dT="2020-06-09T14:41:33.05" personId="{940237CB-E2DC-46F3-968D-78E896B6544D}" id="{186EEA35-F1EA-4002-8A90-9E4707F642DF}">
    <text>Ühekordne mõju</text>
  </threadedComment>
</ThreadedComments>
</file>

<file path=xl/threadedComments/threadedComment3.xml><?xml version="1.0" encoding="utf-8"?>
<ThreadedComments xmlns="http://schemas.microsoft.com/office/spreadsheetml/2018/threadedcomments" xmlns:x="http://schemas.openxmlformats.org/spreadsheetml/2006/main">
  <threadedComment ref="B147" dT="2020-06-09T15:33:04.19" personId="{940237CB-E2DC-46F3-968D-78E896B6544D}" id="{5470C796-B84C-48CA-B4BE-7987441F7392}">
    <text>Ühekordne mõju</text>
  </threadedComment>
</ThreadedComments>
</file>

<file path=xl/threadedComments/threadedComment4.xml><?xml version="1.0" encoding="utf-8"?>
<ThreadedComments xmlns="http://schemas.microsoft.com/office/spreadsheetml/2018/threadedcomments" xmlns:x="http://schemas.openxmlformats.org/spreadsheetml/2006/main">
  <threadedComment ref="A112" dT="2020-06-09T16:17:39.25" personId="{940237CB-E2DC-46F3-968D-78E896B6544D}" id="{269381A5-3B43-4F38-9EFD-F176756528B2}">
    <text>2018 esmaselt registreeritud sõoduauto kõige kõrgem CO2 tase (g/km)</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ats.oecd.org/Index.aspx?DataSetCode=IOTSI4_2018"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statbank.cso.ie/px/pxeirestat/Statire/SelectVarVal/saveselections.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5488D-3C48-46A9-924F-A98C7AA48F92}">
  <dimension ref="A1:A376"/>
  <sheetViews>
    <sheetView zoomScale="80" zoomScaleNormal="80" workbookViewId="0">
      <selection activeCell="M14" sqref="M14"/>
    </sheetView>
  </sheetViews>
  <sheetFormatPr defaultRowHeight="15"/>
  <cols>
    <col min="1" max="1" width="190.7109375" customWidth="1"/>
  </cols>
  <sheetData>
    <row r="1" spans="1:1" s="2" customFormat="1"/>
    <row r="2" spans="1:1" s="2" customFormat="1"/>
    <row r="3" spans="1:1" s="2" customFormat="1"/>
    <row r="4" spans="1:1" s="2" customFormat="1"/>
    <row r="5" spans="1:1" s="2" customFormat="1"/>
    <row r="6" spans="1:1" s="2" customFormat="1"/>
    <row r="7" spans="1:1" s="2" customFormat="1"/>
    <row r="8" spans="1:1" s="2" customFormat="1"/>
    <row r="9" spans="1:1" s="2" customFormat="1"/>
    <row r="10" spans="1:1" s="2" customFormat="1" ht="78.75">
      <c r="A10" s="45" t="s">
        <v>0</v>
      </c>
    </row>
    <row r="11" spans="1:1" s="2" customFormat="1" ht="25.5">
      <c r="A11" s="46"/>
    </row>
    <row r="12" spans="1:1" s="2" customFormat="1" ht="105">
      <c r="A12" s="47" t="s">
        <v>1</v>
      </c>
    </row>
    <row r="13" spans="1:1" s="2" customFormat="1"/>
    <row r="14" spans="1:1" s="2" customFormat="1" ht="157.5">
      <c r="A14" s="47" t="s">
        <v>2</v>
      </c>
    </row>
    <row r="15" spans="1:1" s="2" customFormat="1" ht="26.25">
      <c r="A15" s="47"/>
    </row>
    <row r="16" spans="1:1" s="2" customFormat="1" ht="26.25">
      <c r="A16" s="45" t="s">
        <v>3</v>
      </c>
    </row>
    <row r="17" spans="1:1" s="2" customFormat="1" ht="26.25">
      <c r="A17" s="47"/>
    </row>
    <row r="18" spans="1:1" s="2" customFormat="1" ht="52.5">
      <c r="A18" s="42" t="s">
        <v>4</v>
      </c>
    </row>
    <row r="19" spans="1:1" s="2" customFormat="1" ht="52.5">
      <c r="A19" s="43" t="s">
        <v>5</v>
      </c>
    </row>
    <row r="20" spans="1:1" s="2" customFormat="1" ht="52.5">
      <c r="A20" s="44" t="s">
        <v>6</v>
      </c>
    </row>
    <row r="21" spans="1:1" s="2" customFormat="1"/>
    <row r="22" spans="1:1" s="2" customFormat="1" ht="26.25">
      <c r="A22" s="41" t="s">
        <v>7</v>
      </c>
    </row>
    <row r="23" spans="1:1" s="2" customFormat="1" ht="52.5">
      <c r="A23" s="48" t="s">
        <v>8</v>
      </c>
    </row>
    <row r="24" spans="1:1" s="2" customFormat="1" ht="52.5">
      <c r="A24" s="48" t="s">
        <v>9</v>
      </c>
    </row>
    <row r="25" spans="1:1" s="2" customFormat="1" ht="26.25">
      <c r="A25" s="48" t="s">
        <v>10</v>
      </c>
    </row>
    <row r="26" spans="1:1" s="2" customFormat="1" ht="26.25">
      <c r="A26" s="48"/>
    </row>
    <row r="27" spans="1:1" s="2" customFormat="1" ht="26.25">
      <c r="A27" s="48"/>
    </row>
    <row r="28" spans="1:1" s="2" customFormat="1" ht="26.25">
      <c r="A28" s="48"/>
    </row>
    <row r="29" spans="1:1" s="2" customFormat="1"/>
    <row r="30" spans="1:1" s="2" customFormat="1"/>
    <row r="31" spans="1:1" s="2" customFormat="1"/>
    <row r="32" spans="1:1"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45450-14E7-4C7B-A68E-9BA5CB37259A}">
  <dimension ref="A1:N237"/>
  <sheetViews>
    <sheetView zoomScale="90" zoomScaleNormal="90" workbookViewId="0">
      <selection activeCell="F17" sqref="F17:L17"/>
    </sheetView>
  </sheetViews>
  <sheetFormatPr defaultRowHeight="15"/>
  <cols>
    <col min="1" max="1" width="27.7109375" customWidth="1"/>
    <col min="2" max="2" width="24" customWidth="1"/>
    <col min="3" max="4" width="14.7109375" bestFit="1" customWidth="1"/>
    <col min="5" max="5" width="16.28515625" bestFit="1" customWidth="1"/>
    <col min="6" max="12" width="17.28515625" bestFit="1" customWidth="1"/>
  </cols>
  <sheetData>
    <row r="1" spans="1:12" s="2" customFormat="1"/>
    <row r="2" spans="1:12" s="11" customFormat="1">
      <c r="A2" s="10" t="s">
        <v>11</v>
      </c>
    </row>
    <row r="3" spans="1:12" s="2" customFormat="1"/>
    <row r="4" spans="1:12" s="2" customFormat="1">
      <c r="A4" s="1" t="s">
        <v>335</v>
      </c>
    </row>
    <row r="5" spans="1:12" s="2" customFormat="1">
      <c r="A5" s="2" t="s">
        <v>339</v>
      </c>
    </row>
    <row r="6" spans="1:12" s="2" customFormat="1">
      <c r="A6" s="2" t="s">
        <v>336</v>
      </c>
    </row>
    <row r="7" spans="1:12" s="2" customFormat="1">
      <c r="A7" s="2" t="s">
        <v>337</v>
      </c>
    </row>
    <row r="8" spans="1:12" s="2" customFormat="1">
      <c r="A8" s="2" t="s">
        <v>338</v>
      </c>
    </row>
    <row r="9" spans="1:12" s="2" customFormat="1"/>
    <row r="10" spans="1:12" s="2" customFormat="1">
      <c r="A10" s="1" t="s">
        <v>12</v>
      </c>
    </row>
    <row r="11" spans="1:12" s="2" customFormat="1">
      <c r="A11" s="2" t="s">
        <v>13</v>
      </c>
    </row>
    <row r="12" spans="1:12" s="2" customFormat="1"/>
    <row r="13" spans="1:12" s="2" customFormat="1">
      <c r="B13" s="9" t="s">
        <v>14</v>
      </c>
      <c r="C13" s="37">
        <v>44561</v>
      </c>
      <c r="D13" s="37">
        <v>44926</v>
      </c>
      <c r="E13" s="37">
        <v>45291</v>
      </c>
      <c r="F13" s="37">
        <v>45657</v>
      </c>
      <c r="G13" s="37">
        <v>46022</v>
      </c>
      <c r="H13" s="37">
        <v>46387</v>
      </c>
      <c r="I13" s="37">
        <v>46752</v>
      </c>
      <c r="J13" s="37">
        <v>47118</v>
      </c>
      <c r="K13" s="37">
        <v>47483</v>
      </c>
      <c r="L13" s="37">
        <v>47848</v>
      </c>
    </row>
    <row r="14" spans="1:12" s="2" customFormat="1">
      <c r="A14" s="2" t="s">
        <v>15</v>
      </c>
      <c r="C14" s="14">
        <f>'Teekasutus (aja)'!$D$120</f>
        <v>16.412095818532791</v>
      </c>
      <c r="D14" s="14">
        <f>'Teekasutus (aja)'!$D$120</f>
        <v>16.412095818532791</v>
      </c>
      <c r="E14" s="14">
        <f>'Teekasutus (aja)'!$D$120</f>
        <v>16.412095818532791</v>
      </c>
      <c r="F14" s="14">
        <f>'Teekasutus (aja)'!$D$120</f>
        <v>16.412095818532791</v>
      </c>
      <c r="G14" s="14">
        <f>'Teekasutus (aja)'!$D$120</f>
        <v>16.412095818532791</v>
      </c>
      <c r="H14" s="14">
        <f>'Teekasutus (aja)'!$D$120</f>
        <v>16.412095818532791</v>
      </c>
      <c r="I14" s="14">
        <f>'Teekasutus (aja)'!$D$120</f>
        <v>16.412095818532791</v>
      </c>
      <c r="J14" s="14">
        <f>'Teekasutus (aja)'!$D$120</f>
        <v>16.412095818532791</v>
      </c>
      <c r="K14" s="14">
        <f>'Teekasutus (aja)'!$D$120</f>
        <v>16.412095818532791</v>
      </c>
      <c r="L14" s="14">
        <f>'Teekasutus (aja)'!$D$120</f>
        <v>16.412095818532791</v>
      </c>
    </row>
    <row r="15" spans="1:12" s="2" customFormat="1">
      <c r="A15" s="2" t="s">
        <v>16</v>
      </c>
      <c r="C15" s="14">
        <f>Aastamaks!D157</f>
        <v>0</v>
      </c>
      <c r="D15" s="14">
        <f>Aastamaks!E157</f>
        <v>0</v>
      </c>
      <c r="E15" s="14">
        <f>Aastamaks!F157</f>
        <v>20.59653506261337</v>
      </c>
      <c r="F15" s="14">
        <f>Aastamaks!G157</f>
        <v>20.59653506261337</v>
      </c>
      <c r="G15" s="14">
        <f>Aastamaks!H157</f>
        <v>20.59653506261337</v>
      </c>
      <c r="H15" s="14">
        <f>Aastamaks!I157</f>
        <v>20.59653506261337</v>
      </c>
      <c r="I15" s="14">
        <f>Aastamaks!J157</f>
        <v>20.59653506261337</v>
      </c>
      <c r="J15" s="14">
        <f>Aastamaks!K157</f>
        <v>20.59653506261337</v>
      </c>
      <c r="K15" s="14">
        <f>Aastamaks!L157</f>
        <v>20.59653506261337</v>
      </c>
      <c r="L15" s="14">
        <f>Aastamaks!M157</f>
        <v>20.59653506261337</v>
      </c>
    </row>
    <row r="16" spans="1:12" s="2" customFormat="1">
      <c r="A16" s="2" t="s">
        <v>17</v>
      </c>
      <c r="C16" s="14">
        <f>'Registreerimismaks (1)'!D155</f>
        <v>0</v>
      </c>
      <c r="D16" s="14">
        <f>'Registreerimismaks (1)'!E155</f>
        <v>0</v>
      </c>
      <c r="E16" s="14">
        <f>'Registreerimismaks (1)'!F155</f>
        <v>21.702677044241021</v>
      </c>
      <c r="F16" s="14">
        <f>'Registreerimismaks (1)'!G155</f>
        <v>21.702677044241021</v>
      </c>
      <c r="G16" s="14">
        <f>'Registreerimismaks (1)'!H155</f>
        <v>21.702677044241021</v>
      </c>
      <c r="H16" s="14">
        <f>'Registreerimismaks (1)'!I155</f>
        <v>21.702677044241021</v>
      </c>
      <c r="I16" s="14">
        <f>'Registreerimismaks (1)'!J155</f>
        <v>21.702677044241021</v>
      </c>
      <c r="J16" s="14">
        <f>'Registreerimismaks (1)'!K155</f>
        <v>21.702677044241021</v>
      </c>
      <c r="K16" s="14">
        <f>'Registreerimismaks (1)'!L155</f>
        <v>21.702677044241021</v>
      </c>
      <c r="L16" s="14">
        <f>'Registreerimismaks (1)'!M155</f>
        <v>21.702677044241021</v>
      </c>
    </row>
    <row r="17" spans="1:12" s="2" customFormat="1">
      <c r="A17" s="2" t="s">
        <v>18</v>
      </c>
      <c r="C17" s="14">
        <v>0</v>
      </c>
      <c r="D17" s="14">
        <v>0</v>
      </c>
      <c r="E17" s="14">
        <v>0</v>
      </c>
      <c r="F17" s="14">
        <f>'Registreerimismaks (2)'!I150</f>
        <v>52.601968250908186</v>
      </c>
      <c r="G17" s="14">
        <f>'Registreerimismaks (2)'!K150</f>
        <v>82.198546356448603</v>
      </c>
      <c r="H17" s="14">
        <f>'Registreerimismaks (2)'!M150</f>
        <v>103.12471814476982</v>
      </c>
      <c r="I17" s="14">
        <f>'Registreerimismaks (2)'!O150</f>
        <v>119.67663629245871</v>
      </c>
      <c r="J17" s="14">
        <f>'Registreerimismaks (2)'!Q150</f>
        <v>141.39974300305289</v>
      </c>
      <c r="K17" s="14">
        <f>'Registreerimismaks (2)'!S150</f>
        <v>163.69162993260522</v>
      </c>
      <c r="L17" s="14">
        <f>'Registreerimismaks (2)'!U150</f>
        <v>178.94404333303547</v>
      </c>
    </row>
    <row r="18" spans="1:12" s="2" customFormat="1">
      <c r="A18" s="2" t="s">
        <v>19</v>
      </c>
      <c r="C18" s="14">
        <f>SUM(C14:C17)</f>
        <v>16.412095818532791</v>
      </c>
      <c r="D18" s="14">
        <f t="shared" ref="D18:L18" si="0">SUM(D14:D17)</f>
        <v>16.412095818532791</v>
      </c>
      <c r="E18" s="14">
        <f t="shared" si="0"/>
        <v>58.711307925387182</v>
      </c>
      <c r="F18" s="14">
        <f t="shared" si="0"/>
        <v>111.31327617629537</v>
      </c>
      <c r="G18" s="14">
        <f t="shared" si="0"/>
        <v>140.90985428183578</v>
      </c>
      <c r="H18" s="14">
        <f t="shared" si="0"/>
        <v>161.836026070157</v>
      </c>
      <c r="I18" s="14">
        <f t="shared" si="0"/>
        <v>178.3879442178459</v>
      </c>
      <c r="J18" s="14">
        <f t="shared" si="0"/>
        <v>200.11105092844008</v>
      </c>
      <c r="K18" s="14">
        <f t="shared" si="0"/>
        <v>222.40293785799241</v>
      </c>
      <c r="L18" s="14">
        <f t="shared" si="0"/>
        <v>237.65535125842266</v>
      </c>
    </row>
    <row r="19" spans="1:12" s="1" customFormat="1">
      <c r="A19" s="1" t="s">
        <v>20</v>
      </c>
      <c r="C19" s="20">
        <f>B19+C18</f>
        <v>16.412095818532791</v>
      </c>
      <c r="D19" s="20">
        <f t="shared" ref="D19:L19" si="1">C19+D18</f>
        <v>32.824191637065582</v>
      </c>
      <c r="E19" s="20">
        <f t="shared" si="1"/>
        <v>91.53549956245277</v>
      </c>
      <c r="F19" s="20">
        <f t="shared" si="1"/>
        <v>202.84877573874815</v>
      </c>
      <c r="G19" s="20">
        <f t="shared" si="1"/>
        <v>343.75863002058395</v>
      </c>
      <c r="H19" s="20">
        <f t="shared" si="1"/>
        <v>505.59465609074095</v>
      </c>
      <c r="I19" s="20">
        <f t="shared" si="1"/>
        <v>683.98260030858683</v>
      </c>
      <c r="J19" s="20">
        <f t="shared" si="1"/>
        <v>884.09365123702696</v>
      </c>
      <c r="K19" s="20">
        <f t="shared" si="1"/>
        <v>1106.4965890950193</v>
      </c>
      <c r="L19" s="20">
        <f t="shared" si="1"/>
        <v>1344.1519403534419</v>
      </c>
    </row>
    <row r="20" spans="1:12" s="2" customFormat="1"/>
    <row r="21" spans="1:12" s="2" customFormat="1">
      <c r="A21" s="2" t="s">
        <v>21</v>
      </c>
      <c r="C21" s="14">
        <f>'Teekasutus (aja)'!$D$122</f>
        <v>3.9850992582653362</v>
      </c>
      <c r="D21" s="14">
        <f>'Teekasutus (aja)'!$D$122</f>
        <v>3.9850992582653362</v>
      </c>
      <c r="E21" s="14">
        <f>'Teekasutus (aja)'!$D$122</f>
        <v>3.9850992582653362</v>
      </c>
      <c r="F21" s="14">
        <f>'Teekasutus (aja)'!$D$122</f>
        <v>3.9850992582653362</v>
      </c>
      <c r="G21" s="14">
        <f>'Teekasutus (aja)'!$D$122</f>
        <v>3.9850992582653362</v>
      </c>
      <c r="H21" s="14">
        <f>'Teekasutus (aja)'!$D$122</f>
        <v>3.9850992582653362</v>
      </c>
      <c r="I21" s="14">
        <f>'Teekasutus (aja)'!$D$122</f>
        <v>3.9850992582653362</v>
      </c>
      <c r="J21" s="14">
        <f>'Teekasutus (aja)'!$D$122</f>
        <v>3.9850992582653362</v>
      </c>
      <c r="K21" s="14">
        <f>'Teekasutus (aja)'!$D$122</f>
        <v>3.9850992582653362</v>
      </c>
      <c r="L21" s="14">
        <f>'Teekasutus (aja)'!$D$122</f>
        <v>3.9850992582653362</v>
      </c>
    </row>
    <row r="22" spans="1:12" s="2" customFormat="1">
      <c r="A22" s="2" t="s">
        <v>22</v>
      </c>
      <c r="C22" s="14">
        <f>Aastamaks!D159</f>
        <v>0</v>
      </c>
      <c r="D22" s="14">
        <f>Aastamaks!E159</f>
        <v>0</v>
      </c>
      <c r="E22" s="14">
        <f>Aastamaks!F159</f>
        <v>4.8224431279011117</v>
      </c>
      <c r="F22" s="14">
        <f>Aastamaks!G159</f>
        <v>4.8224431279011117</v>
      </c>
      <c r="G22" s="14">
        <f>Aastamaks!H159</f>
        <v>4.8224431279011117</v>
      </c>
      <c r="H22" s="14">
        <f>Aastamaks!I159</f>
        <v>4.8224431279011117</v>
      </c>
      <c r="I22" s="14">
        <f>Aastamaks!J159</f>
        <v>4.8224431279011117</v>
      </c>
      <c r="J22" s="14">
        <f>Aastamaks!K159</f>
        <v>4.8224431279011117</v>
      </c>
      <c r="K22" s="14">
        <f>Aastamaks!L159</f>
        <v>4.8224431279011117</v>
      </c>
      <c r="L22" s="14">
        <f>Aastamaks!M159</f>
        <v>4.8224431279011117</v>
      </c>
    </row>
    <row r="23" spans="1:12" s="2" customFormat="1">
      <c r="A23" s="2" t="s">
        <v>23</v>
      </c>
      <c r="C23" s="14">
        <f>'Registreerimismaks (1)'!D157</f>
        <v>0</v>
      </c>
      <c r="D23" s="14">
        <f>'Registreerimismaks (1)'!E157</f>
        <v>0</v>
      </c>
      <c r="E23" s="14">
        <f>'Registreerimismaks (1)'!F157</f>
        <v>5.0814336222520744</v>
      </c>
      <c r="F23" s="14">
        <f>'Registreerimismaks (1)'!G157</f>
        <v>5.0814336222520744</v>
      </c>
      <c r="G23" s="14">
        <f>'Registreerimismaks (1)'!H157</f>
        <v>5.0814336222520744</v>
      </c>
      <c r="H23" s="14">
        <f>'Registreerimismaks (1)'!I157</f>
        <v>5.0814336222520744</v>
      </c>
      <c r="I23" s="14">
        <f>'Registreerimismaks (1)'!J157</f>
        <v>5.0814336222520744</v>
      </c>
      <c r="J23" s="14">
        <f>'Registreerimismaks (1)'!K157</f>
        <v>5.0814336222520744</v>
      </c>
      <c r="K23" s="14">
        <f>'Registreerimismaks (1)'!L157</f>
        <v>5.0814336222520744</v>
      </c>
      <c r="L23" s="14">
        <f>'Registreerimismaks (1)'!M157</f>
        <v>5.0814336222520744</v>
      </c>
    </row>
    <row r="24" spans="1:12" s="2" customFormat="1">
      <c r="A24" s="2" t="s">
        <v>24</v>
      </c>
      <c r="C24" s="14">
        <v>0</v>
      </c>
      <c r="D24" s="14">
        <v>0</v>
      </c>
      <c r="E24" s="14">
        <v>0</v>
      </c>
      <c r="F24" s="14">
        <f>'Registreerimismaks (2)'!I152</f>
        <v>12.347899928505317</v>
      </c>
      <c r="G24" s="14">
        <f>'Registreerimismaks (2)'!K152</f>
        <v>19.295464759733754</v>
      </c>
      <c r="H24" s="14">
        <f>'Registreerimismaks (2)'!M152</f>
        <v>24.20771963765727</v>
      </c>
      <c r="I24" s="14">
        <f>'Registreerimismaks (2)'!O152</f>
        <v>28.093152744220635</v>
      </c>
      <c r="J24" s="14">
        <f>'Registreerimismaks (2)'!Q152</f>
        <v>33.192481851435709</v>
      </c>
      <c r="K24" s="14">
        <f>'Registreerimismaks (2)'!S152</f>
        <v>38.425327658853099</v>
      </c>
      <c r="L24" s="14">
        <f>'Registreerimismaks (2)'!U152</f>
        <v>42.005712207171861</v>
      </c>
    </row>
    <row r="25" spans="1:12" s="2" customFormat="1">
      <c r="A25" s="2" t="s">
        <v>25</v>
      </c>
      <c r="C25" s="14">
        <f>SUM(C21:C24)</f>
        <v>3.9850992582653362</v>
      </c>
      <c r="D25" s="14">
        <f t="shared" ref="D25:L25" si="2">SUM(D21:D24)</f>
        <v>3.9850992582653362</v>
      </c>
      <c r="E25" s="14">
        <f t="shared" si="2"/>
        <v>13.888976008418522</v>
      </c>
      <c r="F25" s="14">
        <f t="shared" si="2"/>
        <v>26.236875936923838</v>
      </c>
      <c r="G25" s="14">
        <f t="shared" si="2"/>
        <v>33.184440768152278</v>
      </c>
      <c r="H25" s="14">
        <f t="shared" si="2"/>
        <v>38.096695646075794</v>
      </c>
      <c r="I25" s="14">
        <f t="shared" si="2"/>
        <v>41.982128752639156</v>
      </c>
      <c r="J25" s="14">
        <f t="shared" si="2"/>
        <v>47.081457859854233</v>
      </c>
      <c r="K25" s="14">
        <f t="shared" si="2"/>
        <v>52.314303667271624</v>
      </c>
      <c r="L25" s="14">
        <f t="shared" si="2"/>
        <v>55.894688215590385</v>
      </c>
    </row>
    <row r="26" spans="1:12" s="2" customFormat="1">
      <c r="A26" s="1" t="s">
        <v>26</v>
      </c>
      <c r="C26" s="20">
        <f>B26+C25</f>
        <v>3.9850992582653362</v>
      </c>
      <c r="D26" s="20">
        <f t="shared" ref="D26:L26" si="3">C26+D25</f>
        <v>7.9701985165306724</v>
      </c>
      <c r="E26" s="20">
        <f t="shared" si="3"/>
        <v>21.859174524949196</v>
      </c>
      <c r="F26" s="20">
        <f t="shared" si="3"/>
        <v>48.096050461873034</v>
      </c>
      <c r="G26" s="20">
        <f t="shared" si="3"/>
        <v>81.280491230025319</v>
      </c>
      <c r="H26" s="20">
        <f t="shared" si="3"/>
        <v>119.37718687610112</v>
      </c>
      <c r="I26" s="20">
        <f t="shared" si="3"/>
        <v>161.35931562874026</v>
      </c>
      <c r="J26" s="20">
        <f t="shared" si="3"/>
        <v>208.44077348859449</v>
      </c>
      <c r="K26" s="20">
        <f t="shared" si="3"/>
        <v>260.7550771558661</v>
      </c>
      <c r="L26" s="20">
        <f t="shared" si="3"/>
        <v>316.64976537145651</v>
      </c>
    </row>
    <row r="27" spans="1:12" s="2" customFormat="1"/>
    <row r="28" spans="1:12" s="2" customFormat="1">
      <c r="A28" s="2" t="s">
        <v>27</v>
      </c>
      <c r="C28" s="14">
        <f>'Teekasutus (aja)'!D124</f>
        <v>1289553.1703290567</v>
      </c>
      <c r="D28" s="14">
        <f>'Teekasutus (aja)'!E124</f>
        <v>3489553.1703290548</v>
      </c>
      <c r="E28" s="14">
        <f>'Teekasutus (aja)'!F124</f>
        <v>3489553.1703290548</v>
      </c>
      <c r="F28" s="14">
        <f>'Teekasutus (aja)'!G124</f>
        <v>3489553.1703290548</v>
      </c>
      <c r="G28" s="14">
        <f>'Teekasutus (aja)'!H124</f>
        <v>3489553.1703290548</v>
      </c>
      <c r="H28" s="14">
        <f>'Teekasutus (aja)'!I124</f>
        <v>3489553.1703290548</v>
      </c>
      <c r="I28" s="14">
        <f>'Teekasutus (aja)'!J124</f>
        <v>3489553.1703290548</v>
      </c>
      <c r="J28" s="14">
        <f>'Teekasutus (aja)'!K124</f>
        <v>3489553.1703290548</v>
      </c>
      <c r="K28" s="14">
        <f>'Teekasutus (aja)'!L124</f>
        <v>3489553.1703290548</v>
      </c>
      <c r="L28" s="14">
        <f>'Teekasutus (aja)'!M124</f>
        <v>3489553.1703290548</v>
      </c>
    </row>
    <row r="29" spans="1:12" s="2" customFormat="1">
      <c r="A29" s="2" t="s">
        <v>28</v>
      </c>
      <c r="C29" s="14">
        <f>Aastamaks!D161</f>
        <v>0</v>
      </c>
      <c r="D29" s="14">
        <f>Aastamaks!E161</f>
        <v>0</v>
      </c>
      <c r="E29" s="14">
        <f>Aastamaks!F161</f>
        <v>25740356.297788724</v>
      </c>
      <c r="F29" s="14">
        <f>Aastamaks!G161</f>
        <v>27940356.297788724</v>
      </c>
      <c r="G29" s="14">
        <f>Aastamaks!H161</f>
        <v>27940356.297788724</v>
      </c>
      <c r="H29" s="14">
        <f>Aastamaks!I161</f>
        <v>27940356.297788724</v>
      </c>
      <c r="I29" s="14">
        <f>Aastamaks!J161</f>
        <v>27940356.297788724</v>
      </c>
      <c r="J29" s="14">
        <f>Aastamaks!K161</f>
        <v>27940356.297788724</v>
      </c>
      <c r="K29" s="14">
        <f>Aastamaks!L161</f>
        <v>27940356.297788724</v>
      </c>
      <c r="L29" s="14">
        <f>Aastamaks!M161</f>
        <v>27940356.297788724</v>
      </c>
    </row>
    <row r="30" spans="1:12" s="2" customFormat="1">
      <c r="A30" s="2" t="s">
        <v>29</v>
      </c>
      <c r="C30" s="14">
        <f>'Registreerimismaks (1)'!D159</f>
        <v>0</v>
      </c>
      <c r="D30" s="14">
        <f>'Registreerimismaks (1)'!E159</f>
        <v>0</v>
      </c>
      <c r="E30" s="14">
        <f>'Registreerimismaks (1)'!F159</f>
        <v>18806256.262439348</v>
      </c>
      <c r="F30" s="14">
        <f>'Registreerimismaks (1)'!G159</f>
        <v>21006256.262439348</v>
      </c>
      <c r="G30" s="14">
        <f>'Registreerimismaks (1)'!H159</f>
        <v>21006256.262439348</v>
      </c>
      <c r="H30" s="14">
        <f>'Registreerimismaks (1)'!I159</f>
        <v>21006256.262439348</v>
      </c>
      <c r="I30" s="14">
        <f>'Registreerimismaks (1)'!J159</f>
        <v>21006256.262439348</v>
      </c>
      <c r="J30" s="14">
        <f>'Registreerimismaks (1)'!K159</f>
        <v>21006256.262439348</v>
      </c>
      <c r="K30" s="14">
        <f>'Registreerimismaks (1)'!L159</f>
        <v>21006256.262439348</v>
      </c>
      <c r="L30" s="14">
        <f>'Registreerimismaks (1)'!M159</f>
        <v>21006256.262439348</v>
      </c>
    </row>
    <row r="31" spans="1:12" s="2" customFormat="1">
      <c r="A31" s="2" t="s">
        <v>30</v>
      </c>
      <c r="C31" s="14">
        <v>0</v>
      </c>
      <c r="D31" s="14">
        <v>0</v>
      </c>
      <c r="E31" s="14">
        <v>0</v>
      </c>
      <c r="F31" s="14">
        <f>-'Registreerimismaks (2)'!I171</f>
        <v>-3246607.0277290493</v>
      </c>
      <c r="G31" s="14">
        <f>-'Registreerimismaks (2)'!K171</f>
        <v>-5073315.4508025572</v>
      </c>
      <c r="H31" s="14">
        <f>-'Registreerimismaks (2)'!M171</f>
        <v>-6364884.1629724866</v>
      </c>
      <c r="I31" s="14">
        <f>-'Registreerimismaks (2)'!O171</f>
        <v>-7386472.8138829963</v>
      </c>
      <c r="J31" s="14">
        <f>-'Registreerimismaks (2)'!Q171</f>
        <v>-8727228.5547008403</v>
      </c>
      <c r="K31" s="14">
        <f>-'Registreerimismaks (2)'!S171</f>
        <v>-10103089.5571183</v>
      </c>
      <c r="L31" s="14">
        <f>-'Registreerimismaks (2)'!U171</f>
        <v>-11044472.440349303</v>
      </c>
    </row>
    <row r="32" spans="1:12" s="2" customFormat="1">
      <c r="A32" s="2" t="s">
        <v>31</v>
      </c>
      <c r="C32" s="14">
        <f>SUM(C28:C31)</f>
        <v>1289553.1703290567</v>
      </c>
      <c r="D32" s="14">
        <f t="shared" ref="D32:L32" si="4">SUM(D28:D31)</f>
        <v>3489553.1703290548</v>
      </c>
      <c r="E32" s="14">
        <f t="shared" si="4"/>
        <v>48036165.730557129</v>
      </c>
      <c r="F32" s="14">
        <f t="shared" si="4"/>
        <v>49189558.702828079</v>
      </c>
      <c r="G32" s="14">
        <f t="shared" si="4"/>
        <v>47362850.279754572</v>
      </c>
      <c r="H32" s="14">
        <f t="shared" si="4"/>
        <v>46071281.567584641</v>
      </c>
      <c r="I32" s="14">
        <f t="shared" si="4"/>
        <v>45049692.91667413</v>
      </c>
      <c r="J32" s="14">
        <f t="shared" si="4"/>
        <v>43708937.175856292</v>
      </c>
      <c r="K32" s="14">
        <f t="shared" si="4"/>
        <v>42333076.173438832</v>
      </c>
      <c r="L32" s="14">
        <f t="shared" si="4"/>
        <v>41391693.290207826</v>
      </c>
    </row>
    <row r="33" spans="1:14" s="2" customFormat="1">
      <c r="A33" s="1" t="s">
        <v>32</v>
      </c>
      <c r="C33" s="20">
        <f>B33+C32</f>
        <v>1289553.1703290567</v>
      </c>
      <c r="D33" s="20">
        <f t="shared" ref="D33:L33" si="5">C33+D32</f>
        <v>4779106.3406581115</v>
      </c>
      <c r="E33" s="20">
        <f t="shared" si="5"/>
        <v>52815272.071215242</v>
      </c>
      <c r="F33" s="20">
        <f t="shared" si="5"/>
        <v>102004830.77404332</v>
      </c>
      <c r="G33" s="20">
        <f t="shared" si="5"/>
        <v>149367681.0537979</v>
      </c>
      <c r="H33" s="20">
        <f t="shared" si="5"/>
        <v>195438962.62138253</v>
      </c>
      <c r="I33" s="20">
        <f t="shared" si="5"/>
        <v>240488655.53805667</v>
      </c>
      <c r="J33" s="20">
        <f t="shared" si="5"/>
        <v>284197592.71391296</v>
      </c>
      <c r="K33" s="20">
        <f t="shared" si="5"/>
        <v>326530668.88735181</v>
      </c>
      <c r="L33" s="20">
        <f t="shared" si="5"/>
        <v>367922362.17755961</v>
      </c>
    </row>
    <row r="34" spans="1:14" s="2" customFormat="1"/>
    <row r="35" spans="1:14" s="2" customFormat="1"/>
    <row r="36" spans="1:14" s="2" customFormat="1">
      <c r="B36" s="9"/>
      <c r="C36" s="53"/>
      <c r="D36" s="53"/>
      <c r="E36" s="53"/>
      <c r="F36" s="53"/>
      <c r="G36" s="53"/>
      <c r="H36" s="53"/>
      <c r="I36" s="53"/>
      <c r="J36" s="53"/>
      <c r="K36" s="53"/>
      <c r="L36" s="53"/>
      <c r="M36" s="9"/>
      <c r="N36" s="9"/>
    </row>
    <row r="37" spans="1:14" s="2" customFormat="1">
      <c r="B37" s="9"/>
      <c r="C37" s="9"/>
      <c r="D37" s="9"/>
      <c r="E37" s="9"/>
      <c r="F37" s="9"/>
      <c r="G37" s="9"/>
      <c r="H37" s="9"/>
      <c r="I37" s="9"/>
      <c r="J37" s="9"/>
      <c r="K37" s="9"/>
      <c r="L37" s="9"/>
      <c r="M37" s="9"/>
      <c r="N37" s="9"/>
    </row>
    <row r="38" spans="1:14" s="2" customFormat="1">
      <c r="B38" s="9"/>
      <c r="C38" s="9"/>
      <c r="D38" s="9"/>
      <c r="E38" s="9"/>
      <c r="F38" s="9"/>
      <c r="G38" s="9"/>
      <c r="H38" s="9"/>
      <c r="I38" s="9"/>
      <c r="J38" s="9"/>
      <c r="K38" s="9"/>
      <c r="L38" s="9"/>
      <c r="M38" s="9"/>
      <c r="N38" s="9"/>
    </row>
    <row r="39" spans="1:14" s="2" customFormat="1">
      <c r="B39" s="9"/>
      <c r="C39" s="9"/>
      <c r="D39" s="9"/>
      <c r="E39" s="9"/>
      <c r="F39" s="9"/>
      <c r="G39" s="9"/>
      <c r="H39" s="9"/>
      <c r="I39" s="9"/>
      <c r="J39" s="9"/>
      <c r="K39" s="9"/>
      <c r="L39" s="9"/>
      <c r="M39" s="9"/>
      <c r="N39" s="9"/>
    </row>
    <row r="40" spans="1:14" s="2" customFormat="1">
      <c r="B40" s="9"/>
      <c r="C40" s="9"/>
      <c r="D40" s="9"/>
      <c r="E40" s="9"/>
      <c r="F40" s="9"/>
      <c r="G40" s="9"/>
      <c r="H40" s="9"/>
      <c r="I40" s="9"/>
      <c r="J40" s="9"/>
      <c r="K40" s="9"/>
      <c r="L40" s="9"/>
      <c r="M40" s="9"/>
      <c r="N40" s="9"/>
    </row>
    <row r="41" spans="1:14" s="2" customFormat="1">
      <c r="B41" s="9"/>
      <c r="C41" s="9"/>
      <c r="D41" s="9"/>
      <c r="E41" s="9"/>
      <c r="F41" s="9"/>
      <c r="G41" s="9"/>
      <c r="H41" s="9"/>
      <c r="I41" s="9"/>
      <c r="J41" s="9"/>
      <c r="K41" s="9"/>
      <c r="L41" s="9"/>
      <c r="M41" s="9"/>
      <c r="N41" s="9"/>
    </row>
    <row r="42" spans="1:14" s="2" customFormat="1">
      <c r="B42" s="9"/>
      <c r="C42" s="9"/>
      <c r="D42" s="9"/>
      <c r="E42" s="9"/>
      <c r="F42" s="9"/>
      <c r="G42" s="9"/>
      <c r="H42" s="9"/>
      <c r="I42" s="9"/>
      <c r="J42" s="9"/>
      <c r="K42" s="9"/>
      <c r="L42" s="9"/>
      <c r="M42" s="9"/>
      <c r="N42" s="9"/>
    </row>
    <row r="43" spans="1:14" s="1" customFormat="1">
      <c r="B43" s="9"/>
      <c r="C43" s="9"/>
      <c r="D43" s="9"/>
      <c r="E43" s="9"/>
      <c r="F43" s="9"/>
      <c r="G43" s="9"/>
      <c r="H43" s="9"/>
      <c r="I43" s="9"/>
      <c r="J43" s="9"/>
      <c r="K43" s="9"/>
      <c r="L43" s="9"/>
      <c r="M43" s="9"/>
      <c r="N43" s="9"/>
    </row>
    <row r="44" spans="1:14" s="2" customFormat="1">
      <c r="B44" s="9"/>
      <c r="C44" s="9"/>
      <c r="D44" s="9"/>
      <c r="E44" s="9"/>
      <c r="F44" s="9"/>
      <c r="G44" s="9"/>
      <c r="H44" s="9"/>
      <c r="I44" s="9"/>
      <c r="J44" s="9"/>
      <c r="K44" s="9"/>
      <c r="L44" s="9"/>
      <c r="M44" s="9"/>
      <c r="N44" s="9"/>
    </row>
    <row r="45" spans="1:14" s="1" customFormat="1">
      <c r="B45" s="9"/>
      <c r="C45" s="9"/>
      <c r="D45" s="9"/>
      <c r="E45" s="9"/>
      <c r="F45" s="9"/>
      <c r="G45" s="9"/>
      <c r="H45" s="9"/>
      <c r="I45" s="9"/>
      <c r="J45" s="9"/>
      <c r="K45" s="9"/>
      <c r="L45" s="9"/>
      <c r="M45" s="9"/>
      <c r="N45" s="9"/>
    </row>
    <row r="46" spans="1:14" s="2" customFormat="1">
      <c r="B46" s="9"/>
      <c r="C46" s="9"/>
      <c r="D46" s="9"/>
      <c r="E46" s="9"/>
      <c r="F46" s="9"/>
      <c r="G46" s="9"/>
      <c r="H46" s="9"/>
      <c r="I46" s="9"/>
      <c r="J46" s="9"/>
      <c r="K46" s="9"/>
      <c r="L46" s="9"/>
      <c r="M46" s="9"/>
      <c r="N46" s="9"/>
    </row>
    <row r="47" spans="1:14" s="2" customFormat="1">
      <c r="B47" s="9"/>
      <c r="C47" s="9"/>
      <c r="D47" s="9"/>
      <c r="E47" s="9"/>
      <c r="F47" s="9"/>
      <c r="G47" s="9"/>
      <c r="H47" s="9"/>
      <c r="I47" s="9"/>
      <c r="J47" s="9"/>
      <c r="K47" s="9"/>
      <c r="L47" s="9"/>
      <c r="M47" s="9"/>
      <c r="N47" s="9"/>
    </row>
    <row r="48" spans="1:14" s="2" customFormat="1">
      <c r="B48" s="9"/>
      <c r="C48" s="9"/>
      <c r="D48" s="9"/>
      <c r="E48" s="9"/>
      <c r="F48" s="9"/>
      <c r="G48" s="9"/>
      <c r="H48" s="9"/>
      <c r="I48" s="9"/>
      <c r="J48" s="9"/>
      <c r="K48" s="9"/>
      <c r="L48" s="9"/>
      <c r="M48" s="9"/>
      <c r="N48" s="9"/>
    </row>
    <row r="49" spans="2:14" s="2" customFormat="1">
      <c r="B49" s="9"/>
      <c r="C49" s="9"/>
      <c r="D49" s="9"/>
      <c r="E49" s="9"/>
      <c r="F49" s="9"/>
      <c r="G49" s="9"/>
      <c r="H49" s="9"/>
      <c r="I49" s="9"/>
      <c r="J49" s="9"/>
      <c r="K49" s="9"/>
      <c r="L49" s="9"/>
      <c r="M49" s="9"/>
      <c r="N49" s="9"/>
    </row>
    <row r="50" spans="2:14" s="2" customFormat="1">
      <c r="B50" s="9"/>
      <c r="C50" s="9"/>
      <c r="D50" s="9"/>
      <c r="E50" s="9"/>
      <c r="F50" s="9"/>
      <c r="G50" s="9"/>
      <c r="H50" s="9"/>
      <c r="I50" s="9"/>
      <c r="J50" s="9"/>
      <c r="K50" s="9"/>
      <c r="L50" s="9"/>
      <c r="M50" s="9"/>
      <c r="N50" s="9"/>
    </row>
    <row r="51" spans="2:14" s="2" customFormat="1">
      <c r="B51" s="9"/>
      <c r="C51" s="9"/>
      <c r="D51" s="9"/>
      <c r="E51" s="9"/>
      <c r="F51" s="9"/>
      <c r="G51" s="9"/>
      <c r="H51" s="9"/>
      <c r="I51" s="9"/>
      <c r="J51" s="9"/>
      <c r="K51" s="9"/>
      <c r="L51" s="9"/>
      <c r="M51" s="9"/>
      <c r="N51" s="9"/>
    </row>
    <row r="52" spans="2:14" s="2" customFormat="1">
      <c r="B52" s="9"/>
      <c r="C52" s="9"/>
      <c r="D52" s="9"/>
      <c r="E52" s="9"/>
      <c r="F52" s="9"/>
      <c r="G52" s="9"/>
      <c r="H52" s="9"/>
      <c r="I52" s="9"/>
      <c r="J52" s="9"/>
      <c r="K52" s="9"/>
      <c r="L52" s="9"/>
      <c r="M52" s="9"/>
      <c r="N52" s="9"/>
    </row>
    <row r="53" spans="2:14" s="2" customFormat="1">
      <c r="B53" s="9"/>
      <c r="C53" s="9"/>
      <c r="D53" s="9"/>
      <c r="E53" s="9"/>
      <c r="F53" s="9"/>
      <c r="G53" s="9"/>
      <c r="H53" s="9"/>
      <c r="I53" s="9"/>
      <c r="J53" s="9"/>
      <c r="K53" s="9"/>
      <c r="L53" s="9"/>
      <c r="M53" s="9"/>
      <c r="N53" s="9"/>
    </row>
    <row r="54" spans="2:14" s="2" customFormat="1">
      <c r="B54" s="9"/>
      <c r="C54" s="9"/>
      <c r="D54" s="9"/>
      <c r="E54" s="9"/>
      <c r="F54" s="9"/>
      <c r="G54" s="9"/>
      <c r="H54" s="9"/>
      <c r="I54" s="9"/>
      <c r="J54" s="9"/>
      <c r="K54" s="9"/>
      <c r="L54" s="9"/>
      <c r="M54" s="9"/>
      <c r="N54" s="9"/>
    </row>
    <row r="55" spans="2:14" s="1" customFormat="1">
      <c r="B55" s="9"/>
      <c r="C55" s="9"/>
      <c r="D55" s="9"/>
      <c r="E55" s="9"/>
      <c r="F55" s="9"/>
      <c r="G55" s="9"/>
      <c r="H55" s="9"/>
      <c r="I55" s="9"/>
      <c r="J55" s="9"/>
      <c r="K55" s="9"/>
      <c r="L55" s="9"/>
      <c r="M55" s="9"/>
      <c r="N55" s="9"/>
    </row>
    <row r="56" spans="2:14" s="2" customFormat="1">
      <c r="B56" s="9"/>
      <c r="C56" s="9"/>
      <c r="D56" s="9"/>
      <c r="E56" s="9"/>
      <c r="F56" s="9"/>
      <c r="G56" s="9"/>
      <c r="H56" s="9"/>
      <c r="I56" s="9"/>
      <c r="J56" s="9"/>
      <c r="K56" s="9"/>
      <c r="L56" s="9"/>
      <c r="M56" s="9"/>
      <c r="N56" s="9"/>
    </row>
    <row r="57" spans="2:14" s="1" customFormat="1">
      <c r="B57" s="9"/>
      <c r="C57" s="9"/>
      <c r="D57" s="9"/>
      <c r="E57" s="9"/>
      <c r="F57" s="9"/>
      <c r="G57" s="9"/>
      <c r="H57" s="9"/>
      <c r="I57" s="9"/>
      <c r="J57" s="9"/>
      <c r="K57" s="9"/>
      <c r="L57" s="9"/>
      <c r="M57" s="9"/>
      <c r="N57" s="9"/>
    </row>
    <row r="58" spans="2:14" s="2" customFormat="1">
      <c r="B58" s="9"/>
      <c r="C58" s="9"/>
      <c r="D58" s="9"/>
      <c r="E58" s="9"/>
      <c r="F58" s="9"/>
      <c r="G58" s="9"/>
      <c r="H58" s="9"/>
      <c r="I58" s="9"/>
      <c r="J58" s="9"/>
      <c r="K58" s="9"/>
      <c r="L58" s="9"/>
      <c r="M58" s="9"/>
      <c r="N58" s="9"/>
    </row>
    <row r="59" spans="2:14" s="2" customFormat="1"/>
    <row r="60" spans="2:14" s="2" customFormat="1"/>
    <row r="61" spans="2:14" s="2" customFormat="1"/>
    <row r="62" spans="2:14" s="2" customFormat="1"/>
    <row r="63" spans="2:14" s="2" customFormat="1"/>
    <row r="64" spans="2:14" s="2" customFormat="1"/>
    <row r="65" spans="1:1" s="2" customFormat="1"/>
    <row r="66" spans="1:1" s="2" customFormat="1"/>
    <row r="67" spans="1:1" s="2" customFormat="1"/>
    <row r="68" spans="1:1" s="2" customFormat="1">
      <c r="A68" s="1"/>
    </row>
    <row r="69" spans="1:1" s="2" customFormat="1">
      <c r="A69" s="1"/>
    </row>
    <row r="70" spans="1:1" s="2" customFormat="1"/>
    <row r="71" spans="1:1" s="2" customFormat="1"/>
    <row r="72" spans="1:1" s="2" customFormat="1"/>
    <row r="73" spans="1:1" s="2" customFormat="1"/>
    <row r="74" spans="1:1" s="2" customFormat="1"/>
    <row r="75" spans="1:1" s="2" customFormat="1"/>
    <row r="76" spans="1:1" s="2" customFormat="1"/>
    <row r="77" spans="1:1" s="2" customFormat="1"/>
    <row r="78" spans="1:1" s="2" customFormat="1"/>
    <row r="79" spans="1:1" s="2" customFormat="1"/>
    <row r="80" spans="1:1" s="2" customFormat="1">
      <c r="A80" s="1"/>
    </row>
    <row r="81" spans="1:1" s="2" customFormat="1">
      <c r="A81" s="1"/>
    </row>
    <row r="82" spans="1:1" s="2" customFormat="1"/>
    <row r="83" spans="1:1" s="2" customFormat="1"/>
    <row r="84" spans="1:1" s="2" customFormat="1"/>
    <row r="85" spans="1:1" s="2" customFormat="1"/>
    <row r="86" spans="1:1" s="2" customFormat="1"/>
    <row r="87" spans="1:1" s="2" customFormat="1"/>
    <row r="88" spans="1:1" s="2" customFormat="1"/>
    <row r="89" spans="1:1" s="2" customFormat="1"/>
    <row r="90" spans="1:1" s="2" customFormat="1"/>
    <row r="91" spans="1:1" s="2" customFormat="1"/>
    <row r="92" spans="1:1" s="2" customFormat="1"/>
    <row r="93" spans="1:1" s="2" customFormat="1"/>
    <row r="94" spans="1:1" s="2" customFormat="1"/>
    <row r="95" spans="1:1" s="2" customFormat="1"/>
    <row r="96" spans="1:1"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084A5-5DB3-4A9A-97A5-5DB0CC61C915}">
  <dimension ref="A1:AM268"/>
  <sheetViews>
    <sheetView workbookViewId="0"/>
  </sheetViews>
  <sheetFormatPr defaultRowHeight="15"/>
  <cols>
    <col min="1" max="1" width="57.42578125" bestFit="1" customWidth="1"/>
    <col min="2" max="2" width="19.28515625" customWidth="1"/>
    <col min="3" max="3" width="18.28515625" customWidth="1"/>
    <col min="4" max="4" width="19.28515625" customWidth="1"/>
    <col min="5" max="5" width="15.85546875" customWidth="1"/>
    <col min="6" max="6" width="19.28515625" customWidth="1"/>
    <col min="7" max="7" width="15.85546875" customWidth="1"/>
    <col min="8" max="8" width="19.28515625" customWidth="1"/>
    <col min="9" max="9" width="15.85546875" customWidth="1"/>
    <col min="10" max="10" width="19.28515625" customWidth="1"/>
    <col min="11" max="11" width="15.85546875" customWidth="1"/>
    <col min="12" max="12" width="19.28515625" customWidth="1"/>
    <col min="13" max="13" width="15.85546875" customWidth="1"/>
    <col min="14" max="14" width="19.28515625" customWidth="1"/>
    <col min="15" max="15" width="15.85546875" customWidth="1"/>
    <col min="16" max="16" width="19.28515625" customWidth="1"/>
    <col min="17" max="17" width="15.85546875" customWidth="1"/>
    <col min="18" max="18" width="19.28515625" customWidth="1"/>
    <col min="19" max="19" width="15.85546875" customWidth="1"/>
    <col min="20" max="20" width="19.28515625" customWidth="1"/>
    <col min="21" max="29" width="18.28515625" customWidth="1"/>
    <col min="30" max="30" width="14.28515625" bestFit="1" customWidth="1"/>
    <col min="31" max="31" width="17.85546875" bestFit="1" customWidth="1"/>
    <col min="32" max="39" width="15.85546875" customWidth="1"/>
  </cols>
  <sheetData>
    <row r="1" spans="1:32" s="2" customFormat="1"/>
    <row r="2" spans="1:32" s="11" customFormat="1">
      <c r="A2" s="10" t="s">
        <v>33</v>
      </c>
    </row>
    <row r="3" spans="1:32" s="2" customFormat="1">
      <c r="W3" s="1" t="s">
        <v>34</v>
      </c>
      <c r="AE3" s="1"/>
      <c r="AF3" s="1"/>
    </row>
    <row r="4" spans="1:32" s="2" customFormat="1">
      <c r="B4" s="50">
        <v>2021</v>
      </c>
      <c r="D4" s="50">
        <v>2022</v>
      </c>
      <c r="F4" s="50">
        <v>2023</v>
      </c>
      <c r="H4" s="50">
        <v>2024</v>
      </c>
      <c r="J4" s="50">
        <v>2025</v>
      </c>
      <c r="L4" s="50">
        <v>2026</v>
      </c>
      <c r="N4" s="50">
        <v>2027</v>
      </c>
      <c r="P4" s="50">
        <v>2028</v>
      </c>
      <c r="R4" s="50">
        <v>2029</v>
      </c>
      <c r="T4" s="50">
        <v>2030</v>
      </c>
    </row>
    <row r="5" spans="1:32" s="2" customFormat="1">
      <c r="A5" s="2" t="s">
        <v>35</v>
      </c>
      <c r="B5" s="24">
        <v>97168</v>
      </c>
      <c r="D5" s="24">
        <v>97168</v>
      </c>
      <c r="F5" s="24">
        <v>97168</v>
      </c>
      <c r="H5" s="24">
        <v>97168</v>
      </c>
      <c r="J5" s="24">
        <v>97168</v>
      </c>
      <c r="L5" s="24">
        <v>97168</v>
      </c>
      <c r="N5" s="24">
        <v>97168</v>
      </c>
      <c r="P5" s="24">
        <v>97168</v>
      </c>
      <c r="R5" s="24">
        <v>97168</v>
      </c>
      <c r="T5" s="24">
        <v>97168</v>
      </c>
      <c r="W5" s="49" t="s">
        <v>36</v>
      </c>
    </row>
    <row r="6" spans="1:32" s="2" customFormat="1">
      <c r="A6" s="2" t="s">
        <v>37</v>
      </c>
      <c r="B6" s="24">
        <v>41605</v>
      </c>
      <c r="D6" s="24">
        <v>41605</v>
      </c>
      <c r="F6" s="24">
        <v>41605</v>
      </c>
      <c r="H6" s="24">
        <v>41605</v>
      </c>
      <c r="J6" s="24">
        <v>41605</v>
      </c>
      <c r="L6" s="24">
        <v>41605</v>
      </c>
      <c r="N6" s="24">
        <v>41605</v>
      </c>
      <c r="P6" s="24">
        <v>41605</v>
      </c>
      <c r="R6" s="24">
        <v>41605</v>
      </c>
      <c r="T6" s="24">
        <v>41605</v>
      </c>
      <c r="W6" s="49" t="s">
        <v>36</v>
      </c>
    </row>
    <row r="7" spans="1:32" s="2" customFormat="1">
      <c r="A7" s="2" t="s">
        <v>38</v>
      </c>
      <c r="B7" s="19">
        <f>B6/B5</f>
        <v>0.42817594269718423</v>
      </c>
      <c r="D7" s="19">
        <f>D6/D5</f>
        <v>0.42817594269718423</v>
      </c>
      <c r="F7" s="19">
        <f>F6/F5</f>
        <v>0.42817594269718423</v>
      </c>
      <c r="H7" s="19">
        <f>H6/H5</f>
        <v>0.42817594269718423</v>
      </c>
      <c r="J7" s="19">
        <f>J6/J5</f>
        <v>0.42817594269718423</v>
      </c>
      <c r="L7" s="19">
        <f>L6/L5</f>
        <v>0.42817594269718423</v>
      </c>
      <c r="N7" s="19">
        <f>N6/N5</f>
        <v>0.42817594269718423</v>
      </c>
      <c r="P7" s="19">
        <f>P6/P5</f>
        <v>0.42817594269718423</v>
      </c>
      <c r="R7" s="19">
        <f>R6/R5</f>
        <v>0.42817594269718423</v>
      </c>
      <c r="T7" s="19">
        <f>T6/T5</f>
        <v>0.42817594269718423</v>
      </c>
    </row>
    <row r="8" spans="1:32" s="2" customFormat="1">
      <c r="B8" s="8"/>
      <c r="D8" s="8"/>
      <c r="F8" s="8"/>
      <c r="H8" s="8"/>
      <c r="J8" s="8"/>
      <c r="L8" s="8"/>
      <c r="N8" s="8"/>
      <c r="P8" s="8"/>
      <c r="R8" s="8"/>
      <c r="T8" s="8"/>
    </row>
    <row r="9" spans="1:32" s="2" customFormat="1">
      <c r="A9" s="2" t="s">
        <v>39</v>
      </c>
      <c r="B9" s="24">
        <v>638200000</v>
      </c>
      <c r="D9" s="24">
        <v>638200000</v>
      </c>
      <c r="F9" s="24">
        <v>638200000</v>
      </c>
      <c r="H9" s="24">
        <v>638200000</v>
      </c>
      <c r="J9" s="24">
        <v>638200000</v>
      </c>
      <c r="L9" s="24">
        <v>638200000</v>
      </c>
      <c r="N9" s="24">
        <v>638200000</v>
      </c>
      <c r="P9" s="24">
        <v>638200000</v>
      </c>
      <c r="R9" s="24">
        <v>638200000</v>
      </c>
      <c r="T9" s="24">
        <v>638200000</v>
      </c>
      <c r="W9" s="2" t="s">
        <v>40</v>
      </c>
    </row>
    <row r="10" spans="1:32" s="2" customFormat="1">
      <c r="A10" s="2" t="s">
        <v>41</v>
      </c>
      <c r="B10" s="24">
        <v>55000000</v>
      </c>
      <c r="D10" s="24">
        <v>55000000</v>
      </c>
      <c r="F10" s="24">
        <v>55000000</v>
      </c>
      <c r="H10" s="24">
        <v>55000000</v>
      </c>
      <c r="J10" s="24">
        <v>55000000</v>
      </c>
      <c r="L10" s="24">
        <v>55000000</v>
      </c>
      <c r="N10" s="24">
        <v>55000000</v>
      </c>
      <c r="P10" s="24">
        <v>55000000</v>
      </c>
      <c r="R10" s="24">
        <v>55000000</v>
      </c>
      <c r="T10" s="24">
        <v>55000000</v>
      </c>
      <c r="W10" s="2" t="s">
        <v>42</v>
      </c>
    </row>
    <row r="11" spans="1:32" s="2" customFormat="1">
      <c r="A11" s="2" t="s">
        <v>43</v>
      </c>
      <c r="B11" s="14">
        <f>B9+B10</f>
        <v>693200000</v>
      </c>
      <c r="D11" s="14">
        <f>D9+D10</f>
        <v>693200000</v>
      </c>
      <c r="F11" s="14">
        <f>F9+F10</f>
        <v>693200000</v>
      </c>
      <c r="H11" s="14">
        <f>H9+H10</f>
        <v>693200000</v>
      </c>
      <c r="J11" s="14">
        <f>J9+J10</f>
        <v>693200000</v>
      </c>
      <c r="L11" s="14">
        <f>L9+L10</f>
        <v>693200000</v>
      </c>
      <c r="N11" s="14">
        <f>N9+N10</f>
        <v>693200000</v>
      </c>
      <c r="P11" s="14">
        <f>P9+P10</f>
        <v>693200000</v>
      </c>
      <c r="R11" s="14">
        <f>R9+R10</f>
        <v>693200000</v>
      </c>
      <c r="T11" s="14">
        <f>T9+T10</f>
        <v>693200000</v>
      </c>
    </row>
    <row r="12" spans="1:32" s="2" customFormat="1">
      <c r="A12" s="2" t="s">
        <v>44</v>
      </c>
      <c r="B12" s="14">
        <f>B9+B11</f>
        <v>1331400000</v>
      </c>
      <c r="D12" s="14">
        <f>D9+D11</f>
        <v>1331400000</v>
      </c>
      <c r="F12" s="14">
        <f>F9+F11</f>
        <v>1331400000</v>
      </c>
      <c r="H12" s="14">
        <f>H9+H11</f>
        <v>1331400000</v>
      </c>
      <c r="J12" s="14">
        <f>J9+J11</f>
        <v>1331400000</v>
      </c>
      <c r="L12" s="14">
        <f>L9+L11</f>
        <v>1331400000</v>
      </c>
      <c r="N12" s="14">
        <f>N9+N11</f>
        <v>1331400000</v>
      </c>
      <c r="P12" s="14">
        <f>P9+P11</f>
        <v>1331400000</v>
      </c>
      <c r="R12" s="14">
        <f>R9+R11</f>
        <v>1331400000</v>
      </c>
      <c r="T12" s="14">
        <f>T9+T11</f>
        <v>1331400000</v>
      </c>
    </row>
    <row r="13" spans="1:32" s="2" customFormat="1">
      <c r="A13" s="2" t="s">
        <v>45</v>
      </c>
      <c r="B13" s="14">
        <f>B12*B7</f>
        <v>570073450.10703111</v>
      </c>
      <c r="D13" s="14">
        <f>D12*D7</f>
        <v>570073450.10703111</v>
      </c>
      <c r="F13" s="14">
        <f>F12*F7</f>
        <v>570073450.10703111</v>
      </c>
      <c r="H13" s="14">
        <f>H12*H7</f>
        <v>570073450.10703111</v>
      </c>
      <c r="J13" s="14">
        <f>J12*J7</f>
        <v>570073450.10703111</v>
      </c>
      <c r="L13" s="14">
        <f>L12*L7</f>
        <v>570073450.10703111</v>
      </c>
      <c r="N13" s="14">
        <f>N12*N7</f>
        <v>570073450.10703111</v>
      </c>
      <c r="P13" s="14">
        <f>P12*P7</f>
        <v>570073450.10703111</v>
      </c>
      <c r="R13" s="14">
        <f>R12*R7</f>
        <v>570073450.10703111</v>
      </c>
      <c r="T13" s="14">
        <f>T12*T7</f>
        <v>570073450.10703111</v>
      </c>
    </row>
    <row r="14" spans="1:32" s="2" customFormat="1"/>
    <row r="15" spans="1:32" s="2" customFormat="1">
      <c r="A15" s="2" t="s">
        <v>46</v>
      </c>
      <c r="B15" s="24">
        <v>19582527</v>
      </c>
      <c r="D15" s="24">
        <v>19582527</v>
      </c>
      <c r="F15" s="24">
        <v>19582527</v>
      </c>
      <c r="H15" s="24">
        <v>19582527</v>
      </c>
      <c r="J15" s="24">
        <v>19582527</v>
      </c>
      <c r="L15" s="24">
        <v>19582527</v>
      </c>
      <c r="N15" s="24">
        <v>19582527</v>
      </c>
      <c r="P15" s="24">
        <v>19582527</v>
      </c>
      <c r="R15" s="24">
        <v>19582527</v>
      </c>
      <c r="T15" s="24">
        <v>19582527</v>
      </c>
      <c r="W15" s="2" t="s">
        <v>47</v>
      </c>
    </row>
    <row r="16" spans="1:32" s="2" customFormat="1">
      <c r="A16" s="2" t="s">
        <v>48</v>
      </c>
      <c r="B16" s="24">
        <v>1287837900</v>
      </c>
      <c r="D16" s="24">
        <v>1287837900</v>
      </c>
      <c r="F16" s="24">
        <v>1287837900</v>
      </c>
      <c r="H16" s="24">
        <v>1287837900</v>
      </c>
      <c r="J16" s="24">
        <v>1287837900</v>
      </c>
      <c r="L16" s="24">
        <v>1287837900</v>
      </c>
      <c r="N16" s="24">
        <v>1287837900</v>
      </c>
      <c r="P16" s="24">
        <v>1287837900</v>
      </c>
      <c r="R16" s="24">
        <v>1287837900</v>
      </c>
      <c r="T16" s="24">
        <v>1287837900</v>
      </c>
      <c r="W16" s="2" t="s">
        <v>49</v>
      </c>
    </row>
    <row r="17" spans="1:24" s="2" customFormat="1">
      <c r="A17" s="2" t="s">
        <v>50</v>
      </c>
      <c r="B17" s="24">
        <v>15440</v>
      </c>
      <c r="D17" s="24">
        <v>15440</v>
      </c>
      <c r="F17" s="24">
        <v>15440</v>
      </c>
      <c r="H17" s="24">
        <v>15440</v>
      </c>
      <c r="J17" s="24">
        <v>15440</v>
      </c>
      <c r="L17" s="24">
        <v>15440</v>
      </c>
      <c r="N17" s="24">
        <v>15440</v>
      </c>
      <c r="P17" s="24">
        <v>15440</v>
      </c>
      <c r="R17" s="24">
        <v>15440</v>
      </c>
      <c r="T17" s="24">
        <v>15440</v>
      </c>
      <c r="W17" s="2" t="s">
        <v>49</v>
      </c>
    </row>
    <row r="18" spans="1:24" s="2" customFormat="1">
      <c r="A18" s="2" t="s">
        <v>51</v>
      </c>
      <c r="B18" s="18">
        <v>7.0000000000000007E-2</v>
      </c>
      <c r="D18" s="18">
        <v>7.0000000000000007E-2</v>
      </c>
      <c r="F18" s="18">
        <v>7.0000000000000007E-2</v>
      </c>
      <c r="H18" s="18">
        <v>7.0000000000000007E-2</v>
      </c>
      <c r="J18" s="18">
        <v>7.0000000000000007E-2</v>
      </c>
      <c r="L18" s="18">
        <v>7.0000000000000007E-2</v>
      </c>
      <c r="N18" s="18">
        <v>7.0000000000000007E-2</v>
      </c>
      <c r="P18" s="18">
        <v>7.0000000000000007E-2</v>
      </c>
      <c r="R18" s="18">
        <v>7.0000000000000007E-2</v>
      </c>
      <c r="T18" s="18">
        <v>7.0000000000000007E-2</v>
      </c>
      <c r="W18" s="2" t="s">
        <v>49</v>
      </c>
    </row>
    <row r="19" spans="1:24" s="2" customFormat="1">
      <c r="A19" s="2" t="s">
        <v>52</v>
      </c>
      <c r="B19" s="14">
        <f>B16*(1+B18)</f>
        <v>1377986553</v>
      </c>
      <c r="C19" s="38"/>
      <c r="D19" s="14">
        <f>D16*(1+D18)</f>
        <v>1377986553</v>
      </c>
      <c r="F19" s="14">
        <f>F16*(1+F18)</f>
        <v>1377986553</v>
      </c>
      <c r="H19" s="14">
        <f>H16*(1+H18)</f>
        <v>1377986553</v>
      </c>
      <c r="J19" s="14">
        <f>J16*(1+J18)</f>
        <v>1377986553</v>
      </c>
      <c r="L19" s="14">
        <f>L16*(1+L18)</f>
        <v>1377986553</v>
      </c>
      <c r="N19" s="14">
        <f>N16*(1+N18)</f>
        <v>1377986553</v>
      </c>
      <c r="P19" s="14">
        <f>P16*(1+P18)</f>
        <v>1377986553</v>
      </c>
      <c r="R19" s="14">
        <f>R16*(1+R18)</f>
        <v>1377986553</v>
      </c>
      <c r="T19" s="14">
        <f>T16*(1+T18)</f>
        <v>1377986553</v>
      </c>
      <c r="U19" s="38"/>
      <c r="V19" s="38"/>
      <c r="W19" s="2" t="s">
        <v>49</v>
      </c>
    </row>
    <row r="20" spans="1:24" s="2" customFormat="1">
      <c r="A20" s="2" t="s">
        <v>53</v>
      </c>
      <c r="B20" s="18">
        <v>0.314</v>
      </c>
      <c r="D20" s="18">
        <v>0.314</v>
      </c>
      <c r="F20" s="18">
        <v>0.314</v>
      </c>
      <c r="H20" s="18">
        <v>0.314</v>
      </c>
      <c r="J20" s="18">
        <v>0.314</v>
      </c>
      <c r="L20" s="18">
        <v>0.314</v>
      </c>
      <c r="N20" s="18">
        <v>0.314</v>
      </c>
      <c r="P20" s="18">
        <v>0.314</v>
      </c>
      <c r="R20" s="18">
        <v>0.314</v>
      </c>
      <c r="T20" s="18">
        <v>0.314</v>
      </c>
      <c r="W20" s="29" t="s">
        <v>54</v>
      </c>
      <c r="X20" s="29"/>
    </row>
    <row r="21" spans="1:24" s="2" customFormat="1">
      <c r="A21" s="2" t="s">
        <v>55</v>
      </c>
      <c r="B21" s="24">
        <v>-0.6</v>
      </c>
      <c r="D21" s="24">
        <v>-0.6</v>
      </c>
      <c r="F21" s="24">
        <v>-0.6</v>
      </c>
      <c r="H21" s="24">
        <v>-0.6</v>
      </c>
      <c r="J21" s="24">
        <v>-0.6</v>
      </c>
      <c r="L21" s="24">
        <v>-0.6</v>
      </c>
      <c r="N21" s="24">
        <v>-0.6</v>
      </c>
      <c r="P21" s="24">
        <v>-0.6</v>
      </c>
      <c r="R21" s="24">
        <v>-0.6</v>
      </c>
      <c r="T21" s="24">
        <v>-0.6</v>
      </c>
      <c r="W21" s="2" t="s">
        <v>56</v>
      </c>
    </row>
    <row r="22" spans="1:24" s="2" customFormat="1">
      <c r="B22" s="28"/>
      <c r="D22" s="28"/>
      <c r="F22" s="28"/>
      <c r="H22" s="28"/>
      <c r="J22" s="28"/>
      <c r="L22" s="28"/>
      <c r="N22" s="28"/>
      <c r="P22" s="28"/>
      <c r="R22" s="28"/>
      <c r="T22" s="28"/>
    </row>
    <row r="23" spans="1:24" s="2" customFormat="1">
      <c r="A23" s="2" t="s">
        <v>57</v>
      </c>
      <c r="B23" s="28"/>
      <c r="C23" s="1" t="s">
        <v>58</v>
      </c>
      <c r="D23" s="28"/>
      <c r="E23" s="1" t="s">
        <v>58</v>
      </c>
      <c r="F23" s="28"/>
      <c r="G23" s="1" t="s">
        <v>58</v>
      </c>
      <c r="H23" s="28"/>
      <c r="I23" s="1" t="s">
        <v>58</v>
      </c>
      <c r="J23" s="28"/>
      <c r="K23" s="1" t="s">
        <v>58</v>
      </c>
      <c r="L23" s="28"/>
      <c r="M23" s="1" t="s">
        <v>58</v>
      </c>
      <c r="N23" s="28"/>
      <c r="O23" s="1" t="s">
        <v>58</v>
      </c>
      <c r="P23" s="28"/>
      <c r="Q23" s="1" t="s">
        <v>58</v>
      </c>
      <c r="R23" s="28"/>
      <c r="S23" s="1" t="s">
        <v>58</v>
      </c>
      <c r="T23" s="28"/>
      <c r="U23" s="1" t="s">
        <v>58</v>
      </c>
      <c r="V23" s="1"/>
    </row>
    <row r="24" spans="1:24" s="2" customFormat="1">
      <c r="A24" s="2" t="s">
        <v>59</v>
      </c>
      <c r="B24" s="24">
        <v>494.23950140579427</v>
      </c>
      <c r="C24" s="19">
        <f>B24/$B$29</f>
        <v>8.8051317507059315E-2</v>
      </c>
      <c r="D24" s="24">
        <v>494.23950140579427</v>
      </c>
      <c r="E24" s="19">
        <f>D24/$D$29</f>
        <v>8.8051317507059315E-2</v>
      </c>
      <c r="F24" s="24">
        <v>494.23950140579427</v>
      </c>
      <c r="G24" s="19">
        <f>F24/$F$29</f>
        <v>8.8051317507059315E-2</v>
      </c>
      <c r="H24" s="24">
        <v>494.23950140579427</v>
      </c>
      <c r="I24" s="19">
        <f>H24/$H$29</f>
        <v>8.8051317507059315E-2</v>
      </c>
      <c r="J24" s="24">
        <v>494.23950140579427</v>
      </c>
      <c r="K24" s="19">
        <f>J24/$J$29</f>
        <v>8.8051317507059315E-2</v>
      </c>
      <c r="L24" s="24">
        <v>494.23950140579427</v>
      </c>
      <c r="M24" s="19">
        <f>L24/$L$29</f>
        <v>8.8051317507059315E-2</v>
      </c>
      <c r="N24" s="24">
        <v>494.23950140579427</v>
      </c>
      <c r="O24" s="19">
        <f>N24/$N$29</f>
        <v>8.8051317507059315E-2</v>
      </c>
      <c r="P24" s="24">
        <v>494.23950140579427</v>
      </c>
      <c r="Q24" s="19">
        <f>P24/$P$29</f>
        <v>8.8051317507059315E-2</v>
      </c>
      <c r="R24" s="24">
        <v>494.23950140579427</v>
      </c>
      <c r="S24" s="19">
        <f>R24/$R$29</f>
        <v>8.8051317507059315E-2</v>
      </c>
      <c r="T24" s="24">
        <v>494.23950140579427</v>
      </c>
      <c r="U24" s="19">
        <f>T24/$T$29</f>
        <v>8.8051317507059315E-2</v>
      </c>
      <c r="W24" s="2" t="s">
        <v>60</v>
      </c>
    </row>
    <row r="25" spans="1:24" s="2" customFormat="1">
      <c r="A25" s="2" t="s">
        <v>61</v>
      </c>
      <c r="B25" s="24">
        <v>1153.1125366836729</v>
      </c>
      <c r="C25" s="19">
        <f>B25/$B$29</f>
        <v>0.20543294860104908</v>
      </c>
      <c r="D25" s="24">
        <v>1153.1125366836729</v>
      </c>
      <c r="E25" s="19">
        <f t="shared" ref="E25:E28" si="0">D25/$D$29</f>
        <v>0.20543294860104908</v>
      </c>
      <c r="F25" s="24">
        <v>1153.1125366836729</v>
      </c>
      <c r="G25" s="19">
        <f t="shared" ref="G25:G28" si="1">F25/$F$29</f>
        <v>0.20543294860104908</v>
      </c>
      <c r="H25" s="24">
        <v>1153.1125366836729</v>
      </c>
      <c r="I25" s="19">
        <f t="shared" ref="I25:I28" si="2">H25/$H$29</f>
        <v>0.20543294860104908</v>
      </c>
      <c r="J25" s="24">
        <v>1153.1125366836729</v>
      </c>
      <c r="K25" s="19">
        <f t="shared" ref="K25:K28" si="3">J25/$J$29</f>
        <v>0.20543294860104908</v>
      </c>
      <c r="L25" s="24">
        <v>1153.1125366836729</v>
      </c>
      <c r="M25" s="19">
        <f t="shared" ref="M25:M28" si="4">L25/$L$29</f>
        <v>0.20543294860104908</v>
      </c>
      <c r="N25" s="24">
        <v>1153.1125366836729</v>
      </c>
      <c r="O25" s="19">
        <f t="shared" ref="O25:O28" si="5">N25/$N$29</f>
        <v>0.20543294860104908</v>
      </c>
      <c r="P25" s="24">
        <v>1153.1125366836729</v>
      </c>
      <c r="Q25" s="19">
        <f t="shared" ref="Q25:Q28" si="6">P25/$P$29</f>
        <v>0.20543294860104908</v>
      </c>
      <c r="R25" s="24">
        <v>1153.1125366836729</v>
      </c>
      <c r="S25" s="19">
        <f t="shared" ref="S25:S28" si="7">R25/$R$29</f>
        <v>0.20543294860104908</v>
      </c>
      <c r="T25" s="24">
        <v>1153.1125366836729</v>
      </c>
      <c r="U25" s="19">
        <f t="shared" ref="U25:U28" si="8">T25/$T$29</f>
        <v>0.20543294860104908</v>
      </c>
      <c r="W25" s="2" t="s">
        <v>60</v>
      </c>
    </row>
    <row r="26" spans="1:24" s="2" customFormat="1">
      <c r="A26" s="2" t="s">
        <v>62</v>
      </c>
      <c r="B26" s="24">
        <v>1156.7543914490761</v>
      </c>
      <c r="C26" s="19">
        <f>B26/$B$29</f>
        <v>0.20608176381988735</v>
      </c>
      <c r="D26" s="24">
        <v>1156.7543914490761</v>
      </c>
      <c r="E26" s="19">
        <f t="shared" si="0"/>
        <v>0.20608176381988735</v>
      </c>
      <c r="F26" s="24">
        <v>1156.7543914490761</v>
      </c>
      <c r="G26" s="19">
        <f t="shared" si="1"/>
        <v>0.20608176381988735</v>
      </c>
      <c r="H26" s="24">
        <v>1156.7543914490761</v>
      </c>
      <c r="I26" s="19">
        <f t="shared" si="2"/>
        <v>0.20608176381988735</v>
      </c>
      <c r="J26" s="24">
        <v>1156.7543914490761</v>
      </c>
      <c r="K26" s="19">
        <f t="shared" si="3"/>
        <v>0.20608176381988735</v>
      </c>
      <c r="L26" s="24">
        <v>1156.7543914490761</v>
      </c>
      <c r="M26" s="19">
        <f t="shared" si="4"/>
        <v>0.20608176381988735</v>
      </c>
      <c r="N26" s="24">
        <v>1156.7543914490761</v>
      </c>
      <c r="O26" s="19">
        <f t="shared" si="5"/>
        <v>0.20608176381988735</v>
      </c>
      <c r="P26" s="24">
        <v>1156.7543914490761</v>
      </c>
      <c r="Q26" s="19">
        <f t="shared" si="6"/>
        <v>0.20608176381988735</v>
      </c>
      <c r="R26" s="24">
        <v>1156.7543914490761</v>
      </c>
      <c r="S26" s="19">
        <f t="shared" si="7"/>
        <v>0.20608176381988735</v>
      </c>
      <c r="T26" s="24">
        <v>1156.7543914490761</v>
      </c>
      <c r="U26" s="19">
        <f t="shared" si="8"/>
        <v>0.20608176381988735</v>
      </c>
      <c r="W26" s="2" t="s">
        <v>60</v>
      </c>
    </row>
    <row r="27" spans="1:24" s="2" customFormat="1">
      <c r="A27" s="2" t="s">
        <v>63</v>
      </c>
      <c r="B27" s="24">
        <v>1309.6026521206525</v>
      </c>
      <c r="C27" s="19">
        <f>B27/$B$29</f>
        <v>0.23331247017280726</v>
      </c>
      <c r="D27" s="24">
        <v>1309.6026521206525</v>
      </c>
      <c r="E27" s="19">
        <f t="shared" si="0"/>
        <v>0.23331247017280726</v>
      </c>
      <c r="F27" s="24">
        <v>1309.6026521206525</v>
      </c>
      <c r="G27" s="19">
        <f t="shared" si="1"/>
        <v>0.23331247017280726</v>
      </c>
      <c r="H27" s="24">
        <v>1309.6026521206525</v>
      </c>
      <c r="I27" s="19">
        <f t="shared" si="2"/>
        <v>0.23331247017280726</v>
      </c>
      <c r="J27" s="24">
        <v>1309.6026521206525</v>
      </c>
      <c r="K27" s="19">
        <f t="shared" si="3"/>
        <v>0.23331247017280726</v>
      </c>
      <c r="L27" s="24">
        <v>1309.6026521206525</v>
      </c>
      <c r="M27" s="19">
        <f t="shared" si="4"/>
        <v>0.23331247017280726</v>
      </c>
      <c r="N27" s="24">
        <v>1309.6026521206525</v>
      </c>
      <c r="O27" s="19">
        <f t="shared" si="5"/>
        <v>0.23331247017280726</v>
      </c>
      <c r="P27" s="24">
        <v>1309.6026521206525</v>
      </c>
      <c r="Q27" s="19">
        <f t="shared" si="6"/>
        <v>0.23331247017280726</v>
      </c>
      <c r="R27" s="24">
        <v>1309.6026521206525</v>
      </c>
      <c r="S27" s="19">
        <f t="shared" si="7"/>
        <v>0.23331247017280726</v>
      </c>
      <c r="T27" s="24">
        <v>1309.6026521206525</v>
      </c>
      <c r="U27" s="19">
        <f t="shared" si="8"/>
        <v>0.23331247017280726</v>
      </c>
      <c r="W27" s="2" t="s">
        <v>60</v>
      </c>
    </row>
    <row r="28" spans="1:24" s="2" customFormat="1">
      <c r="A28" s="2" t="s">
        <v>64</v>
      </c>
      <c r="B28" s="24">
        <v>1499.375598943906</v>
      </c>
      <c r="C28" s="19">
        <f>B28/$B$29</f>
        <v>0.26712149989919709</v>
      </c>
      <c r="D28" s="24">
        <v>1499.375598943906</v>
      </c>
      <c r="E28" s="19">
        <f t="shared" si="0"/>
        <v>0.26712149989919709</v>
      </c>
      <c r="F28" s="24">
        <v>1499.375598943906</v>
      </c>
      <c r="G28" s="19">
        <f t="shared" si="1"/>
        <v>0.26712149989919709</v>
      </c>
      <c r="H28" s="24">
        <v>1499.375598943906</v>
      </c>
      <c r="I28" s="19">
        <f t="shared" si="2"/>
        <v>0.26712149989919709</v>
      </c>
      <c r="J28" s="24">
        <v>1499.375598943906</v>
      </c>
      <c r="K28" s="19">
        <f t="shared" si="3"/>
        <v>0.26712149989919709</v>
      </c>
      <c r="L28" s="24">
        <v>1499.375598943906</v>
      </c>
      <c r="M28" s="19">
        <f t="shared" si="4"/>
        <v>0.26712149989919709</v>
      </c>
      <c r="N28" s="24">
        <v>1499.375598943906</v>
      </c>
      <c r="O28" s="19">
        <f t="shared" si="5"/>
        <v>0.26712149989919709</v>
      </c>
      <c r="P28" s="24">
        <v>1499.375598943906</v>
      </c>
      <c r="Q28" s="19">
        <f t="shared" si="6"/>
        <v>0.26712149989919709</v>
      </c>
      <c r="R28" s="24">
        <v>1499.375598943906</v>
      </c>
      <c r="S28" s="19">
        <f t="shared" si="7"/>
        <v>0.26712149989919709</v>
      </c>
      <c r="T28" s="24">
        <v>1499.375598943906</v>
      </c>
      <c r="U28" s="19">
        <f t="shared" si="8"/>
        <v>0.26712149989919709</v>
      </c>
      <c r="W28" s="2" t="s">
        <v>60</v>
      </c>
    </row>
    <row r="29" spans="1:24" s="2" customFormat="1">
      <c r="A29" s="2" t="s">
        <v>65</v>
      </c>
      <c r="B29" s="14">
        <f>SUM(B24:B28)</f>
        <v>5613.0846806031013</v>
      </c>
      <c r="D29" s="14">
        <f>SUM(D24:D28)</f>
        <v>5613.0846806031013</v>
      </c>
      <c r="F29" s="14">
        <f>SUM(F24:F28)</f>
        <v>5613.0846806031013</v>
      </c>
      <c r="H29" s="14">
        <f>SUM(H24:H28)</f>
        <v>5613.0846806031013</v>
      </c>
      <c r="J29" s="14">
        <f>SUM(J24:J28)</f>
        <v>5613.0846806031013</v>
      </c>
      <c r="L29" s="14">
        <f>SUM(L24:L28)</f>
        <v>5613.0846806031013</v>
      </c>
      <c r="N29" s="14">
        <f>SUM(N24:N28)</f>
        <v>5613.0846806031013</v>
      </c>
      <c r="P29" s="14">
        <f>SUM(P24:P28)</f>
        <v>5613.0846806031013</v>
      </c>
      <c r="R29" s="14">
        <f>SUM(R24:R28)</f>
        <v>5613.0846806031013</v>
      </c>
      <c r="T29" s="14">
        <f>SUM(T24:T28)</f>
        <v>5613.0846806031013</v>
      </c>
    </row>
    <row r="30" spans="1:24" s="2" customFormat="1">
      <c r="B30" s="28"/>
      <c r="D30" s="28"/>
      <c r="F30" s="28"/>
      <c r="H30" s="28"/>
      <c r="J30" s="28"/>
      <c r="L30" s="28"/>
      <c r="N30" s="28"/>
      <c r="P30" s="28"/>
      <c r="R30" s="28"/>
      <c r="T30" s="28"/>
    </row>
    <row r="31" spans="1:24" s="2" customFormat="1">
      <c r="A31" s="2" t="s">
        <v>66</v>
      </c>
      <c r="B31" s="28"/>
      <c r="D31" s="28"/>
      <c r="F31" s="28"/>
      <c r="H31" s="28"/>
      <c r="J31" s="28"/>
      <c r="L31" s="28"/>
      <c r="N31" s="28"/>
      <c r="P31" s="28"/>
      <c r="R31" s="28"/>
      <c r="T31" s="28"/>
    </row>
    <row r="32" spans="1:24" s="2" customFormat="1">
      <c r="A32" s="2" t="s">
        <v>67</v>
      </c>
      <c r="B32" s="18">
        <v>0.25</v>
      </c>
      <c r="D32" s="18">
        <v>0.25</v>
      </c>
      <c r="F32" s="18">
        <v>0.25</v>
      </c>
      <c r="H32" s="18">
        <v>0.25</v>
      </c>
      <c r="J32" s="18">
        <v>0.25</v>
      </c>
      <c r="L32" s="18">
        <v>0.25</v>
      </c>
      <c r="N32" s="18">
        <v>0.25</v>
      </c>
      <c r="P32" s="18">
        <v>0.25</v>
      </c>
      <c r="R32" s="18">
        <v>0.25</v>
      </c>
      <c r="T32" s="18">
        <v>0.25</v>
      </c>
      <c r="W32" s="2" t="s">
        <v>68</v>
      </c>
    </row>
    <row r="33" spans="1:26" s="2" customFormat="1">
      <c r="A33" s="2" t="s">
        <v>69</v>
      </c>
      <c r="B33" s="14">
        <f>(B37*100)/(100*(1-B32))</f>
        <v>36</v>
      </c>
      <c r="C33" s="13"/>
      <c r="D33" s="14">
        <f>(D37*100)/(100*(1-D32))</f>
        <v>36</v>
      </c>
      <c r="F33" s="14">
        <f>(F37*100)/(100*(1-F32))</f>
        <v>36</v>
      </c>
      <c r="H33" s="14">
        <f>(H37*100)/(100*(1-H32))</f>
        <v>36</v>
      </c>
      <c r="J33" s="14">
        <f>(J37*100)/(100*(1-J32))</f>
        <v>36</v>
      </c>
      <c r="L33" s="14">
        <f>(L37*100)/(100*(1-L32))</f>
        <v>36</v>
      </c>
      <c r="N33" s="14">
        <f>(N37*100)/(100*(1-N32))</f>
        <v>36</v>
      </c>
      <c r="P33" s="14">
        <f>(P37*100)/(100*(1-P32))</f>
        <v>36</v>
      </c>
      <c r="R33" s="14">
        <f>(R37*100)/(100*(1-R32))</f>
        <v>36</v>
      </c>
      <c r="T33" s="14">
        <f>(T37*100)/(100*(1-T32))</f>
        <v>36</v>
      </c>
      <c r="U33" s="13"/>
      <c r="V33" s="13"/>
      <c r="Z33" s="16"/>
    </row>
    <row r="34" spans="1:26" s="2" customFormat="1">
      <c r="A34" s="2" t="s">
        <v>70</v>
      </c>
      <c r="B34" s="24">
        <v>34</v>
      </c>
      <c r="D34" s="24">
        <v>34</v>
      </c>
      <c r="F34" s="24">
        <v>34</v>
      </c>
      <c r="H34" s="24">
        <v>34</v>
      </c>
      <c r="J34" s="24">
        <v>34</v>
      </c>
      <c r="L34" s="24">
        <v>34</v>
      </c>
      <c r="N34" s="24">
        <v>34</v>
      </c>
      <c r="P34" s="24">
        <v>34</v>
      </c>
      <c r="R34" s="24">
        <v>34</v>
      </c>
      <c r="T34" s="24">
        <v>34</v>
      </c>
      <c r="W34" s="2" t="s">
        <v>71</v>
      </c>
    </row>
    <row r="35" spans="1:26" s="2" customFormat="1">
      <c r="A35" s="2" t="s">
        <v>72</v>
      </c>
      <c r="B35" s="24">
        <v>32.729999999999997</v>
      </c>
      <c r="D35" s="24">
        <v>32.729999999999997</v>
      </c>
      <c r="F35" s="24">
        <v>32.729999999999997</v>
      </c>
      <c r="H35" s="24">
        <v>32.729999999999997</v>
      </c>
      <c r="J35" s="24">
        <v>32.729999999999997</v>
      </c>
      <c r="L35" s="24">
        <v>32.729999999999997</v>
      </c>
      <c r="N35" s="24">
        <v>32.729999999999997</v>
      </c>
      <c r="P35" s="24">
        <v>32.729999999999997</v>
      </c>
      <c r="R35" s="24">
        <v>32.729999999999997</v>
      </c>
      <c r="T35" s="24">
        <v>32.729999999999997</v>
      </c>
      <c r="W35" s="2" t="s">
        <v>71</v>
      </c>
    </row>
    <row r="36" spans="1:26" s="2" customFormat="1">
      <c r="A36" s="2" t="s">
        <v>73</v>
      </c>
      <c r="B36" s="24">
        <v>31.86</v>
      </c>
      <c r="D36" s="24">
        <v>31.86</v>
      </c>
      <c r="F36" s="24">
        <v>31.86</v>
      </c>
      <c r="H36" s="24">
        <v>31.86</v>
      </c>
      <c r="J36" s="24">
        <v>31.86</v>
      </c>
      <c r="L36" s="24">
        <v>31.86</v>
      </c>
      <c r="N36" s="24">
        <v>31.86</v>
      </c>
      <c r="P36" s="24">
        <v>31.86</v>
      </c>
      <c r="R36" s="24">
        <v>31.86</v>
      </c>
      <c r="T36" s="24">
        <v>31.86</v>
      </c>
      <c r="W36" s="2" t="s">
        <v>71</v>
      </c>
    </row>
    <row r="37" spans="1:26" s="2" customFormat="1">
      <c r="A37" s="2" t="s">
        <v>74</v>
      </c>
      <c r="B37" s="24">
        <v>27</v>
      </c>
      <c r="D37" s="24">
        <v>27</v>
      </c>
      <c r="F37" s="24">
        <v>27</v>
      </c>
      <c r="H37" s="24">
        <v>27</v>
      </c>
      <c r="J37" s="24">
        <v>27</v>
      </c>
      <c r="L37" s="24">
        <v>27</v>
      </c>
      <c r="N37" s="24">
        <v>27</v>
      </c>
      <c r="P37" s="24">
        <v>27</v>
      </c>
      <c r="R37" s="24">
        <v>27</v>
      </c>
      <c r="T37" s="24">
        <v>27</v>
      </c>
      <c r="W37" s="2" t="s">
        <v>71</v>
      </c>
    </row>
    <row r="38" spans="1:26" s="2" customFormat="1">
      <c r="B38" s="28"/>
      <c r="D38" s="28"/>
      <c r="F38" s="28"/>
      <c r="H38" s="28"/>
      <c r="J38" s="28"/>
      <c r="L38" s="28"/>
      <c r="N38" s="28"/>
      <c r="P38" s="28"/>
      <c r="R38" s="28"/>
      <c r="T38" s="28"/>
    </row>
    <row r="39" spans="1:26" s="2" customFormat="1">
      <c r="A39" s="2" t="s">
        <v>75</v>
      </c>
      <c r="B39" s="24">
        <v>45.66</v>
      </c>
      <c r="D39" s="24">
        <v>45.66</v>
      </c>
      <c r="F39" s="24">
        <v>45.66</v>
      </c>
      <c r="H39" s="24">
        <v>45.66</v>
      </c>
      <c r="J39" s="24">
        <v>45.66</v>
      </c>
      <c r="L39" s="24">
        <v>45.66</v>
      </c>
      <c r="N39" s="24">
        <v>45.66</v>
      </c>
      <c r="P39" s="24">
        <v>45.66</v>
      </c>
      <c r="R39" s="24">
        <v>45.66</v>
      </c>
      <c r="T39" s="24">
        <v>45.66</v>
      </c>
      <c r="W39" s="2" t="s">
        <v>76</v>
      </c>
    </row>
    <row r="40" spans="1:26" s="2" customFormat="1">
      <c r="A40" s="2" t="s">
        <v>77</v>
      </c>
      <c r="B40" s="24">
        <v>0.84389999999999998</v>
      </c>
      <c r="D40" s="24">
        <v>0.84389999999999998</v>
      </c>
      <c r="F40" s="24">
        <v>0.84389999999999998</v>
      </c>
      <c r="H40" s="24">
        <v>0.84389999999999998</v>
      </c>
      <c r="J40" s="24">
        <v>0.84389999999999998</v>
      </c>
      <c r="L40" s="24">
        <v>0.84389999999999998</v>
      </c>
      <c r="N40" s="24">
        <v>0.84389999999999998</v>
      </c>
      <c r="P40" s="24">
        <v>0.84389999999999998</v>
      </c>
      <c r="R40" s="24">
        <v>0.84389999999999998</v>
      </c>
      <c r="T40" s="24">
        <v>0.84389999999999998</v>
      </c>
      <c r="W40" s="2" t="s">
        <v>76</v>
      </c>
    </row>
    <row r="41" spans="1:26" s="2" customFormat="1">
      <c r="A41" s="2" t="s">
        <v>78</v>
      </c>
      <c r="B41" s="24">
        <v>493</v>
      </c>
      <c r="D41" s="24">
        <v>493</v>
      </c>
      <c r="F41" s="24">
        <v>493</v>
      </c>
      <c r="H41" s="24">
        <v>493</v>
      </c>
      <c r="J41" s="24">
        <v>493</v>
      </c>
      <c r="L41" s="24">
        <v>493</v>
      </c>
      <c r="N41" s="24">
        <v>493</v>
      </c>
      <c r="P41" s="24">
        <v>493</v>
      </c>
      <c r="R41" s="24">
        <v>493</v>
      </c>
      <c r="T41" s="24">
        <v>493</v>
      </c>
      <c r="W41" s="2" t="s">
        <v>79</v>
      </c>
    </row>
    <row r="42" spans="1:26" s="2" customFormat="1" ht="15" customHeight="1">
      <c r="A42" s="2" t="s">
        <v>80</v>
      </c>
      <c r="B42" s="24">
        <v>269.79418800000076</v>
      </c>
      <c r="D42" s="24">
        <v>269.79418800000076</v>
      </c>
      <c r="F42" s="24">
        <v>269.79418800000076</v>
      </c>
      <c r="H42" s="24">
        <v>269.79418800000076</v>
      </c>
      <c r="J42" s="24">
        <v>269.79418800000076</v>
      </c>
      <c r="L42" s="24">
        <v>269.79418800000076</v>
      </c>
      <c r="N42" s="24">
        <v>269.79418800000076</v>
      </c>
      <c r="P42" s="24">
        <v>269.79418800000076</v>
      </c>
      <c r="R42" s="24">
        <v>269.79418800000076</v>
      </c>
      <c r="T42" s="24">
        <v>269.79418800000076</v>
      </c>
      <c r="W42" s="2" t="s">
        <v>81</v>
      </c>
    </row>
    <row r="43" spans="1:26" s="2" customFormat="1" ht="15" customHeight="1">
      <c r="A43" s="51" t="s">
        <v>333</v>
      </c>
      <c r="B43" s="18">
        <v>0.9</v>
      </c>
      <c r="D43" s="18">
        <v>0.9</v>
      </c>
      <c r="F43" s="18">
        <v>0.9</v>
      </c>
      <c r="H43" s="18">
        <v>0.9</v>
      </c>
      <c r="J43" s="18">
        <v>0.9</v>
      </c>
      <c r="L43" s="18">
        <v>0.9</v>
      </c>
      <c r="N43" s="18">
        <v>0.9</v>
      </c>
      <c r="P43" s="18">
        <v>0.9</v>
      </c>
      <c r="R43" s="18">
        <v>0.9</v>
      </c>
      <c r="T43" s="18">
        <v>0.9</v>
      </c>
      <c r="W43" s="51" t="s">
        <v>332</v>
      </c>
    </row>
    <row r="44" spans="1:26" s="2" customFormat="1"/>
    <row r="45" spans="1:26" s="2" customFormat="1">
      <c r="A45" s="2" t="s">
        <v>82</v>
      </c>
      <c r="B45" s="24">
        <v>1000</v>
      </c>
      <c r="D45" s="24">
        <v>1000</v>
      </c>
      <c r="F45" s="24">
        <v>1000</v>
      </c>
      <c r="H45" s="24">
        <v>1000</v>
      </c>
      <c r="J45" s="24">
        <v>1000</v>
      </c>
      <c r="L45" s="24">
        <v>1000</v>
      </c>
      <c r="N45" s="24">
        <v>1000</v>
      </c>
      <c r="P45" s="24">
        <v>1000</v>
      </c>
      <c r="R45" s="24">
        <v>1000</v>
      </c>
      <c r="T45" s="24">
        <v>1000</v>
      </c>
      <c r="W45" s="2" t="s">
        <v>76</v>
      </c>
    </row>
    <row r="46" spans="1:26" s="2" customFormat="1">
      <c r="A46" s="2" t="s">
        <v>83</v>
      </c>
      <c r="B46" s="24">
        <v>3.6</v>
      </c>
      <c r="D46" s="24">
        <v>3.6</v>
      </c>
      <c r="F46" s="24">
        <v>3.6</v>
      </c>
      <c r="H46" s="24">
        <v>3.6</v>
      </c>
      <c r="J46" s="24">
        <v>3.6</v>
      </c>
      <c r="L46" s="24">
        <v>3.6</v>
      </c>
      <c r="N46" s="24">
        <v>3.6</v>
      </c>
      <c r="P46" s="24">
        <v>3.6</v>
      </c>
      <c r="R46" s="24">
        <v>3.6</v>
      </c>
      <c r="T46" s="24">
        <v>3.6</v>
      </c>
      <c r="W46" s="2" t="s">
        <v>76</v>
      </c>
    </row>
    <row r="47" spans="1:26" s="2" customFormat="1">
      <c r="A47" s="2" t="s">
        <v>84</v>
      </c>
      <c r="B47" s="24">
        <v>1000</v>
      </c>
      <c r="D47" s="24">
        <v>1000</v>
      </c>
      <c r="F47" s="24">
        <v>1000</v>
      </c>
      <c r="H47" s="24">
        <v>1000</v>
      </c>
      <c r="J47" s="24">
        <v>1000</v>
      </c>
      <c r="L47" s="24">
        <v>1000</v>
      </c>
      <c r="N47" s="24">
        <v>1000</v>
      </c>
      <c r="P47" s="24">
        <v>1000</v>
      </c>
      <c r="R47" s="24">
        <v>1000</v>
      </c>
      <c r="T47" s="24">
        <v>1000</v>
      </c>
      <c r="W47" s="2" t="s">
        <v>76</v>
      </c>
    </row>
    <row r="48" spans="1:26" s="2" customFormat="1"/>
    <row r="49" spans="1:23" s="2" customFormat="1">
      <c r="A49" s="2" t="s">
        <v>85</v>
      </c>
      <c r="B49" s="24">
        <v>26018800000</v>
      </c>
      <c r="D49" s="24">
        <v>26018800000</v>
      </c>
      <c r="F49" s="24">
        <v>26018800000</v>
      </c>
      <c r="H49" s="24">
        <v>26018800000</v>
      </c>
      <c r="J49" s="24">
        <v>26018800000</v>
      </c>
      <c r="L49" s="24">
        <v>26018800000</v>
      </c>
      <c r="N49" s="24">
        <v>26018800000</v>
      </c>
      <c r="P49" s="24">
        <v>26018800000</v>
      </c>
      <c r="R49" s="24">
        <v>26018800000</v>
      </c>
      <c r="T49" s="24">
        <v>26018800000</v>
      </c>
      <c r="W49" s="2" t="s">
        <v>86</v>
      </c>
    </row>
    <row r="50" spans="1:23" s="2" customFormat="1">
      <c r="A50" s="2" t="s">
        <v>87</v>
      </c>
      <c r="B50" s="24">
        <v>2200000</v>
      </c>
      <c r="D50" s="24">
        <v>2200000</v>
      </c>
      <c r="F50" s="24">
        <v>2200000</v>
      </c>
      <c r="H50" s="24">
        <v>2200000</v>
      </c>
      <c r="J50" s="24">
        <v>2200000</v>
      </c>
      <c r="L50" s="24">
        <v>2200000</v>
      </c>
      <c r="N50" s="24">
        <v>2200000</v>
      </c>
      <c r="P50" s="24">
        <v>2200000</v>
      </c>
      <c r="R50" s="24">
        <v>2200000</v>
      </c>
      <c r="T50" s="24">
        <v>2200000</v>
      </c>
      <c r="W50" s="2" t="s">
        <v>88</v>
      </c>
    </row>
    <row r="51" spans="1:23" s="2" customFormat="1">
      <c r="A51" s="2" t="s">
        <v>89</v>
      </c>
      <c r="B51" s="18">
        <v>5.1999999999999998E-3</v>
      </c>
      <c r="D51" s="18">
        <v>5.1999999999999998E-3</v>
      </c>
      <c r="F51" s="18">
        <v>5.1999999999999998E-3</v>
      </c>
      <c r="H51" s="18">
        <v>5.1999999999999998E-3</v>
      </c>
      <c r="J51" s="18">
        <v>5.1999999999999998E-3</v>
      </c>
      <c r="L51" s="18">
        <v>5.1999999999999998E-3</v>
      </c>
      <c r="N51" s="18">
        <v>5.1999999999999998E-3</v>
      </c>
      <c r="P51" s="18">
        <v>5.1999999999999998E-3</v>
      </c>
      <c r="R51" s="18">
        <v>5.1999999999999998E-3</v>
      </c>
      <c r="T51" s="18">
        <v>5.1999999999999998E-3</v>
      </c>
      <c r="W51" s="2" t="s">
        <v>90</v>
      </c>
    </row>
    <row r="52" spans="1:23" s="2" customFormat="1"/>
    <row r="53" spans="1:23" s="11" customFormat="1">
      <c r="A53" s="10" t="s">
        <v>91</v>
      </c>
    </row>
    <row r="54" spans="1:23" s="2" customFormat="1"/>
    <row r="55" spans="1:23" s="2" customFormat="1">
      <c r="A55" s="2" t="s">
        <v>92</v>
      </c>
      <c r="B55" s="19">
        <f>B15/B19</f>
        <v>1.421097104131175E-2</v>
      </c>
      <c r="D55" s="19">
        <f>D15/D19</f>
        <v>1.421097104131175E-2</v>
      </c>
      <c r="F55" s="19">
        <f>F15/F19</f>
        <v>1.421097104131175E-2</v>
      </c>
      <c r="H55" s="19">
        <f>H15/H19</f>
        <v>1.421097104131175E-2</v>
      </c>
      <c r="J55" s="19">
        <f>J15/J19</f>
        <v>1.421097104131175E-2</v>
      </c>
      <c r="L55" s="19">
        <f>L15/L19</f>
        <v>1.421097104131175E-2</v>
      </c>
      <c r="N55" s="19">
        <f>N15/N19</f>
        <v>1.421097104131175E-2</v>
      </c>
      <c r="P55" s="19">
        <f>P15/P19</f>
        <v>1.421097104131175E-2</v>
      </c>
      <c r="R55" s="19">
        <f>R15/R19</f>
        <v>1.421097104131175E-2</v>
      </c>
      <c r="T55" s="19">
        <f>T15/T19</f>
        <v>1.421097104131175E-2</v>
      </c>
    </row>
    <row r="56" spans="1:23" s="2" customFormat="1">
      <c r="A56" s="2" t="s">
        <v>55</v>
      </c>
      <c r="B56" s="14">
        <f>B21</f>
        <v>-0.6</v>
      </c>
      <c r="D56" s="14">
        <f>D21</f>
        <v>-0.6</v>
      </c>
      <c r="F56" s="14">
        <f>F21</f>
        <v>-0.6</v>
      </c>
      <c r="H56" s="14">
        <f>H21</f>
        <v>-0.6</v>
      </c>
      <c r="J56" s="14">
        <f>J21</f>
        <v>-0.6</v>
      </c>
      <c r="L56" s="14">
        <f>L21</f>
        <v>-0.6</v>
      </c>
      <c r="N56" s="14">
        <f>N21</f>
        <v>-0.6</v>
      </c>
      <c r="P56" s="14">
        <f>P21</f>
        <v>-0.6</v>
      </c>
      <c r="R56" s="14">
        <f>R21</f>
        <v>-0.6</v>
      </c>
      <c r="T56" s="14">
        <f>T21</f>
        <v>-0.6</v>
      </c>
    </row>
    <row r="57" spans="1:23" s="2" customFormat="1">
      <c r="A57" s="2" t="s">
        <v>93</v>
      </c>
      <c r="B57" s="21">
        <f>B55*B56</f>
        <v>-8.5265826247870498E-3</v>
      </c>
      <c r="D57" s="21">
        <f>D55*D56</f>
        <v>-8.5265826247870498E-3</v>
      </c>
      <c r="F57" s="21">
        <f>F55*F56</f>
        <v>-8.5265826247870498E-3</v>
      </c>
      <c r="H57" s="21">
        <f>H55*H56</f>
        <v>-8.5265826247870498E-3</v>
      </c>
      <c r="J57" s="21">
        <f>J55*J56</f>
        <v>-8.5265826247870498E-3</v>
      </c>
      <c r="L57" s="21">
        <f>L55*L56</f>
        <v>-8.5265826247870498E-3</v>
      </c>
      <c r="N57" s="21">
        <f>N55*N56</f>
        <v>-8.5265826247870498E-3</v>
      </c>
      <c r="P57" s="21">
        <f>P55*P56</f>
        <v>-8.5265826247870498E-3</v>
      </c>
      <c r="R57" s="21">
        <f>R55*R56</f>
        <v>-8.5265826247870498E-3</v>
      </c>
      <c r="T57" s="21">
        <f>T55*T56</f>
        <v>-8.5265826247870498E-3</v>
      </c>
    </row>
    <row r="58" spans="1:23" s="2" customFormat="1">
      <c r="A58" s="2" t="s">
        <v>94</v>
      </c>
      <c r="B58" s="14">
        <f>B57*B13</f>
        <v>-4860778.3745350186</v>
      </c>
      <c r="D58" s="14">
        <f>D57*D13</f>
        <v>-4860778.3745350186</v>
      </c>
      <c r="F58" s="14">
        <f>F57*F13</f>
        <v>-4860778.3745350186</v>
      </c>
      <c r="H58" s="14">
        <f>H57*H13</f>
        <v>-4860778.3745350186</v>
      </c>
      <c r="J58" s="14">
        <f>J57*J13</f>
        <v>-4860778.3745350186</v>
      </c>
      <c r="L58" s="14">
        <f>L57*L13</f>
        <v>-4860778.3745350186</v>
      </c>
      <c r="N58" s="14">
        <f>N57*N13</f>
        <v>-4860778.3745350186</v>
      </c>
      <c r="P58" s="14">
        <f>P57*P13</f>
        <v>-4860778.3745350186</v>
      </c>
      <c r="R58" s="14">
        <f>R57*R13</f>
        <v>-4860778.3745350186</v>
      </c>
      <c r="T58" s="14">
        <f>T57*T13</f>
        <v>-4860778.3745350186</v>
      </c>
    </row>
    <row r="59" spans="1:23" s="2" customFormat="1"/>
    <row r="60" spans="1:23" s="2" customFormat="1">
      <c r="A60" s="2" t="s">
        <v>95</v>
      </c>
    </row>
    <row r="61" spans="1:23" s="2" customFormat="1">
      <c r="A61" s="2" t="s">
        <v>96</v>
      </c>
      <c r="B61" s="14">
        <f>C24*$B$58</f>
        <v>-427997.93998763058</v>
      </c>
      <c r="D61" s="14">
        <f>E24*$D$58</f>
        <v>-427997.93998763058</v>
      </c>
      <c r="F61" s="14">
        <f>G24*$F$58</f>
        <v>-427997.93998763058</v>
      </c>
      <c r="H61" s="14">
        <f>I24*$H$58</f>
        <v>-427997.93998763058</v>
      </c>
      <c r="J61" s="14">
        <f>K24*$J$58</f>
        <v>-427997.93998763058</v>
      </c>
      <c r="L61" s="14">
        <f>M24*$L$58</f>
        <v>-427997.93998763058</v>
      </c>
      <c r="N61" s="14">
        <f>O24*$N$58</f>
        <v>-427997.93998763058</v>
      </c>
      <c r="P61" s="14">
        <f>Q24*$P$58</f>
        <v>-427997.93998763058</v>
      </c>
      <c r="R61" s="14">
        <f>S24*$R$58</f>
        <v>-427997.93998763058</v>
      </c>
      <c r="T61" s="14">
        <f>U24*$T$58</f>
        <v>-427997.93998763058</v>
      </c>
    </row>
    <row r="62" spans="1:23" s="2" customFormat="1">
      <c r="A62" s="2" t="s">
        <v>97</v>
      </c>
      <c r="B62" s="14">
        <f>C25*$B$58</f>
        <v>-998564.03397694335</v>
      </c>
      <c r="D62" s="14">
        <f>E25*$D$58</f>
        <v>-998564.03397694335</v>
      </c>
      <c r="F62" s="14">
        <f>G25*$F$58</f>
        <v>-998564.03397694335</v>
      </c>
      <c r="H62" s="14">
        <f>I25*$H$58</f>
        <v>-998564.03397694335</v>
      </c>
      <c r="J62" s="14">
        <f>K25*$J$58</f>
        <v>-998564.03397694335</v>
      </c>
      <c r="L62" s="14">
        <f>M25*$L$58</f>
        <v>-998564.03397694335</v>
      </c>
      <c r="N62" s="14">
        <f>O25*$N$58</f>
        <v>-998564.03397694335</v>
      </c>
      <c r="P62" s="14">
        <f>Q25*$P$58</f>
        <v>-998564.03397694335</v>
      </c>
      <c r="R62" s="14">
        <f>S25*$R$58</f>
        <v>-998564.03397694335</v>
      </c>
      <c r="T62" s="14">
        <f>U25*$T$58</f>
        <v>-998564.03397694335</v>
      </c>
    </row>
    <row r="63" spans="1:23" s="2" customFormat="1">
      <c r="A63" s="2" t="s">
        <v>98</v>
      </c>
      <c r="B63" s="14">
        <f>C26*$B$58</f>
        <v>-1001717.7809617417</v>
      </c>
      <c r="D63" s="14">
        <f>E26*$D$58</f>
        <v>-1001717.7809617417</v>
      </c>
      <c r="F63" s="14">
        <f>G26*$F$58</f>
        <v>-1001717.7809617417</v>
      </c>
      <c r="H63" s="14">
        <f>I26*$H$58</f>
        <v>-1001717.7809617417</v>
      </c>
      <c r="J63" s="14">
        <f>K26*$J$58</f>
        <v>-1001717.7809617417</v>
      </c>
      <c r="L63" s="14">
        <f>M26*$L$58</f>
        <v>-1001717.7809617417</v>
      </c>
      <c r="N63" s="14">
        <f>O26*$N$58</f>
        <v>-1001717.7809617417</v>
      </c>
      <c r="P63" s="14">
        <f>Q26*$P$58</f>
        <v>-1001717.7809617417</v>
      </c>
      <c r="R63" s="14">
        <f>S26*$R$58</f>
        <v>-1001717.7809617417</v>
      </c>
      <c r="T63" s="14">
        <f>U26*$T$58</f>
        <v>-1001717.7809617417</v>
      </c>
    </row>
    <row r="64" spans="1:23" s="2" customFormat="1">
      <c r="A64" s="2" t="s">
        <v>99</v>
      </c>
      <c r="B64" s="14">
        <f>C27*$B$58</f>
        <v>-1134080.2095253281</v>
      </c>
      <c r="D64" s="14">
        <f>E27*$D$58</f>
        <v>-1134080.2095253281</v>
      </c>
      <c r="F64" s="14">
        <f>G27*$F$58</f>
        <v>-1134080.2095253281</v>
      </c>
      <c r="H64" s="14">
        <f>I27*$H$58</f>
        <v>-1134080.2095253281</v>
      </c>
      <c r="J64" s="14">
        <f>K27*$J$58</f>
        <v>-1134080.2095253281</v>
      </c>
      <c r="L64" s="14">
        <f>M27*$L$58</f>
        <v>-1134080.2095253281</v>
      </c>
      <c r="N64" s="14">
        <f>O27*$N$58</f>
        <v>-1134080.2095253281</v>
      </c>
      <c r="P64" s="14">
        <f>Q27*$P$58</f>
        <v>-1134080.2095253281</v>
      </c>
      <c r="R64" s="14">
        <f>S27*$R$58</f>
        <v>-1134080.2095253281</v>
      </c>
      <c r="T64" s="14">
        <f>U27*$T$58</f>
        <v>-1134080.2095253281</v>
      </c>
    </row>
    <row r="65" spans="1:39" s="2" customFormat="1">
      <c r="A65" s="2" t="s">
        <v>100</v>
      </c>
      <c r="B65" s="14">
        <f>C28*$B$58</f>
        <v>-1298418.4100833754</v>
      </c>
      <c r="D65" s="14">
        <f>E28*$D$58</f>
        <v>-1298418.4100833754</v>
      </c>
      <c r="F65" s="14">
        <f>G28*$F$58</f>
        <v>-1298418.4100833754</v>
      </c>
      <c r="H65" s="14">
        <f>I28*$H$58</f>
        <v>-1298418.4100833754</v>
      </c>
      <c r="J65" s="14">
        <f>K28*$J$58</f>
        <v>-1298418.4100833754</v>
      </c>
      <c r="L65" s="14">
        <f>M28*$L$58</f>
        <v>-1298418.4100833754</v>
      </c>
      <c r="N65" s="14">
        <f>O28*$N$58</f>
        <v>-1298418.4100833754</v>
      </c>
      <c r="P65" s="14">
        <f>Q28*$P$58</f>
        <v>-1298418.4100833754</v>
      </c>
      <c r="R65" s="14">
        <f>S28*$R$58</f>
        <v>-1298418.4100833754</v>
      </c>
      <c r="T65" s="14">
        <f>U28*$T$58</f>
        <v>-1298418.4100833754</v>
      </c>
    </row>
    <row r="66" spans="1:39" s="2" customFormat="1"/>
    <row r="67" spans="1:39" s="2" customFormat="1">
      <c r="A67" s="2" t="s">
        <v>101</v>
      </c>
      <c r="B67" s="50" t="s">
        <v>102</v>
      </c>
      <c r="C67" s="50" t="s">
        <v>103</v>
      </c>
      <c r="D67" s="50" t="s">
        <v>102</v>
      </c>
      <c r="E67" s="50" t="s">
        <v>103</v>
      </c>
      <c r="F67" s="50" t="s">
        <v>102</v>
      </c>
      <c r="G67" s="50" t="s">
        <v>103</v>
      </c>
      <c r="H67" s="50" t="s">
        <v>102</v>
      </c>
      <c r="I67" s="50" t="s">
        <v>103</v>
      </c>
      <c r="J67" s="50" t="s">
        <v>102</v>
      </c>
      <c r="K67" s="50" t="s">
        <v>103</v>
      </c>
      <c r="L67" s="50" t="s">
        <v>102</v>
      </c>
      <c r="M67" s="50" t="s">
        <v>103</v>
      </c>
      <c r="N67" s="50" t="s">
        <v>102</v>
      </c>
      <c r="O67" s="50" t="s">
        <v>103</v>
      </c>
      <c r="P67" s="50" t="s">
        <v>102</v>
      </c>
      <c r="Q67" s="50" t="s">
        <v>103</v>
      </c>
      <c r="R67" s="50" t="s">
        <v>102</v>
      </c>
      <c r="S67" s="50" t="s">
        <v>103</v>
      </c>
      <c r="T67" s="50" t="s">
        <v>102</v>
      </c>
      <c r="U67" s="50" t="s">
        <v>103</v>
      </c>
      <c r="V67" s="50"/>
      <c r="W67" s="50"/>
      <c r="X67" s="50"/>
      <c r="Y67" s="50"/>
      <c r="Z67" s="50"/>
      <c r="AA67" s="50"/>
      <c r="AB67" s="50"/>
      <c r="AC67" s="50"/>
    </row>
    <row r="68" spans="1:39" s="2" customFormat="1">
      <c r="A68" s="2" t="s">
        <v>69</v>
      </c>
      <c r="B68" s="14">
        <f>B33*(B61/100)</f>
        <v>-154079.25839554702</v>
      </c>
      <c r="C68" s="14">
        <f>(B68*$B$40)/$B$47</f>
        <v>-130.02748616000213</v>
      </c>
      <c r="D68" s="14">
        <f>D33*(D61/100)</f>
        <v>-154079.25839554702</v>
      </c>
      <c r="E68" s="14">
        <f>(D68*$D$40)/$D$47</f>
        <v>-130.02748616000213</v>
      </c>
      <c r="F68" s="14">
        <f>F33*(F61/100)</f>
        <v>-154079.25839554702</v>
      </c>
      <c r="G68" s="14">
        <f>(F68*$F$40)/$F$47</f>
        <v>-130.02748616000213</v>
      </c>
      <c r="H68" s="14">
        <f>H33*(H61/100)</f>
        <v>-154079.25839554702</v>
      </c>
      <c r="I68" s="14">
        <f>(H68*$H$40)/$H$47</f>
        <v>-130.02748616000213</v>
      </c>
      <c r="J68" s="14">
        <f>J33*(J61/100)</f>
        <v>-154079.25839554702</v>
      </c>
      <c r="K68" s="14">
        <f>(J68*$J$40)/$J$47</f>
        <v>-130.02748616000213</v>
      </c>
      <c r="L68" s="14">
        <f>L33*(L61/100)</f>
        <v>-154079.25839554702</v>
      </c>
      <c r="M68" s="14">
        <f>(L68*$L$40)/$L$47</f>
        <v>-130.02748616000213</v>
      </c>
      <c r="N68" s="14">
        <f>N33*(N61/100)</f>
        <v>-154079.25839554702</v>
      </c>
      <c r="O68" s="14">
        <f>(N68*$N$40)/$N$47</f>
        <v>-130.02748616000213</v>
      </c>
      <c r="P68" s="14">
        <f>P33*(P61/100)</f>
        <v>-154079.25839554702</v>
      </c>
      <c r="Q68" s="14">
        <f>(P68*$P$40)/$P$47</f>
        <v>-130.02748616000213</v>
      </c>
      <c r="R68" s="14">
        <f>R33*(R61/100)</f>
        <v>-154079.25839554702</v>
      </c>
      <c r="S68" s="14">
        <f>(R68*$R$40)/$R$47</f>
        <v>-130.02748616000213</v>
      </c>
      <c r="T68" s="14">
        <f>T33*(T61/100)</f>
        <v>-154079.25839554702</v>
      </c>
      <c r="U68" s="14">
        <f>(T68*$T$40)/$T$47</f>
        <v>-130.02748616000213</v>
      </c>
    </row>
    <row r="69" spans="1:39" s="2" customFormat="1">
      <c r="A69" s="2" t="s">
        <v>70</v>
      </c>
      <c r="B69" s="14">
        <f>B34*(B62/100)</f>
        <v>-339511.77155216073</v>
      </c>
      <c r="C69" s="14">
        <f>(B69*$B$40)/$B$47</f>
        <v>-286.51398401286843</v>
      </c>
      <c r="D69" s="14">
        <f>D34*(D62/100)</f>
        <v>-339511.77155216073</v>
      </c>
      <c r="E69" s="14">
        <f>(D69*$D$40)/$D$47</f>
        <v>-286.51398401286843</v>
      </c>
      <c r="F69" s="14">
        <f>F34*(F62/100)</f>
        <v>-339511.77155216073</v>
      </c>
      <c r="G69" s="14">
        <f>(F69*$F$40)/$F$47</f>
        <v>-286.51398401286843</v>
      </c>
      <c r="H69" s="14">
        <f>H34*(H62/100)</f>
        <v>-339511.77155216073</v>
      </c>
      <c r="I69" s="14">
        <f>(H69*$H$40)/$H$47</f>
        <v>-286.51398401286843</v>
      </c>
      <c r="J69" s="14">
        <f>J34*(J62/100)</f>
        <v>-339511.77155216073</v>
      </c>
      <c r="K69" s="14">
        <f>(J69*$J$40)/$J$47</f>
        <v>-286.51398401286843</v>
      </c>
      <c r="L69" s="14">
        <f>L34*(L62/100)</f>
        <v>-339511.77155216073</v>
      </c>
      <c r="M69" s="14">
        <f>(L69*$L$40)/$L$47</f>
        <v>-286.51398401286843</v>
      </c>
      <c r="N69" s="14">
        <f>N34*(N62/100)</f>
        <v>-339511.77155216073</v>
      </c>
      <c r="O69" s="14">
        <f>(N69*$N$40)/$N$47</f>
        <v>-286.51398401286843</v>
      </c>
      <c r="P69" s="14">
        <f>P34*(P62/100)</f>
        <v>-339511.77155216073</v>
      </c>
      <c r="Q69" s="14">
        <f>(P69*$P$40)/$P$47</f>
        <v>-286.51398401286843</v>
      </c>
      <c r="R69" s="14">
        <f>R34*(R62/100)</f>
        <v>-339511.77155216073</v>
      </c>
      <c r="S69" s="14">
        <f>(R69*$R$40)/$R$47</f>
        <v>-286.51398401286843</v>
      </c>
      <c r="T69" s="14">
        <f>T34*(T62/100)</f>
        <v>-339511.77155216073</v>
      </c>
      <c r="U69" s="14">
        <f>(T69*$T$40)/$T$47</f>
        <v>-286.51398401286843</v>
      </c>
    </row>
    <row r="70" spans="1:39" s="2" customFormat="1">
      <c r="A70" s="2" t="s">
        <v>72</v>
      </c>
      <c r="B70" s="14">
        <f>B35*(B63/100)</f>
        <v>-327862.22970877803</v>
      </c>
      <c r="C70" s="14">
        <f>(B70*$B$40)/$B$47</f>
        <v>-276.68293565123781</v>
      </c>
      <c r="D70" s="14">
        <f>D35*(D63/100)</f>
        <v>-327862.22970877803</v>
      </c>
      <c r="E70" s="14">
        <f>(D70*$D$40)/$D$47</f>
        <v>-276.68293565123781</v>
      </c>
      <c r="F70" s="14">
        <f>F35*(F63/100)</f>
        <v>-327862.22970877803</v>
      </c>
      <c r="G70" s="14">
        <f>(F70*$F$40)/$F$47</f>
        <v>-276.68293565123781</v>
      </c>
      <c r="H70" s="14">
        <f>H35*(H63/100)</f>
        <v>-327862.22970877803</v>
      </c>
      <c r="I70" s="14">
        <f>(H70*$H$40)/$H$47</f>
        <v>-276.68293565123781</v>
      </c>
      <c r="J70" s="14">
        <f>J35*(J63/100)</f>
        <v>-327862.22970877803</v>
      </c>
      <c r="K70" s="14">
        <f>(J70*$J$40)/$J$47</f>
        <v>-276.68293565123781</v>
      </c>
      <c r="L70" s="14">
        <f>L35*(L63/100)</f>
        <v>-327862.22970877803</v>
      </c>
      <c r="M70" s="14">
        <f>(L70*$L$40)/$L$47</f>
        <v>-276.68293565123781</v>
      </c>
      <c r="N70" s="14">
        <f>N35*(N63/100)</f>
        <v>-327862.22970877803</v>
      </c>
      <c r="O70" s="14">
        <f>(N70*$N$40)/$N$47</f>
        <v>-276.68293565123781</v>
      </c>
      <c r="P70" s="14">
        <f>P35*(P63/100)</f>
        <v>-327862.22970877803</v>
      </c>
      <c r="Q70" s="14">
        <f>(P70*$P$40)/$P$47</f>
        <v>-276.68293565123781</v>
      </c>
      <c r="R70" s="14">
        <f>R35*(R63/100)</f>
        <v>-327862.22970877803</v>
      </c>
      <c r="S70" s="14">
        <f>(R70*$R$40)/$R$47</f>
        <v>-276.68293565123781</v>
      </c>
      <c r="T70" s="14">
        <f>T35*(T63/100)</f>
        <v>-327862.22970877803</v>
      </c>
      <c r="U70" s="14">
        <f>(T70*$T$40)/$T$47</f>
        <v>-276.68293565123781</v>
      </c>
    </row>
    <row r="71" spans="1:39" s="2" customFormat="1">
      <c r="A71" s="2" t="s">
        <v>73</v>
      </c>
      <c r="B71" s="14">
        <f>B36*(B64/100)</f>
        <v>-361317.95475476951</v>
      </c>
      <c r="C71" s="14">
        <f>(B71*$B$40)/$B$47</f>
        <v>-304.91622201754996</v>
      </c>
      <c r="D71" s="14">
        <f>D36*(D64/100)</f>
        <v>-361317.95475476951</v>
      </c>
      <c r="E71" s="14">
        <f>(D71*$D$40)/$D$47</f>
        <v>-304.91622201754996</v>
      </c>
      <c r="F71" s="14">
        <f>F36*(F64/100)</f>
        <v>-361317.95475476951</v>
      </c>
      <c r="G71" s="14">
        <f>(F71*$F$40)/$F$47</f>
        <v>-304.91622201754996</v>
      </c>
      <c r="H71" s="14">
        <f>H36*(H64/100)</f>
        <v>-361317.95475476951</v>
      </c>
      <c r="I71" s="14">
        <f>(H71*$H$40)/$H$47</f>
        <v>-304.91622201754996</v>
      </c>
      <c r="J71" s="14">
        <f>J36*(J64/100)</f>
        <v>-361317.95475476951</v>
      </c>
      <c r="K71" s="14">
        <f>(J71*$J$40)/$J$47</f>
        <v>-304.91622201754996</v>
      </c>
      <c r="L71" s="14">
        <f>L36*(L64/100)</f>
        <v>-361317.95475476951</v>
      </c>
      <c r="M71" s="14">
        <f>(L71*$L$40)/$L$47</f>
        <v>-304.91622201754996</v>
      </c>
      <c r="N71" s="14">
        <f>N36*(N64/100)</f>
        <v>-361317.95475476951</v>
      </c>
      <c r="O71" s="14">
        <f>(N71*$N$40)/$N$47</f>
        <v>-304.91622201754996</v>
      </c>
      <c r="P71" s="14">
        <f>P36*(P64/100)</f>
        <v>-361317.95475476951</v>
      </c>
      <c r="Q71" s="14">
        <f>(P71*$P$40)/$P$47</f>
        <v>-304.91622201754996</v>
      </c>
      <c r="R71" s="14">
        <f>R36*(R64/100)</f>
        <v>-361317.95475476951</v>
      </c>
      <c r="S71" s="14">
        <f>(R71*$R$40)/$R$47</f>
        <v>-304.91622201754996</v>
      </c>
      <c r="T71" s="14">
        <f>T36*(T64/100)</f>
        <v>-361317.95475476951</v>
      </c>
      <c r="U71" s="14">
        <f>(T71*$T$40)/$T$47</f>
        <v>-304.91622201754996</v>
      </c>
    </row>
    <row r="72" spans="1:39" s="2" customFormat="1">
      <c r="A72" s="2" t="s">
        <v>74</v>
      </c>
      <c r="B72" s="14">
        <f>B37*(B65/100)</f>
        <v>-350572.97072251135</v>
      </c>
      <c r="C72" s="14">
        <f>(B72*$B$40)/$B$47</f>
        <v>-295.84852999272732</v>
      </c>
      <c r="D72" s="14">
        <f>D37*(D65/100)</f>
        <v>-350572.97072251135</v>
      </c>
      <c r="E72" s="14">
        <f>(D72*$D$40)/$D$47</f>
        <v>-295.84852999272732</v>
      </c>
      <c r="F72" s="14">
        <f>F37*(F65/100)</f>
        <v>-350572.97072251135</v>
      </c>
      <c r="G72" s="14">
        <f>(F72*$F$40)/$F$47</f>
        <v>-295.84852999272732</v>
      </c>
      <c r="H72" s="14">
        <f>H37*(H65/100)</f>
        <v>-350572.97072251135</v>
      </c>
      <c r="I72" s="14">
        <f>(H72*$H$40)/$H$47</f>
        <v>-295.84852999272732</v>
      </c>
      <c r="J72" s="14">
        <f>J37*(J65/100)</f>
        <v>-350572.97072251135</v>
      </c>
      <c r="K72" s="14">
        <f>(J72*$J$40)/$J$47</f>
        <v>-295.84852999272732</v>
      </c>
      <c r="L72" s="14">
        <f>L37*(L65/100)</f>
        <v>-350572.97072251135</v>
      </c>
      <c r="M72" s="14">
        <f>(L72*$L$40)/$L$47</f>
        <v>-295.84852999272732</v>
      </c>
      <c r="N72" s="14">
        <f>N37*(N65/100)</f>
        <v>-350572.97072251135</v>
      </c>
      <c r="O72" s="14">
        <f>(N72*$N$40)/$N$47</f>
        <v>-295.84852999272732</v>
      </c>
      <c r="P72" s="14">
        <f>P37*(P65/100)</f>
        <v>-350572.97072251135</v>
      </c>
      <c r="Q72" s="14">
        <f>(P72*$P$40)/$P$47</f>
        <v>-295.84852999272732</v>
      </c>
      <c r="R72" s="14">
        <f>R37*(R65/100)</f>
        <v>-350572.97072251135</v>
      </c>
      <c r="S72" s="14">
        <f>(R72*$R$40)/$R$47</f>
        <v>-295.84852999272732</v>
      </c>
      <c r="T72" s="14">
        <f>T37*(T65/100)</f>
        <v>-350572.97072251135</v>
      </c>
      <c r="U72" s="14">
        <f>(T72*$T$40)/$T$47</f>
        <v>-295.84852999272732</v>
      </c>
    </row>
    <row r="73" spans="1:39" s="2" customFormat="1">
      <c r="A73" s="1" t="s">
        <v>104</v>
      </c>
      <c r="B73" s="20">
        <f t="shared" ref="B73:U73" si="9">SUM(B68:B72)</f>
        <v>-1533344.1851337668</v>
      </c>
      <c r="C73" s="20">
        <f t="shared" si="9"/>
        <v>-1293.9891578343854</v>
      </c>
      <c r="D73" s="20">
        <f t="shared" si="9"/>
        <v>-1533344.1851337668</v>
      </c>
      <c r="E73" s="20">
        <f t="shared" si="9"/>
        <v>-1293.9891578343854</v>
      </c>
      <c r="F73" s="20">
        <f t="shared" si="9"/>
        <v>-1533344.1851337668</v>
      </c>
      <c r="G73" s="20">
        <f t="shared" si="9"/>
        <v>-1293.9891578343854</v>
      </c>
      <c r="H73" s="20">
        <f t="shared" si="9"/>
        <v>-1533344.1851337668</v>
      </c>
      <c r="I73" s="20">
        <f t="shared" si="9"/>
        <v>-1293.9891578343854</v>
      </c>
      <c r="J73" s="20">
        <f t="shared" si="9"/>
        <v>-1533344.1851337668</v>
      </c>
      <c r="K73" s="20">
        <f t="shared" si="9"/>
        <v>-1293.9891578343854</v>
      </c>
      <c r="L73" s="20">
        <f t="shared" si="9"/>
        <v>-1533344.1851337668</v>
      </c>
      <c r="M73" s="20">
        <f t="shared" si="9"/>
        <v>-1293.9891578343854</v>
      </c>
      <c r="N73" s="20">
        <f t="shared" si="9"/>
        <v>-1533344.1851337668</v>
      </c>
      <c r="O73" s="20">
        <f t="shared" si="9"/>
        <v>-1293.9891578343854</v>
      </c>
      <c r="P73" s="20">
        <f t="shared" si="9"/>
        <v>-1533344.1851337668</v>
      </c>
      <c r="Q73" s="20">
        <f t="shared" si="9"/>
        <v>-1293.9891578343854</v>
      </c>
      <c r="R73" s="20">
        <f t="shared" si="9"/>
        <v>-1533344.1851337668</v>
      </c>
      <c r="S73" s="20">
        <f t="shared" si="9"/>
        <v>-1293.9891578343854</v>
      </c>
      <c r="T73" s="20">
        <f t="shared" si="9"/>
        <v>-1533344.1851337668</v>
      </c>
      <c r="U73" s="20">
        <f t="shared" si="9"/>
        <v>-1293.9891578343854</v>
      </c>
    </row>
    <row r="74" spans="1:39" s="2" customFormat="1"/>
    <row r="75" spans="1:39" s="2" customFormat="1">
      <c r="A75" s="2" t="s">
        <v>105</v>
      </c>
      <c r="B75" s="50" t="s">
        <v>106</v>
      </c>
      <c r="C75" s="50" t="s">
        <v>107</v>
      </c>
      <c r="D75" s="50" t="s">
        <v>108</v>
      </c>
      <c r="E75" s="50" t="s">
        <v>106</v>
      </c>
      <c r="F75" s="50" t="s">
        <v>107</v>
      </c>
      <c r="G75" s="50" t="s">
        <v>108</v>
      </c>
      <c r="H75" s="50" t="s">
        <v>106</v>
      </c>
      <c r="I75" s="50" t="s">
        <v>107</v>
      </c>
      <c r="J75" s="50" t="s">
        <v>108</v>
      </c>
      <c r="K75" s="50" t="s">
        <v>106</v>
      </c>
      <c r="L75" s="50" t="s">
        <v>107</v>
      </c>
      <c r="M75" s="50" t="s">
        <v>108</v>
      </c>
      <c r="N75" s="50" t="s">
        <v>106</v>
      </c>
      <c r="O75" s="50" t="s">
        <v>107</v>
      </c>
      <c r="P75" s="50" t="s">
        <v>108</v>
      </c>
      <c r="Q75" s="50" t="s">
        <v>106</v>
      </c>
      <c r="R75" s="50" t="s">
        <v>107</v>
      </c>
      <c r="S75" s="50" t="s">
        <v>108</v>
      </c>
      <c r="T75" s="50" t="s">
        <v>106</v>
      </c>
      <c r="U75" s="50" t="s">
        <v>107</v>
      </c>
      <c r="V75" s="50" t="s">
        <v>108</v>
      </c>
      <c r="W75" s="50" t="s">
        <v>106</v>
      </c>
      <c r="X75" s="50" t="s">
        <v>107</v>
      </c>
      <c r="Y75" s="50" t="s">
        <v>108</v>
      </c>
      <c r="Z75" s="50" t="s">
        <v>106</v>
      </c>
      <c r="AA75" s="50" t="s">
        <v>107</v>
      </c>
      <c r="AB75" s="50" t="s">
        <v>108</v>
      </c>
      <c r="AC75" s="50" t="s">
        <v>106</v>
      </c>
      <c r="AD75" s="50" t="s">
        <v>107</v>
      </c>
      <c r="AE75" s="50" t="s">
        <v>108</v>
      </c>
      <c r="AF75" s="50"/>
      <c r="AG75" s="50"/>
      <c r="AH75" s="50"/>
      <c r="AI75" s="50"/>
      <c r="AJ75" s="50"/>
      <c r="AK75" s="50"/>
      <c r="AL75" s="50"/>
      <c r="AM75" s="50"/>
    </row>
    <row r="76" spans="1:39" s="2" customFormat="1">
      <c r="A76" s="2" t="s">
        <v>109</v>
      </c>
      <c r="B76" s="14">
        <f>$B$39*C68</f>
        <v>-5937.0550180656965</v>
      </c>
      <c r="C76" s="14">
        <f>B76/$B$45</f>
        <v>-5.9370550180656965</v>
      </c>
      <c r="D76" s="14">
        <f>C76/$B$46</f>
        <v>-1.6491819494626934</v>
      </c>
      <c r="E76" s="14">
        <f>$D$39*E68</f>
        <v>-5937.0550180656965</v>
      </c>
      <c r="F76" s="14">
        <f>E76/$D$45</f>
        <v>-5.9370550180656965</v>
      </c>
      <c r="G76" s="14">
        <f>F76/$D$46</f>
        <v>-1.6491819494626934</v>
      </c>
      <c r="H76" s="14">
        <f>$F$39*G68</f>
        <v>-5937.0550180656965</v>
      </c>
      <c r="I76" s="14">
        <f>H76/$F$45</f>
        <v>-5.9370550180656965</v>
      </c>
      <c r="J76" s="14">
        <f>I76/$F$46</f>
        <v>-1.6491819494626934</v>
      </c>
      <c r="K76" s="14">
        <f>$H$39*I68</f>
        <v>-5937.0550180656965</v>
      </c>
      <c r="L76" s="14">
        <f>K76/$H$45</f>
        <v>-5.9370550180656965</v>
      </c>
      <c r="M76" s="14">
        <f>L76/$H$46</f>
        <v>-1.6491819494626934</v>
      </c>
      <c r="N76" s="14">
        <f>$J$39*K68</f>
        <v>-5937.0550180656965</v>
      </c>
      <c r="O76" s="14">
        <f>N76/$J$45</f>
        <v>-5.9370550180656965</v>
      </c>
      <c r="P76" s="14">
        <f>O76/$J$46</f>
        <v>-1.6491819494626934</v>
      </c>
      <c r="Q76" s="14">
        <f>$L$39*M68</f>
        <v>-5937.0550180656965</v>
      </c>
      <c r="R76" s="14">
        <f>Q76/$L$45</f>
        <v>-5.9370550180656965</v>
      </c>
      <c r="S76" s="14">
        <f>R76/$L$46</f>
        <v>-1.6491819494626934</v>
      </c>
      <c r="T76" s="14">
        <f>$N$39*O68</f>
        <v>-5937.0550180656965</v>
      </c>
      <c r="U76" s="14">
        <f>T76/$N$45</f>
        <v>-5.9370550180656965</v>
      </c>
      <c r="V76" s="14">
        <f>U76/$N$46</f>
        <v>-1.6491819494626934</v>
      </c>
      <c r="W76" s="14">
        <f>$P$39*Q68</f>
        <v>-5937.0550180656965</v>
      </c>
      <c r="X76" s="14">
        <f>W76/$P$45</f>
        <v>-5.9370550180656965</v>
      </c>
      <c r="Y76" s="14">
        <f>X76/$P$46</f>
        <v>-1.6491819494626934</v>
      </c>
      <c r="Z76" s="14">
        <f>$R$39*S68</f>
        <v>-5937.0550180656965</v>
      </c>
      <c r="AA76" s="14">
        <f>Z76/$R$45</f>
        <v>-5.9370550180656965</v>
      </c>
      <c r="AB76" s="14">
        <f>AA76/$R$46</f>
        <v>-1.6491819494626934</v>
      </c>
      <c r="AC76" s="14">
        <f>$T$39*U68</f>
        <v>-5937.0550180656965</v>
      </c>
      <c r="AD76" s="14">
        <f>AC76/$T$45</f>
        <v>-5.9370550180656965</v>
      </c>
      <c r="AE76" s="14">
        <f>AD76/$T$46</f>
        <v>-1.6491819494626934</v>
      </c>
    </row>
    <row r="77" spans="1:39" s="2" customFormat="1">
      <c r="A77" s="2" t="s">
        <v>61</v>
      </c>
      <c r="B77" s="14">
        <f>$B$39*C69</f>
        <v>-13082.228510027571</v>
      </c>
      <c r="C77" s="14">
        <f>B77/$B$45</f>
        <v>-13.082228510027571</v>
      </c>
      <c r="D77" s="14">
        <f t="shared" ref="D77:D80" si="10">C77/$B$46</f>
        <v>-3.6339523638965474</v>
      </c>
      <c r="E77" s="14">
        <f>$D$39*E69</f>
        <v>-13082.228510027571</v>
      </c>
      <c r="F77" s="14">
        <f t="shared" ref="F77:F80" si="11">E77/$D$45</f>
        <v>-13.082228510027571</v>
      </c>
      <c r="G77" s="14">
        <f t="shared" ref="G77:G79" si="12">F77/$D$46</f>
        <v>-3.6339523638965474</v>
      </c>
      <c r="H77" s="14">
        <f>$F$39*G69</f>
        <v>-13082.228510027571</v>
      </c>
      <c r="I77" s="14">
        <f t="shared" ref="I77:I80" si="13">H77/$F$45</f>
        <v>-13.082228510027571</v>
      </c>
      <c r="J77" s="14">
        <f t="shared" ref="J77:J80" si="14">I77/$F$46</f>
        <v>-3.6339523638965474</v>
      </c>
      <c r="K77" s="14">
        <f>$H$39*I69</f>
        <v>-13082.228510027571</v>
      </c>
      <c r="L77" s="14">
        <f t="shared" ref="L77:L80" si="15">K77/$H$45</f>
        <v>-13.082228510027571</v>
      </c>
      <c r="M77" s="14">
        <f t="shared" ref="M77:M80" si="16">L77/$H$46</f>
        <v>-3.6339523638965474</v>
      </c>
      <c r="N77" s="14">
        <f>$J$39*K69</f>
        <v>-13082.228510027571</v>
      </c>
      <c r="O77" s="14">
        <f t="shared" ref="O77:O80" si="17">N77/$J$45</f>
        <v>-13.082228510027571</v>
      </c>
      <c r="P77" s="14">
        <f t="shared" ref="P77:P80" si="18">O77/$J$46</f>
        <v>-3.6339523638965474</v>
      </c>
      <c r="Q77" s="14">
        <f>$L$39*M69</f>
        <v>-13082.228510027571</v>
      </c>
      <c r="R77" s="14">
        <f t="shared" ref="R77:R80" si="19">Q77/$L$45</f>
        <v>-13.082228510027571</v>
      </c>
      <c r="S77" s="14">
        <f t="shared" ref="S77:S80" si="20">R77/$L$46</f>
        <v>-3.6339523638965474</v>
      </c>
      <c r="T77" s="14">
        <f>$N$39*O69</f>
        <v>-13082.228510027571</v>
      </c>
      <c r="U77" s="14">
        <f t="shared" ref="U77:U80" si="21">T77/$N$45</f>
        <v>-13.082228510027571</v>
      </c>
      <c r="V77" s="14">
        <f t="shared" ref="V77:V80" si="22">U77/$N$46</f>
        <v>-3.6339523638965474</v>
      </c>
      <c r="W77" s="14">
        <f>$P$39*Q69</f>
        <v>-13082.228510027571</v>
      </c>
      <c r="X77" s="14">
        <f t="shared" ref="X77:X80" si="23">W77/$P$45</f>
        <v>-13.082228510027571</v>
      </c>
      <c r="Y77" s="14">
        <f t="shared" ref="Y77:Y80" si="24">X77/$P$46</f>
        <v>-3.6339523638965474</v>
      </c>
      <c r="Z77" s="14">
        <f>$R$39*S69</f>
        <v>-13082.228510027571</v>
      </c>
      <c r="AA77" s="14">
        <f t="shared" ref="AA77:AA80" si="25">Z77/$R$45</f>
        <v>-13.082228510027571</v>
      </c>
      <c r="AB77" s="14">
        <f t="shared" ref="AB77:AB80" si="26">AA77/$R$46</f>
        <v>-3.6339523638965474</v>
      </c>
      <c r="AC77" s="14">
        <f>$T$39*U69</f>
        <v>-13082.228510027571</v>
      </c>
      <c r="AD77" s="14">
        <f t="shared" ref="AD77:AD80" si="27">AC77/$T$45</f>
        <v>-13.082228510027571</v>
      </c>
      <c r="AE77" s="14">
        <f t="shared" ref="AE77:AE80" si="28">AD77/$T$46</f>
        <v>-3.6339523638965474</v>
      </c>
    </row>
    <row r="78" spans="1:39" s="2" customFormat="1">
      <c r="A78" s="2" t="s">
        <v>62</v>
      </c>
      <c r="B78" s="14">
        <f>$B$39*C70</f>
        <v>-12633.342841835518</v>
      </c>
      <c r="C78" s="14">
        <f>B78/$B$45</f>
        <v>-12.633342841835518</v>
      </c>
      <c r="D78" s="14">
        <f t="shared" si="10"/>
        <v>-3.5092619005098658</v>
      </c>
      <c r="E78" s="14">
        <f>$D$39*E70</f>
        <v>-12633.342841835518</v>
      </c>
      <c r="F78" s="14">
        <f t="shared" si="11"/>
        <v>-12.633342841835518</v>
      </c>
      <c r="G78" s="14">
        <f t="shared" si="12"/>
        <v>-3.5092619005098658</v>
      </c>
      <c r="H78" s="14">
        <f>$F$39*G70</f>
        <v>-12633.342841835518</v>
      </c>
      <c r="I78" s="14">
        <f t="shared" si="13"/>
        <v>-12.633342841835518</v>
      </c>
      <c r="J78" s="14">
        <f t="shared" si="14"/>
        <v>-3.5092619005098658</v>
      </c>
      <c r="K78" s="14">
        <f>$H$39*I70</f>
        <v>-12633.342841835518</v>
      </c>
      <c r="L78" s="14">
        <f t="shared" si="15"/>
        <v>-12.633342841835518</v>
      </c>
      <c r="M78" s="14">
        <f t="shared" si="16"/>
        <v>-3.5092619005098658</v>
      </c>
      <c r="N78" s="14">
        <f>$J$39*K70</f>
        <v>-12633.342841835518</v>
      </c>
      <c r="O78" s="14">
        <f t="shared" si="17"/>
        <v>-12.633342841835518</v>
      </c>
      <c r="P78" s="14">
        <f t="shared" si="18"/>
        <v>-3.5092619005098658</v>
      </c>
      <c r="Q78" s="14">
        <f>$L$39*M70</f>
        <v>-12633.342841835518</v>
      </c>
      <c r="R78" s="14">
        <f t="shared" si="19"/>
        <v>-12.633342841835518</v>
      </c>
      <c r="S78" s="14">
        <f t="shared" si="20"/>
        <v>-3.5092619005098658</v>
      </c>
      <c r="T78" s="14">
        <f>$N$39*O70</f>
        <v>-12633.342841835518</v>
      </c>
      <c r="U78" s="14">
        <f t="shared" si="21"/>
        <v>-12.633342841835518</v>
      </c>
      <c r="V78" s="14">
        <f t="shared" si="22"/>
        <v>-3.5092619005098658</v>
      </c>
      <c r="W78" s="14">
        <f>$P$39*Q70</f>
        <v>-12633.342841835518</v>
      </c>
      <c r="X78" s="14">
        <f t="shared" si="23"/>
        <v>-12.633342841835518</v>
      </c>
      <c r="Y78" s="14">
        <f t="shared" si="24"/>
        <v>-3.5092619005098658</v>
      </c>
      <c r="Z78" s="14">
        <f>$R$39*S70</f>
        <v>-12633.342841835518</v>
      </c>
      <c r="AA78" s="14">
        <f t="shared" si="25"/>
        <v>-12.633342841835518</v>
      </c>
      <c r="AB78" s="14">
        <f t="shared" si="26"/>
        <v>-3.5092619005098658</v>
      </c>
      <c r="AC78" s="14">
        <f>$T$39*U70</f>
        <v>-12633.342841835518</v>
      </c>
      <c r="AD78" s="14">
        <f t="shared" si="27"/>
        <v>-12.633342841835518</v>
      </c>
      <c r="AE78" s="14">
        <f t="shared" si="28"/>
        <v>-3.5092619005098658</v>
      </c>
    </row>
    <row r="79" spans="1:39" s="2" customFormat="1">
      <c r="A79" s="2" t="s">
        <v>63</v>
      </c>
      <c r="B79" s="14">
        <f>$B$39*C71</f>
        <v>-13922.47469732133</v>
      </c>
      <c r="C79" s="14">
        <f>B79/$B$45</f>
        <v>-13.922474697321329</v>
      </c>
      <c r="D79" s="14">
        <f t="shared" si="10"/>
        <v>-3.8673540825892578</v>
      </c>
      <c r="E79" s="14">
        <f>$D$39*E71</f>
        <v>-13922.47469732133</v>
      </c>
      <c r="F79" s="14">
        <f t="shared" si="11"/>
        <v>-13.922474697321329</v>
      </c>
      <c r="G79" s="14">
        <f t="shared" si="12"/>
        <v>-3.8673540825892578</v>
      </c>
      <c r="H79" s="14">
        <f>$F$39*G71</f>
        <v>-13922.47469732133</v>
      </c>
      <c r="I79" s="14">
        <f t="shared" si="13"/>
        <v>-13.922474697321329</v>
      </c>
      <c r="J79" s="14">
        <f t="shared" si="14"/>
        <v>-3.8673540825892578</v>
      </c>
      <c r="K79" s="14">
        <f>$H$39*I71</f>
        <v>-13922.47469732133</v>
      </c>
      <c r="L79" s="14">
        <f t="shared" si="15"/>
        <v>-13.922474697321329</v>
      </c>
      <c r="M79" s="14">
        <f t="shared" si="16"/>
        <v>-3.8673540825892578</v>
      </c>
      <c r="N79" s="14">
        <f>$J$39*K71</f>
        <v>-13922.47469732133</v>
      </c>
      <c r="O79" s="14">
        <f t="shared" si="17"/>
        <v>-13.922474697321329</v>
      </c>
      <c r="P79" s="14">
        <f t="shared" si="18"/>
        <v>-3.8673540825892578</v>
      </c>
      <c r="Q79" s="14">
        <f>$L$39*M71</f>
        <v>-13922.47469732133</v>
      </c>
      <c r="R79" s="14">
        <f t="shared" si="19"/>
        <v>-13.922474697321329</v>
      </c>
      <c r="S79" s="14">
        <f t="shared" si="20"/>
        <v>-3.8673540825892578</v>
      </c>
      <c r="T79" s="14">
        <f>$N$39*O71</f>
        <v>-13922.47469732133</v>
      </c>
      <c r="U79" s="14">
        <f t="shared" si="21"/>
        <v>-13.922474697321329</v>
      </c>
      <c r="V79" s="14">
        <f t="shared" si="22"/>
        <v>-3.8673540825892578</v>
      </c>
      <c r="W79" s="14">
        <f>$P$39*Q71</f>
        <v>-13922.47469732133</v>
      </c>
      <c r="X79" s="14">
        <f t="shared" si="23"/>
        <v>-13.922474697321329</v>
      </c>
      <c r="Y79" s="14">
        <f t="shared" si="24"/>
        <v>-3.8673540825892578</v>
      </c>
      <c r="Z79" s="14">
        <f>$R$39*S71</f>
        <v>-13922.47469732133</v>
      </c>
      <c r="AA79" s="14">
        <f t="shared" si="25"/>
        <v>-13.922474697321329</v>
      </c>
      <c r="AB79" s="14">
        <f t="shared" si="26"/>
        <v>-3.8673540825892578</v>
      </c>
      <c r="AC79" s="14">
        <f>$T$39*U71</f>
        <v>-13922.47469732133</v>
      </c>
      <c r="AD79" s="14">
        <f t="shared" si="27"/>
        <v>-13.922474697321329</v>
      </c>
      <c r="AE79" s="14">
        <f t="shared" si="28"/>
        <v>-3.8673540825892578</v>
      </c>
    </row>
    <row r="80" spans="1:39" s="2" customFormat="1">
      <c r="A80" s="2" t="s">
        <v>64</v>
      </c>
      <c r="B80" s="14">
        <f>$B$39*C72</f>
        <v>-13508.443879467928</v>
      </c>
      <c r="C80" s="14">
        <f>B80/$B$45</f>
        <v>-13.508443879467928</v>
      </c>
      <c r="D80" s="14">
        <f t="shared" si="10"/>
        <v>-3.7523455220744242</v>
      </c>
      <c r="E80" s="14">
        <f>$D$39*E72</f>
        <v>-13508.443879467928</v>
      </c>
      <c r="F80" s="14">
        <f t="shared" si="11"/>
        <v>-13.508443879467928</v>
      </c>
      <c r="G80" s="14">
        <f>F80/$D$46</f>
        <v>-3.7523455220744242</v>
      </c>
      <c r="H80" s="14">
        <f>$F$39*G72</f>
        <v>-13508.443879467928</v>
      </c>
      <c r="I80" s="14">
        <f t="shared" si="13"/>
        <v>-13.508443879467928</v>
      </c>
      <c r="J80" s="14">
        <f t="shared" si="14"/>
        <v>-3.7523455220744242</v>
      </c>
      <c r="K80" s="14">
        <f>$H$39*I72</f>
        <v>-13508.443879467928</v>
      </c>
      <c r="L80" s="14">
        <f t="shared" si="15"/>
        <v>-13.508443879467928</v>
      </c>
      <c r="M80" s="14">
        <f t="shared" si="16"/>
        <v>-3.7523455220744242</v>
      </c>
      <c r="N80" s="14">
        <f>$J$39*K72</f>
        <v>-13508.443879467928</v>
      </c>
      <c r="O80" s="14">
        <f t="shared" si="17"/>
        <v>-13.508443879467928</v>
      </c>
      <c r="P80" s="14">
        <f t="shared" si="18"/>
        <v>-3.7523455220744242</v>
      </c>
      <c r="Q80" s="14">
        <f>$L$39*M72</f>
        <v>-13508.443879467928</v>
      </c>
      <c r="R80" s="14">
        <f t="shared" si="19"/>
        <v>-13.508443879467928</v>
      </c>
      <c r="S80" s="14">
        <f t="shared" si="20"/>
        <v>-3.7523455220744242</v>
      </c>
      <c r="T80" s="14">
        <f>$N$39*O72</f>
        <v>-13508.443879467928</v>
      </c>
      <c r="U80" s="14">
        <f t="shared" si="21"/>
        <v>-13.508443879467928</v>
      </c>
      <c r="V80" s="14">
        <f t="shared" si="22"/>
        <v>-3.7523455220744242</v>
      </c>
      <c r="W80" s="14">
        <f>$P$39*Q72</f>
        <v>-13508.443879467928</v>
      </c>
      <c r="X80" s="14">
        <f t="shared" si="23"/>
        <v>-13.508443879467928</v>
      </c>
      <c r="Y80" s="14">
        <f t="shared" si="24"/>
        <v>-3.7523455220744242</v>
      </c>
      <c r="Z80" s="14">
        <f>$R$39*S72</f>
        <v>-13508.443879467928</v>
      </c>
      <c r="AA80" s="14">
        <f t="shared" si="25"/>
        <v>-13.508443879467928</v>
      </c>
      <c r="AB80" s="14">
        <f t="shared" si="26"/>
        <v>-3.7523455220744242</v>
      </c>
      <c r="AC80" s="14">
        <f>$T$39*U72</f>
        <v>-13508.443879467928</v>
      </c>
      <c r="AD80" s="14">
        <f t="shared" si="27"/>
        <v>-13.508443879467928</v>
      </c>
      <c r="AE80" s="14">
        <f t="shared" si="28"/>
        <v>-3.7523455220744242</v>
      </c>
    </row>
    <row r="81" spans="1:39" s="1" customFormat="1">
      <c r="A81" s="1" t="s">
        <v>104</v>
      </c>
      <c r="B81" s="20">
        <f t="shared" ref="B81:AE81" si="29">SUM(B76:B80)</f>
        <v>-59083.544946718044</v>
      </c>
      <c r="C81" s="20">
        <f t="shared" si="29"/>
        <v>-59.083544946718042</v>
      </c>
      <c r="D81" s="20">
        <f t="shared" si="29"/>
        <v>-16.412095818532791</v>
      </c>
      <c r="E81" s="20">
        <f t="shared" si="29"/>
        <v>-59083.544946718044</v>
      </c>
      <c r="F81" s="20">
        <f t="shared" si="29"/>
        <v>-59.083544946718042</v>
      </c>
      <c r="G81" s="20">
        <f t="shared" si="29"/>
        <v>-16.412095818532791</v>
      </c>
      <c r="H81" s="20">
        <f t="shared" si="29"/>
        <v>-59083.544946718044</v>
      </c>
      <c r="I81" s="20">
        <f t="shared" si="29"/>
        <v>-59.083544946718042</v>
      </c>
      <c r="J81" s="20">
        <f t="shared" si="29"/>
        <v>-16.412095818532791</v>
      </c>
      <c r="K81" s="20">
        <f t="shared" si="29"/>
        <v>-59083.544946718044</v>
      </c>
      <c r="L81" s="20">
        <f t="shared" si="29"/>
        <v>-59.083544946718042</v>
      </c>
      <c r="M81" s="20">
        <f t="shared" si="29"/>
        <v>-16.412095818532791</v>
      </c>
      <c r="N81" s="20">
        <f t="shared" si="29"/>
        <v>-59083.544946718044</v>
      </c>
      <c r="O81" s="20">
        <f t="shared" si="29"/>
        <v>-59.083544946718042</v>
      </c>
      <c r="P81" s="20">
        <f t="shared" si="29"/>
        <v>-16.412095818532791</v>
      </c>
      <c r="Q81" s="20">
        <f t="shared" si="29"/>
        <v>-59083.544946718044</v>
      </c>
      <c r="R81" s="20">
        <f t="shared" si="29"/>
        <v>-59.083544946718042</v>
      </c>
      <c r="S81" s="20">
        <f t="shared" si="29"/>
        <v>-16.412095818532791</v>
      </c>
      <c r="T81" s="20">
        <f t="shared" si="29"/>
        <v>-59083.544946718044</v>
      </c>
      <c r="U81" s="20">
        <f t="shared" si="29"/>
        <v>-59.083544946718042</v>
      </c>
      <c r="V81" s="20">
        <f t="shared" si="29"/>
        <v>-16.412095818532791</v>
      </c>
      <c r="W81" s="20">
        <f t="shared" si="29"/>
        <v>-59083.544946718044</v>
      </c>
      <c r="X81" s="20">
        <f t="shared" si="29"/>
        <v>-59.083544946718042</v>
      </c>
      <c r="Y81" s="20">
        <f t="shared" si="29"/>
        <v>-16.412095818532791</v>
      </c>
      <c r="Z81" s="20">
        <f t="shared" si="29"/>
        <v>-59083.544946718044</v>
      </c>
      <c r="AA81" s="20">
        <f t="shared" si="29"/>
        <v>-59.083544946718042</v>
      </c>
      <c r="AB81" s="20">
        <f t="shared" si="29"/>
        <v>-16.412095818532791</v>
      </c>
      <c r="AC81" s="20">
        <f t="shared" si="29"/>
        <v>-59083.544946718044</v>
      </c>
      <c r="AD81" s="20">
        <f t="shared" si="29"/>
        <v>-59.083544946718042</v>
      </c>
      <c r="AE81" s="20">
        <f t="shared" si="29"/>
        <v>-16.412095818532791</v>
      </c>
      <c r="AF81" s="2"/>
      <c r="AG81" s="2"/>
      <c r="AH81" s="2"/>
      <c r="AI81" s="2"/>
      <c r="AJ81" s="2"/>
      <c r="AK81" s="2"/>
      <c r="AL81" s="2"/>
      <c r="AM81" s="2"/>
    </row>
    <row r="82" spans="1:39" s="2" customFormat="1"/>
    <row r="83" spans="1:39" s="11" customFormat="1">
      <c r="A83" s="10" t="s">
        <v>110</v>
      </c>
    </row>
    <row r="84" spans="1:39" s="2" customFormat="1"/>
    <row r="85" spans="1:39" s="2" customFormat="1">
      <c r="A85" s="2" t="s">
        <v>111</v>
      </c>
      <c r="B85" s="14">
        <f>B15</f>
        <v>19582527</v>
      </c>
      <c r="D85" s="14">
        <f>D15</f>
        <v>19582527</v>
      </c>
      <c r="F85" s="14">
        <f>F15</f>
        <v>19582527</v>
      </c>
      <c r="H85" s="14">
        <f>H15</f>
        <v>19582527</v>
      </c>
      <c r="J85" s="14">
        <f>J15</f>
        <v>19582527</v>
      </c>
      <c r="L85" s="14">
        <f>L15</f>
        <v>19582527</v>
      </c>
      <c r="N85" s="14">
        <f>N15</f>
        <v>19582527</v>
      </c>
      <c r="P85" s="14">
        <f>P15</f>
        <v>19582527</v>
      </c>
      <c r="R85" s="14">
        <f>R15</f>
        <v>19582527</v>
      </c>
      <c r="T85" s="14">
        <f>T15</f>
        <v>19582527</v>
      </c>
    </row>
    <row r="86" spans="1:39" s="2" customFormat="1"/>
    <row r="87" spans="1:39" s="2" customFormat="1">
      <c r="A87" s="2" t="s">
        <v>112</v>
      </c>
    </row>
    <row r="88" spans="1:39" s="2" customFormat="1">
      <c r="A88" s="2" t="s">
        <v>113</v>
      </c>
      <c r="B88" s="14">
        <f>B73</f>
        <v>-1533344.1851337668</v>
      </c>
      <c r="D88" s="14">
        <f>D73</f>
        <v>-1533344.1851337668</v>
      </c>
      <c r="F88" s="14">
        <f>F73</f>
        <v>-1533344.1851337668</v>
      </c>
      <c r="H88" s="14">
        <f>H73</f>
        <v>-1533344.1851337668</v>
      </c>
      <c r="J88" s="14">
        <f>J73</f>
        <v>-1533344.1851337668</v>
      </c>
      <c r="L88" s="14">
        <f>L73</f>
        <v>-1533344.1851337668</v>
      </c>
      <c r="N88" s="14">
        <f>N73</f>
        <v>-1533344.1851337668</v>
      </c>
      <c r="P88" s="14">
        <f>P73</f>
        <v>-1533344.1851337668</v>
      </c>
      <c r="R88" s="14">
        <f>R73</f>
        <v>-1533344.1851337668</v>
      </c>
      <c r="T88" s="14">
        <f>T73</f>
        <v>-1533344.1851337668</v>
      </c>
    </row>
    <row r="89" spans="1:39" s="2" customFormat="1">
      <c r="A89" s="2" t="s">
        <v>114</v>
      </c>
      <c r="B89" s="14">
        <f>B41/B45</f>
        <v>0.49299999999999999</v>
      </c>
      <c r="D89" s="14">
        <f>D41/D45</f>
        <v>0.49299999999999999</v>
      </c>
      <c r="F89" s="14">
        <f>F41/F45</f>
        <v>0.49299999999999999</v>
      </c>
      <c r="H89" s="14">
        <f>H41/H45</f>
        <v>0.49299999999999999</v>
      </c>
      <c r="J89" s="14">
        <f>J41/J45</f>
        <v>0.49299999999999999</v>
      </c>
      <c r="L89" s="14">
        <f>L41/L45</f>
        <v>0.49299999999999999</v>
      </c>
      <c r="N89" s="14">
        <f>N41/N45</f>
        <v>0.49299999999999999</v>
      </c>
      <c r="P89" s="14">
        <f>P41/P45</f>
        <v>0.49299999999999999</v>
      </c>
      <c r="R89" s="14">
        <f>R41/R45</f>
        <v>0.49299999999999999</v>
      </c>
      <c r="T89" s="14">
        <f>T41/T45</f>
        <v>0.49299999999999999</v>
      </c>
    </row>
    <row r="90" spans="1:39" s="2" customFormat="1">
      <c r="A90" s="1" t="s">
        <v>115</v>
      </c>
      <c r="B90" s="20">
        <f>B88*B89</f>
        <v>-755938.68327094708</v>
      </c>
      <c r="D90" s="20">
        <f>D88*D89</f>
        <v>-755938.68327094708</v>
      </c>
      <c r="F90" s="20">
        <f>F88*F89</f>
        <v>-755938.68327094708</v>
      </c>
      <c r="H90" s="20">
        <f>H88*H89</f>
        <v>-755938.68327094708</v>
      </c>
      <c r="J90" s="20">
        <f>J88*J89</f>
        <v>-755938.68327094708</v>
      </c>
      <c r="L90" s="20">
        <f>L88*L89</f>
        <v>-755938.68327094708</v>
      </c>
      <c r="N90" s="20">
        <f>N88*N89</f>
        <v>-755938.68327094708</v>
      </c>
      <c r="P90" s="20">
        <f>P88*P89</f>
        <v>-755938.68327094708</v>
      </c>
      <c r="R90" s="20">
        <f>R88*R89</f>
        <v>-755938.68327094708</v>
      </c>
      <c r="T90" s="20">
        <f>T88*T89</f>
        <v>-755938.68327094708</v>
      </c>
    </row>
    <row r="91" spans="1:39" s="2" customFormat="1"/>
    <row r="92" spans="1:39" s="2" customFormat="1">
      <c r="A92" s="2" t="s">
        <v>116</v>
      </c>
      <c r="B92" s="20">
        <f>B57*B19</f>
        <v>-11749516.199999999</v>
      </c>
      <c r="D92" s="20">
        <f>D57*D19</f>
        <v>-11749516.199999999</v>
      </c>
      <c r="F92" s="20">
        <f>F57*F19</f>
        <v>-11749516.199999999</v>
      </c>
      <c r="H92" s="20">
        <f>H57*H19</f>
        <v>-11749516.199999999</v>
      </c>
      <c r="J92" s="20">
        <f>J57*J19</f>
        <v>-11749516.199999999</v>
      </c>
      <c r="L92" s="20">
        <f>L57*L19</f>
        <v>-11749516.199999999</v>
      </c>
      <c r="N92" s="20">
        <f>N57*N19</f>
        <v>-11749516.199999999</v>
      </c>
      <c r="P92" s="20">
        <f>P57*P19</f>
        <v>-11749516.199999999</v>
      </c>
      <c r="R92" s="20">
        <f>R57*R19</f>
        <v>-11749516.199999999</v>
      </c>
      <c r="T92" s="20">
        <f>T57*T19</f>
        <v>-11749516.199999999</v>
      </c>
    </row>
    <row r="93" spans="1:39" s="2" customFormat="1"/>
    <row r="94" spans="1:39" s="2" customFormat="1">
      <c r="A94" s="2" t="s">
        <v>117</v>
      </c>
      <c r="B94" s="20">
        <f>B92*B20</f>
        <v>-3689348.0867999997</v>
      </c>
      <c r="D94" s="20">
        <f>D92*D20</f>
        <v>-3689348.0867999997</v>
      </c>
      <c r="F94" s="20">
        <f>F92*F20</f>
        <v>-3689348.0867999997</v>
      </c>
      <c r="H94" s="20">
        <f>H92*H20</f>
        <v>-3689348.0867999997</v>
      </c>
      <c r="J94" s="20">
        <f>J92*J20</f>
        <v>-3689348.0867999997</v>
      </c>
      <c r="L94" s="20">
        <f>L92*L20</f>
        <v>-3689348.0867999997</v>
      </c>
      <c r="N94" s="20">
        <f>N92*N20</f>
        <v>-3689348.0867999997</v>
      </c>
      <c r="P94" s="20">
        <f>P92*P20</f>
        <v>-3689348.0867999997</v>
      </c>
      <c r="R94" s="20">
        <f>R92*R20</f>
        <v>-3689348.0867999997</v>
      </c>
      <c r="T94" s="20">
        <f>T92*T20</f>
        <v>-3689348.0867999997</v>
      </c>
    </row>
    <row r="95" spans="1:39" s="2" customFormat="1">
      <c r="A95" s="2" t="s">
        <v>118</v>
      </c>
      <c r="B95" s="22">
        <f>-B94/B49</f>
        <v>1.4179547430319614E-4</v>
      </c>
      <c r="D95" s="22">
        <f>-D94/D49</f>
        <v>1.4179547430319614E-4</v>
      </c>
      <c r="F95" s="22">
        <f>-F94/F49</f>
        <v>1.4179547430319614E-4</v>
      </c>
      <c r="H95" s="22">
        <f>-H94/H49</f>
        <v>1.4179547430319614E-4</v>
      </c>
      <c r="J95" s="22">
        <f>-J94/J49</f>
        <v>1.4179547430319614E-4</v>
      </c>
      <c r="L95" s="22">
        <f>-L94/L49</f>
        <v>1.4179547430319614E-4</v>
      </c>
      <c r="N95" s="22">
        <f>-N94/N49</f>
        <v>1.4179547430319614E-4</v>
      </c>
      <c r="P95" s="22">
        <f>-P94/P49</f>
        <v>1.4179547430319614E-4</v>
      </c>
      <c r="R95" s="22">
        <f>-R94/R49</f>
        <v>1.4179547430319614E-4</v>
      </c>
      <c r="T95" s="22">
        <f>-T94/T49</f>
        <v>1.4179547430319614E-4</v>
      </c>
    </row>
    <row r="96" spans="1:39" s="2" customFormat="1"/>
    <row r="97" spans="1:20" s="2" customFormat="1">
      <c r="A97" s="2" t="s">
        <v>119</v>
      </c>
      <c r="B97" s="14">
        <f>B50</f>
        <v>2200000</v>
      </c>
      <c r="D97" s="14">
        <f>D50</f>
        <v>2200000</v>
      </c>
      <c r="F97" s="14">
        <f>F50</f>
        <v>2200000</v>
      </c>
      <c r="H97" s="14">
        <f>H50</f>
        <v>2200000</v>
      </c>
      <c r="J97" s="14">
        <f>J50</f>
        <v>2200000</v>
      </c>
      <c r="L97" s="14">
        <f>L50</f>
        <v>2200000</v>
      </c>
      <c r="N97" s="14">
        <f>N50</f>
        <v>2200000</v>
      </c>
      <c r="P97" s="14">
        <f>P50</f>
        <v>2200000</v>
      </c>
      <c r="R97" s="14">
        <f>R50</f>
        <v>2200000</v>
      </c>
      <c r="T97" s="14">
        <f>T50</f>
        <v>2200000</v>
      </c>
    </row>
    <row r="98" spans="1:20" s="2" customFormat="1">
      <c r="A98" s="2" t="s">
        <v>120</v>
      </c>
      <c r="B98" s="14">
        <f>B51*B85</f>
        <v>101829.14039999999</v>
      </c>
      <c r="D98" s="14">
        <f>D51*D85</f>
        <v>101829.14039999999</v>
      </c>
      <c r="F98" s="14">
        <f>F51*F85</f>
        <v>101829.14039999999</v>
      </c>
      <c r="H98" s="14">
        <f>H51*H85</f>
        <v>101829.14039999999</v>
      </c>
      <c r="J98" s="14">
        <f>J51*J85</f>
        <v>101829.14039999999</v>
      </c>
      <c r="L98" s="14">
        <f>L51*L85</f>
        <v>101829.14039999999</v>
      </c>
      <c r="N98" s="14">
        <f>N51*N85</f>
        <v>101829.14039999999</v>
      </c>
      <c r="P98" s="14">
        <f>P51*P85</f>
        <v>101829.14039999999</v>
      </c>
      <c r="R98" s="14">
        <f>R51*R85</f>
        <v>101829.14039999999</v>
      </c>
      <c r="T98" s="14">
        <f>T51*T85</f>
        <v>101829.14039999999</v>
      </c>
    </row>
    <row r="99" spans="1:20" s="2" customFormat="1"/>
    <row r="100" spans="1:20" s="11" customFormat="1">
      <c r="A100" s="10" t="s">
        <v>11</v>
      </c>
    </row>
    <row r="101" spans="1:20" s="2" customFormat="1"/>
    <row r="102" spans="1:20" s="2" customFormat="1">
      <c r="A102" s="1" t="s">
        <v>121</v>
      </c>
    </row>
    <row r="103" spans="1:20" s="2" customFormat="1"/>
    <row r="104" spans="1:20" s="2" customFormat="1">
      <c r="A104" s="1" t="s">
        <v>122</v>
      </c>
      <c r="B104" s="20">
        <f>-D81</f>
        <v>16.412095818532791</v>
      </c>
      <c r="D104" s="20">
        <f>-G81</f>
        <v>16.412095818532791</v>
      </c>
      <c r="F104" s="20">
        <f>-J81</f>
        <v>16.412095818532791</v>
      </c>
      <c r="H104" s="20">
        <f>-M81</f>
        <v>16.412095818532791</v>
      </c>
      <c r="J104" s="20">
        <f>-P81</f>
        <v>16.412095818532791</v>
      </c>
      <c r="L104" s="20">
        <f>-S81</f>
        <v>16.412095818532791</v>
      </c>
      <c r="N104" s="20">
        <f>-V81</f>
        <v>16.412095818532791</v>
      </c>
      <c r="P104" s="20">
        <f>-Y81</f>
        <v>16.412095818532791</v>
      </c>
      <c r="R104" s="20">
        <f>-AB81</f>
        <v>16.412095818532791</v>
      </c>
      <c r="T104" s="20">
        <f>-AE81</f>
        <v>16.412095818532791</v>
      </c>
    </row>
    <row r="105" spans="1:20" s="2" customFormat="1">
      <c r="A105" s="1" t="s">
        <v>123</v>
      </c>
      <c r="B105" s="20">
        <f>(B104*B43)*B42</f>
        <v>3985.0992582653362</v>
      </c>
      <c r="D105" s="20">
        <f>(D104*D43)*D42</f>
        <v>3985.0992582653362</v>
      </c>
      <c r="F105" s="20">
        <f>(F104*F43)*F42</f>
        <v>3985.0992582653362</v>
      </c>
      <c r="H105" s="20">
        <f>(H104*H43)*H42</f>
        <v>3985.0992582653362</v>
      </c>
      <c r="J105" s="20">
        <f>(J104*J43)*J42</f>
        <v>3985.0992582653362</v>
      </c>
      <c r="L105" s="20">
        <f>(L104*L43)*L42</f>
        <v>3985.0992582653362</v>
      </c>
      <c r="N105" s="20">
        <f>(N104*N43)*N42</f>
        <v>3985.0992582653362</v>
      </c>
      <c r="P105" s="20">
        <f>(P104*P43)*P42</f>
        <v>3985.0992582653362</v>
      </c>
      <c r="R105" s="20">
        <f>(R104*R43)*R42</f>
        <v>3985.0992582653362</v>
      </c>
      <c r="T105" s="20">
        <f>(T104*T43)*T42</f>
        <v>3985.0992582653362</v>
      </c>
    </row>
    <row r="106" spans="1:20" s="2" customFormat="1">
      <c r="A106" s="1"/>
    </row>
    <row r="107" spans="1:20" s="2" customFormat="1">
      <c r="A107" s="49" t="s">
        <v>124</v>
      </c>
      <c r="B107" s="14">
        <f>B85</f>
        <v>19582527</v>
      </c>
      <c r="D107" s="14">
        <f>D85</f>
        <v>19582527</v>
      </c>
      <c r="F107" s="14">
        <f>F85</f>
        <v>19582527</v>
      </c>
      <c r="H107" s="14">
        <f>H85</f>
        <v>19582527</v>
      </c>
      <c r="J107" s="14">
        <f>J85</f>
        <v>19582527</v>
      </c>
      <c r="L107" s="14">
        <f>L85</f>
        <v>19582527</v>
      </c>
      <c r="N107" s="14">
        <f>N85</f>
        <v>19582527</v>
      </c>
      <c r="P107" s="14">
        <f>P85</f>
        <v>19582527</v>
      </c>
      <c r="R107" s="14">
        <f>R85</f>
        <v>19582527</v>
      </c>
      <c r="T107" s="14">
        <f>T85</f>
        <v>19582527</v>
      </c>
    </row>
    <row r="108" spans="1:20" s="2" customFormat="1">
      <c r="A108" s="2" t="s">
        <v>125</v>
      </c>
      <c r="B108" s="14">
        <f>B90</f>
        <v>-755938.68327094708</v>
      </c>
      <c r="D108" s="14">
        <f>D90</f>
        <v>-755938.68327094708</v>
      </c>
      <c r="F108" s="14">
        <f>F90</f>
        <v>-755938.68327094708</v>
      </c>
      <c r="H108" s="14">
        <f>H90</f>
        <v>-755938.68327094708</v>
      </c>
      <c r="J108" s="14">
        <f>J90</f>
        <v>-755938.68327094708</v>
      </c>
      <c r="L108" s="14">
        <f>L90</f>
        <v>-755938.68327094708</v>
      </c>
      <c r="N108" s="14">
        <f>N90</f>
        <v>-755938.68327094708</v>
      </c>
      <c r="P108" s="14">
        <f>P90</f>
        <v>-755938.68327094708</v>
      </c>
      <c r="R108" s="14">
        <f>R90</f>
        <v>-755938.68327094708</v>
      </c>
      <c r="T108" s="14">
        <f>T90</f>
        <v>-755938.68327094708</v>
      </c>
    </row>
    <row r="109" spans="1:20" s="2" customFormat="1">
      <c r="A109" s="2" t="s">
        <v>126</v>
      </c>
      <c r="B109" s="14">
        <f>B92</f>
        <v>-11749516.199999999</v>
      </c>
      <c r="D109" s="14">
        <f>D92</f>
        <v>-11749516.199999999</v>
      </c>
      <c r="F109" s="14">
        <f>F92</f>
        <v>-11749516.199999999</v>
      </c>
      <c r="H109" s="14">
        <f>H92</f>
        <v>-11749516.199999999</v>
      </c>
      <c r="J109" s="14">
        <f>J92</f>
        <v>-11749516.199999999</v>
      </c>
      <c r="L109" s="14">
        <f>L92</f>
        <v>-11749516.199999999</v>
      </c>
      <c r="N109" s="14">
        <f>N92</f>
        <v>-11749516.199999999</v>
      </c>
      <c r="P109" s="14">
        <f>P92</f>
        <v>-11749516.199999999</v>
      </c>
      <c r="R109" s="14">
        <f>R92</f>
        <v>-11749516.199999999</v>
      </c>
      <c r="T109" s="14">
        <f>T92</f>
        <v>-11749516.199999999</v>
      </c>
    </row>
    <row r="110" spans="1:20" s="2" customFormat="1">
      <c r="A110" s="2" t="s">
        <v>127</v>
      </c>
      <c r="B110" s="14">
        <f>B94</f>
        <v>-3689348.0867999997</v>
      </c>
      <c r="D110" s="14">
        <f>D94</f>
        <v>-3689348.0867999997</v>
      </c>
      <c r="F110" s="14">
        <f>F94</f>
        <v>-3689348.0867999997</v>
      </c>
      <c r="H110" s="14">
        <f>H94</f>
        <v>-3689348.0867999997</v>
      </c>
      <c r="J110" s="14">
        <f>J94</f>
        <v>-3689348.0867999997</v>
      </c>
      <c r="L110" s="14">
        <f>L94</f>
        <v>-3689348.0867999997</v>
      </c>
      <c r="N110" s="14">
        <f>N94</f>
        <v>-3689348.0867999997</v>
      </c>
      <c r="P110" s="14">
        <f>P94</f>
        <v>-3689348.0867999997</v>
      </c>
      <c r="R110" s="14">
        <f>R94</f>
        <v>-3689348.0867999997</v>
      </c>
      <c r="T110" s="14">
        <f>T94</f>
        <v>-3689348.0867999997</v>
      </c>
    </row>
    <row r="111" spans="1:20" s="2" customFormat="1">
      <c r="A111" s="2" t="s">
        <v>128</v>
      </c>
      <c r="B111" s="14">
        <f>-B97</f>
        <v>-2200000</v>
      </c>
      <c r="D111" s="14"/>
      <c r="F111" s="14"/>
      <c r="H111" s="14"/>
      <c r="J111" s="14"/>
      <c r="L111" s="14"/>
      <c r="N111" s="14"/>
      <c r="P111" s="14"/>
      <c r="R111" s="14"/>
      <c r="T111" s="14"/>
    </row>
    <row r="112" spans="1:20" s="2" customFormat="1">
      <c r="A112" s="2" t="s">
        <v>129</v>
      </c>
      <c r="B112" s="14">
        <f>B98</f>
        <v>101829.14039999999</v>
      </c>
      <c r="D112" s="14">
        <f>D98</f>
        <v>101829.14039999999</v>
      </c>
      <c r="F112" s="14">
        <f>F98</f>
        <v>101829.14039999999</v>
      </c>
      <c r="H112" s="14">
        <f>H98</f>
        <v>101829.14039999999</v>
      </c>
      <c r="J112" s="14">
        <f>J98</f>
        <v>101829.14039999999</v>
      </c>
      <c r="L112" s="14">
        <f>L98</f>
        <v>101829.14039999999</v>
      </c>
      <c r="N112" s="14">
        <f>N98</f>
        <v>101829.14039999999</v>
      </c>
      <c r="P112" s="14">
        <f>P98</f>
        <v>101829.14039999999</v>
      </c>
      <c r="R112" s="14">
        <f>R98</f>
        <v>101829.14039999999</v>
      </c>
      <c r="T112" s="14">
        <f>T98</f>
        <v>101829.14039999999</v>
      </c>
    </row>
    <row r="113" spans="1:39" s="2" customFormat="1">
      <c r="A113" s="49" t="s">
        <v>130</v>
      </c>
      <c r="B113" s="14">
        <f>SUM(B108:B112)</f>
        <v>-18292973.829670943</v>
      </c>
      <c r="D113" s="14">
        <f>SUM(D108:D112)</f>
        <v>-16092973.829670945</v>
      </c>
      <c r="F113" s="14">
        <f>SUM(F108:F112)</f>
        <v>-16092973.829670945</v>
      </c>
      <c r="H113" s="14">
        <f>SUM(H108:H112)</f>
        <v>-16092973.829670945</v>
      </c>
      <c r="J113" s="14">
        <f>SUM(J108:J112)</f>
        <v>-16092973.829670945</v>
      </c>
      <c r="L113" s="14">
        <f>SUM(L108:L112)</f>
        <v>-16092973.829670945</v>
      </c>
      <c r="N113" s="14">
        <f>SUM(N108:N112)</f>
        <v>-16092973.829670945</v>
      </c>
      <c r="P113" s="14">
        <f>SUM(P108:P112)</f>
        <v>-16092973.829670945</v>
      </c>
      <c r="R113" s="14">
        <f>SUM(R108:R112)</f>
        <v>-16092973.829670945</v>
      </c>
      <c r="T113" s="14">
        <f>SUM(T108:T112)</f>
        <v>-16092973.829670945</v>
      </c>
    </row>
    <row r="114" spans="1:39" s="2" customFormat="1">
      <c r="A114" s="1" t="s">
        <v>131</v>
      </c>
      <c r="B114" s="20">
        <f>B107+B113</f>
        <v>1289553.1703290567</v>
      </c>
      <c r="D114" s="20">
        <f>D107+D113</f>
        <v>3489553.1703290548</v>
      </c>
      <c r="F114" s="20">
        <f>F107+F113</f>
        <v>3489553.1703290548</v>
      </c>
      <c r="H114" s="20">
        <f>H107+H113</f>
        <v>3489553.1703290548</v>
      </c>
      <c r="J114" s="20">
        <f>J107+J113</f>
        <v>3489553.1703290548</v>
      </c>
      <c r="L114" s="20">
        <f>L107+L113</f>
        <v>3489553.1703290548</v>
      </c>
      <c r="N114" s="20">
        <f>N107+N113</f>
        <v>3489553.1703290548</v>
      </c>
      <c r="P114" s="20">
        <f>P107+P113</f>
        <v>3489553.1703290548</v>
      </c>
      <c r="R114" s="20">
        <f>R107+R113</f>
        <v>3489553.1703290548</v>
      </c>
      <c r="T114" s="20">
        <f>T107+T113</f>
        <v>3489553.1703290548</v>
      </c>
    </row>
    <row r="115" spans="1:39" s="2" customFormat="1"/>
    <row r="116" spans="1:39" s="2" customFormat="1">
      <c r="A116" s="1" t="s">
        <v>132</v>
      </c>
    </row>
    <row r="117" spans="1:39" s="2" customFormat="1">
      <c r="C117" s="9" t="s">
        <v>133</v>
      </c>
      <c r="D117" s="50">
        <v>1</v>
      </c>
      <c r="E117" s="50">
        <v>2</v>
      </c>
      <c r="F117" s="50">
        <v>3</v>
      </c>
      <c r="G117" s="50">
        <v>4</v>
      </c>
      <c r="H117" s="50">
        <v>5</v>
      </c>
      <c r="I117" s="50">
        <v>6</v>
      </c>
      <c r="J117" s="50">
        <v>7</v>
      </c>
      <c r="K117" s="50">
        <v>8</v>
      </c>
      <c r="L117" s="50">
        <v>9</v>
      </c>
      <c r="M117" s="50">
        <v>10</v>
      </c>
      <c r="N117" s="9"/>
      <c r="O117" s="50"/>
      <c r="P117" s="9"/>
      <c r="Q117" s="50"/>
      <c r="R117" s="9"/>
      <c r="S117" s="50"/>
      <c r="T117" s="9"/>
      <c r="U117" s="9"/>
      <c r="V117" s="9"/>
      <c r="W117" s="9"/>
      <c r="X117" s="9"/>
      <c r="Y117" s="9"/>
      <c r="Z117" s="9"/>
      <c r="AA117" s="9"/>
      <c r="AB117" s="9"/>
      <c r="AC117" s="9"/>
      <c r="AD117" s="50"/>
      <c r="AE117" s="50"/>
      <c r="AF117" s="50"/>
      <c r="AG117" s="50"/>
      <c r="AH117" s="50"/>
      <c r="AI117" s="50"/>
      <c r="AJ117" s="50"/>
      <c r="AK117" s="50"/>
      <c r="AL117" s="50"/>
      <c r="AM117" s="50"/>
    </row>
    <row r="118" spans="1:39" s="2" customFormat="1">
      <c r="C118" s="9" t="s">
        <v>14</v>
      </c>
      <c r="D118" s="40">
        <v>2021</v>
      </c>
      <c r="E118" s="40">
        <v>2022</v>
      </c>
      <c r="F118" s="40">
        <v>2023</v>
      </c>
      <c r="G118" s="40">
        <v>2024</v>
      </c>
      <c r="H118" s="40">
        <v>2025</v>
      </c>
      <c r="I118" s="40">
        <v>2026</v>
      </c>
      <c r="J118" s="40">
        <v>2027</v>
      </c>
      <c r="K118" s="40">
        <v>2028</v>
      </c>
      <c r="L118" s="40">
        <v>2029</v>
      </c>
      <c r="M118" s="40">
        <v>2030</v>
      </c>
      <c r="N118" s="9"/>
      <c r="O118" s="40"/>
      <c r="P118" s="9"/>
      <c r="Q118" s="40"/>
      <c r="R118" s="9"/>
      <c r="S118" s="40"/>
      <c r="T118" s="9"/>
      <c r="U118" s="9"/>
      <c r="V118" s="9"/>
      <c r="W118" s="9"/>
      <c r="X118" s="9"/>
      <c r="Y118" s="9"/>
      <c r="Z118" s="9"/>
      <c r="AA118" s="9"/>
      <c r="AB118" s="9"/>
      <c r="AC118" s="9"/>
      <c r="AD118" s="40"/>
      <c r="AE118" s="40"/>
      <c r="AF118" s="40"/>
      <c r="AG118" s="40"/>
      <c r="AH118" s="40"/>
      <c r="AI118" s="40"/>
      <c r="AJ118" s="40"/>
      <c r="AK118" s="40"/>
      <c r="AL118" s="40"/>
      <c r="AM118" s="40"/>
    </row>
    <row r="119" spans="1:39" s="2" customFormat="1">
      <c r="C119" s="9"/>
      <c r="D119" s="9"/>
      <c r="E119" s="40"/>
      <c r="F119" s="9"/>
      <c r="G119" s="40"/>
      <c r="H119" s="9"/>
      <c r="I119" s="40"/>
      <c r="J119" s="9"/>
      <c r="K119" s="40"/>
      <c r="L119" s="9"/>
      <c r="M119" s="40"/>
      <c r="N119" s="9"/>
      <c r="O119" s="40"/>
      <c r="P119" s="9"/>
      <c r="Q119" s="40"/>
      <c r="R119" s="9"/>
      <c r="S119" s="40"/>
      <c r="T119" s="9"/>
      <c r="U119" s="9"/>
      <c r="V119" s="9"/>
      <c r="W119" s="9"/>
      <c r="X119" s="9"/>
      <c r="Y119" s="9"/>
      <c r="Z119" s="9"/>
      <c r="AA119" s="9"/>
      <c r="AB119" s="9"/>
      <c r="AC119" s="9"/>
      <c r="AD119" s="40"/>
      <c r="AE119" s="40"/>
      <c r="AF119" s="40"/>
      <c r="AG119" s="40"/>
      <c r="AH119" s="40"/>
      <c r="AI119" s="40"/>
      <c r="AJ119" s="40"/>
      <c r="AK119" s="40"/>
      <c r="AL119" s="40"/>
      <c r="AM119" s="40"/>
    </row>
    <row r="120" spans="1:39" s="2" customFormat="1">
      <c r="A120" s="49" t="s">
        <v>122</v>
      </c>
      <c r="C120" s="9"/>
      <c r="D120" s="14">
        <f>B104</f>
        <v>16.412095818532791</v>
      </c>
      <c r="E120" s="14">
        <f>D104</f>
        <v>16.412095818532791</v>
      </c>
      <c r="F120" s="14">
        <f>F104</f>
        <v>16.412095818532791</v>
      </c>
      <c r="G120" s="14">
        <f>H104</f>
        <v>16.412095818532791</v>
      </c>
      <c r="H120" s="14">
        <f>J104</f>
        <v>16.412095818532791</v>
      </c>
      <c r="I120" s="14">
        <f>L104</f>
        <v>16.412095818532791</v>
      </c>
      <c r="J120" s="14">
        <f>N104</f>
        <v>16.412095818532791</v>
      </c>
      <c r="K120" s="14">
        <f>P104</f>
        <v>16.412095818532791</v>
      </c>
      <c r="L120" s="14">
        <f>R104</f>
        <v>16.412095818532791</v>
      </c>
      <c r="M120" s="14">
        <f>T104</f>
        <v>16.412095818532791</v>
      </c>
      <c r="N120" s="9"/>
      <c r="O120" s="40"/>
      <c r="P120" s="9"/>
      <c r="Q120" s="40"/>
      <c r="R120" s="9"/>
      <c r="S120" s="40"/>
      <c r="T120" s="9"/>
      <c r="U120" s="9"/>
      <c r="V120" s="9"/>
      <c r="W120" s="9"/>
      <c r="X120" s="9"/>
      <c r="Y120" s="9"/>
      <c r="Z120" s="9"/>
      <c r="AA120" s="9"/>
      <c r="AB120" s="9"/>
      <c r="AC120" s="9"/>
      <c r="AD120" s="40"/>
      <c r="AE120" s="40"/>
      <c r="AF120" s="40"/>
      <c r="AG120" s="40"/>
      <c r="AH120" s="40"/>
      <c r="AI120" s="40"/>
      <c r="AJ120" s="40"/>
      <c r="AK120" s="40"/>
      <c r="AL120" s="40"/>
      <c r="AM120" s="40"/>
    </row>
    <row r="121" spans="1:39" s="2" customFormat="1">
      <c r="A121" s="1" t="s">
        <v>134</v>
      </c>
      <c r="C121" s="9"/>
      <c r="D121" s="20">
        <f>C121+D120</f>
        <v>16.412095818532791</v>
      </c>
      <c r="E121" s="20">
        <f t="shared" ref="E121:M121" si="30">D121+E120</f>
        <v>32.824191637065582</v>
      </c>
      <c r="F121" s="20">
        <f t="shared" si="30"/>
        <v>49.236287455598372</v>
      </c>
      <c r="G121" s="20">
        <f t="shared" si="30"/>
        <v>65.648383274131163</v>
      </c>
      <c r="H121" s="20">
        <f t="shared" si="30"/>
        <v>82.060479092663954</v>
      </c>
      <c r="I121" s="20">
        <f t="shared" si="30"/>
        <v>98.472574911196745</v>
      </c>
      <c r="J121" s="20">
        <f t="shared" si="30"/>
        <v>114.88467072972954</v>
      </c>
      <c r="K121" s="20">
        <f t="shared" si="30"/>
        <v>131.29676654826233</v>
      </c>
      <c r="L121" s="20">
        <f t="shared" si="30"/>
        <v>147.70886236679513</v>
      </c>
      <c r="M121" s="20">
        <f t="shared" si="30"/>
        <v>164.12095818532794</v>
      </c>
      <c r="N121" s="9"/>
      <c r="O121" s="40"/>
      <c r="P121" s="9"/>
      <c r="Q121" s="40"/>
      <c r="R121" s="9"/>
      <c r="S121" s="40"/>
      <c r="T121" s="9"/>
      <c r="U121" s="9"/>
      <c r="V121" s="9"/>
      <c r="W121" s="9"/>
      <c r="X121" s="9"/>
      <c r="Y121" s="9"/>
      <c r="Z121" s="9"/>
      <c r="AA121" s="9"/>
      <c r="AB121" s="9"/>
      <c r="AC121" s="9"/>
      <c r="AD121" s="40"/>
      <c r="AE121" s="40"/>
      <c r="AF121" s="40"/>
      <c r="AG121" s="40"/>
      <c r="AH121" s="40"/>
      <c r="AI121" s="40"/>
      <c r="AJ121" s="40"/>
      <c r="AK121" s="40"/>
      <c r="AL121" s="40"/>
      <c r="AM121" s="40"/>
    </row>
    <row r="122" spans="1:39" s="2" customFormat="1">
      <c r="A122" s="49" t="s">
        <v>135</v>
      </c>
      <c r="C122" s="9"/>
      <c r="D122" s="14">
        <f>B105/1000</f>
        <v>3.9850992582653362</v>
      </c>
      <c r="E122" s="14">
        <f>D105/1000</f>
        <v>3.9850992582653362</v>
      </c>
      <c r="F122" s="14">
        <f>F105/1000</f>
        <v>3.9850992582653362</v>
      </c>
      <c r="G122" s="14">
        <f>H105/1000</f>
        <v>3.9850992582653362</v>
      </c>
      <c r="H122" s="14">
        <f>J105/1000</f>
        <v>3.9850992582653362</v>
      </c>
      <c r="I122" s="14">
        <f>L105/1000</f>
        <v>3.9850992582653362</v>
      </c>
      <c r="J122" s="14">
        <f>N105/1000</f>
        <v>3.9850992582653362</v>
      </c>
      <c r="K122" s="14">
        <f>P105/1000</f>
        <v>3.9850992582653362</v>
      </c>
      <c r="L122" s="14">
        <f>R105/1000</f>
        <v>3.9850992582653362</v>
      </c>
      <c r="M122" s="14">
        <f>T105/1000</f>
        <v>3.9850992582653362</v>
      </c>
      <c r="N122" s="9"/>
      <c r="O122" s="40"/>
      <c r="P122" s="9"/>
      <c r="Q122" s="40"/>
      <c r="R122" s="9"/>
      <c r="S122" s="40"/>
      <c r="T122" s="9"/>
      <c r="U122" s="9"/>
      <c r="V122" s="9"/>
      <c r="W122" s="9"/>
      <c r="X122" s="9"/>
      <c r="Y122" s="9"/>
      <c r="Z122" s="9"/>
      <c r="AA122" s="9"/>
      <c r="AB122" s="9"/>
      <c r="AC122" s="9"/>
      <c r="AD122" s="40"/>
      <c r="AE122" s="40"/>
      <c r="AF122" s="40"/>
      <c r="AG122" s="40"/>
      <c r="AH122" s="40"/>
      <c r="AI122" s="40"/>
      <c r="AJ122" s="40"/>
      <c r="AK122" s="40"/>
      <c r="AL122" s="40"/>
      <c r="AM122" s="40"/>
    </row>
    <row r="123" spans="1:39" s="2" customFormat="1">
      <c r="A123" s="1" t="s">
        <v>136</v>
      </c>
      <c r="C123" s="9"/>
      <c r="D123" s="20">
        <f>C123+D122</f>
        <v>3.9850992582653362</v>
      </c>
      <c r="E123" s="20">
        <f t="shared" ref="E123" si="31">D123+E122</f>
        <v>7.9701985165306724</v>
      </c>
      <c r="F123" s="20">
        <f t="shared" ref="F123" si="32">E123+F122</f>
        <v>11.955297774796009</v>
      </c>
      <c r="G123" s="20">
        <f t="shared" ref="G123" si="33">F123+G122</f>
        <v>15.940397033061345</v>
      </c>
      <c r="H123" s="20">
        <f t="shared" ref="H123" si="34">G123+H122</f>
        <v>19.925496291326681</v>
      </c>
      <c r="I123" s="20">
        <f t="shared" ref="I123" si="35">H123+I122</f>
        <v>23.910595549592017</v>
      </c>
      <c r="J123" s="20">
        <f t="shared" ref="J123" si="36">I123+J122</f>
        <v>27.895694807857353</v>
      </c>
      <c r="K123" s="20">
        <f t="shared" ref="K123" si="37">J123+K122</f>
        <v>31.880794066122689</v>
      </c>
      <c r="L123" s="20">
        <f t="shared" ref="L123" si="38">K123+L122</f>
        <v>35.865893324388026</v>
      </c>
      <c r="M123" s="20">
        <f t="shared" ref="M123" si="39">L123+M122</f>
        <v>39.850992582653362</v>
      </c>
      <c r="N123" s="9"/>
      <c r="O123" s="40"/>
      <c r="P123" s="9"/>
      <c r="Q123" s="40"/>
      <c r="R123" s="9"/>
      <c r="S123" s="40"/>
      <c r="T123" s="9"/>
      <c r="U123" s="9"/>
      <c r="V123" s="9"/>
      <c r="W123" s="9"/>
      <c r="X123" s="9"/>
      <c r="Y123" s="9"/>
      <c r="Z123" s="9"/>
      <c r="AA123" s="9"/>
      <c r="AB123" s="9"/>
      <c r="AC123" s="9"/>
      <c r="AD123" s="40"/>
      <c r="AE123" s="40"/>
      <c r="AF123" s="40"/>
      <c r="AG123" s="40"/>
      <c r="AH123" s="40"/>
      <c r="AI123" s="40"/>
      <c r="AJ123" s="40"/>
      <c r="AK123" s="40"/>
      <c r="AL123" s="40"/>
      <c r="AM123" s="40"/>
    </row>
    <row r="124" spans="1:39" s="2" customFormat="1">
      <c r="A124" s="2" t="s">
        <v>137</v>
      </c>
      <c r="C124" s="9"/>
      <c r="D124" s="14">
        <f>B114</f>
        <v>1289553.1703290567</v>
      </c>
      <c r="E124" s="14">
        <f>D114</f>
        <v>3489553.1703290548</v>
      </c>
      <c r="F124" s="14">
        <f>F114</f>
        <v>3489553.1703290548</v>
      </c>
      <c r="G124" s="14">
        <f>H114</f>
        <v>3489553.1703290548</v>
      </c>
      <c r="H124" s="14">
        <f>J114</f>
        <v>3489553.1703290548</v>
      </c>
      <c r="I124" s="14">
        <f>L114</f>
        <v>3489553.1703290548</v>
      </c>
      <c r="J124" s="14">
        <f>N114</f>
        <v>3489553.1703290548</v>
      </c>
      <c r="K124" s="14">
        <f>P114</f>
        <v>3489553.1703290548</v>
      </c>
      <c r="L124" s="14">
        <f>R114</f>
        <v>3489553.1703290548</v>
      </c>
      <c r="M124" s="14">
        <f>T114</f>
        <v>3489553.1703290548</v>
      </c>
      <c r="N124" s="9"/>
      <c r="O124" s="40"/>
      <c r="P124" s="9"/>
      <c r="Q124" s="40"/>
      <c r="R124" s="9"/>
      <c r="S124" s="40"/>
      <c r="T124" s="9"/>
      <c r="U124" s="9"/>
      <c r="V124" s="9"/>
      <c r="W124" s="9"/>
      <c r="X124" s="9"/>
      <c r="Y124" s="9"/>
      <c r="Z124" s="9"/>
      <c r="AA124" s="9"/>
      <c r="AB124" s="9"/>
      <c r="AC124" s="9"/>
      <c r="AD124" s="40"/>
      <c r="AE124" s="40"/>
      <c r="AF124" s="40"/>
      <c r="AG124" s="40"/>
      <c r="AH124" s="40"/>
      <c r="AI124" s="40"/>
      <c r="AJ124" s="40"/>
      <c r="AK124" s="40"/>
      <c r="AL124" s="40"/>
      <c r="AM124" s="40"/>
    </row>
    <row r="125" spans="1:39" s="2" customFormat="1">
      <c r="A125" s="1" t="s">
        <v>138</v>
      </c>
      <c r="C125" s="9"/>
      <c r="D125" s="20">
        <f>C125+D124</f>
        <v>1289553.1703290567</v>
      </c>
      <c r="E125" s="20">
        <f t="shared" ref="E125:M125" si="40">D125+E124</f>
        <v>4779106.3406581115</v>
      </c>
      <c r="F125" s="20">
        <f t="shared" si="40"/>
        <v>8268659.5109871663</v>
      </c>
      <c r="G125" s="20">
        <f t="shared" si="40"/>
        <v>11758212.681316221</v>
      </c>
      <c r="H125" s="20">
        <f t="shared" si="40"/>
        <v>15247765.851645276</v>
      </c>
      <c r="I125" s="20">
        <f t="shared" si="40"/>
        <v>18737319.021974333</v>
      </c>
      <c r="J125" s="20">
        <f t="shared" si="40"/>
        <v>22226872.192303389</v>
      </c>
      <c r="K125" s="20">
        <f t="shared" si="40"/>
        <v>25716425.362632446</v>
      </c>
      <c r="L125" s="20">
        <f t="shared" si="40"/>
        <v>29205978.532961503</v>
      </c>
      <c r="M125" s="20">
        <f t="shared" si="40"/>
        <v>32695531.703290559</v>
      </c>
      <c r="N125" s="9"/>
      <c r="O125" s="40"/>
      <c r="P125" s="9"/>
      <c r="Q125" s="40"/>
      <c r="R125" s="9"/>
      <c r="S125" s="40"/>
      <c r="T125" s="9"/>
      <c r="U125" s="9"/>
      <c r="V125" s="9"/>
      <c r="W125" s="9"/>
      <c r="X125" s="9"/>
      <c r="Y125" s="9"/>
      <c r="Z125" s="9"/>
      <c r="AA125" s="9"/>
      <c r="AB125" s="9"/>
      <c r="AC125" s="9"/>
      <c r="AD125" s="40"/>
      <c r="AE125" s="40"/>
      <c r="AF125" s="40"/>
      <c r="AG125" s="40"/>
      <c r="AH125" s="40"/>
      <c r="AI125" s="40"/>
      <c r="AJ125" s="40"/>
      <c r="AK125" s="40"/>
      <c r="AL125" s="40"/>
      <c r="AM125" s="40"/>
    </row>
    <row r="126" spans="1:39" s="2" customFormat="1">
      <c r="C126" s="9"/>
      <c r="D126" s="9"/>
      <c r="E126" s="40"/>
      <c r="F126" s="9"/>
      <c r="G126" s="40"/>
      <c r="H126" s="9"/>
      <c r="I126" s="40"/>
      <c r="J126" s="9"/>
      <c r="K126" s="40"/>
      <c r="L126" s="9"/>
      <c r="M126" s="40"/>
      <c r="N126" s="9"/>
      <c r="O126" s="40"/>
      <c r="P126" s="9"/>
      <c r="Q126" s="40"/>
      <c r="R126" s="9"/>
      <c r="S126" s="40"/>
      <c r="T126" s="9"/>
      <c r="U126" s="9"/>
      <c r="V126" s="9"/>
      <c r="W126" s="9"/>
      <c r="X126" s="9"/>
      <c r="Y126" s="9"/>
      <c r="Z126" s="9"/>
      <c r="AA126" s="9"/>
      <c r="AB126" s="9"/>
      <c r="AC126" s="9"/>
      <c r="AD126" s="40"/>
      <c r="AE126" s="40"/>
      <c r="AF126" s="40"/>
      <c r="AG126" s="40"/>
      <c r="AH126" s="40"/>
      <c r="AI126" s="40"/>
      <c r="AJ126" s="40"/>
      <c r="AK126" s="40"/>
      <c r="AL126" s="40"/>
      <c r="AM126" s="40"/>
    </row>
    <row r="127" spans="1:39" s="2" customFormat="1">
      <c r="A127" s="49"/>
      <c r="AD127" s="40"/>
      <c r="AE127" s="40"/>
      <c r="AF127" s="40"/>
      <c r="AG127" s="40"/>
      <c r="AH127" s="40"/>
      <c r="AI127" s="40"/>
      <c r="AJ127" s="40"/>
      <c r="AK127" s="40"/>
      <c r="AL127" s="40"/>
      <c r="AM127" s="40"/>
    </row>
    <row r="128" spans="1:39" s="1" customFormat="1">
      <c r="E128" s="2"/>
      <c r="F128" s="2"/>
      <c r="G128" s="2"/>
      <c r="H128" s="2"/>
      <c r="I128" s="2"/>
      <c r="J128" s="2"/>
      <c r="K128" s="2"/>
      <c r="L128" s="2"/>
      <c r="M128" s="2"/>
      <c r="N128" s="2"/>
      <c r="O128" s="2"/>
      <c r="P128" s="2"/>
      <c r="Q128" s="2"/>
      <c r="R128" s="2"/>
      <c r="S128" s="2"/>
      <c r="T128" s="2"/>
      <c r="U128" s="2"/>
      <c r="AD128" s="40"/>
      <c r="AE128" s="40"/>
      <c r="AF128" s="40"/>
      <c r="AG128" s="40"/>
      <c r="AH128" s="40"/>
      <c r="AI128" s="40"/>
      <c r="AJ128" s="40"/>
      <c r="AK128" s="40"/>
      <c r="AL128" s="40"/>
      <c r="AM128" s="40"/>
    </row>
    <row r="129" spans="1:39" s="2" customFormat="1">
      <c r="A129" s="49"/>
      <c r="AD129" s="40"/>
      <c r="AE129" s="40"/>
      <c r="AF129" s="40"/>
      <c r="AG129" s="40"/>
      <c r="AH129" s="40"/>
      <c r="AI129" s="40"/>
      <c r="AJ129" s="40"/>
      <c r="AK129" s="40"/>
      <c r="AL129" s="40"/>
      <c r="AM129" s="40"/>
    </row>
    <row r="130" spans="1:39" s="1" customFormat="1">
      <c r="E130" s="2"/>
      <c r="F130" s="2"/>
      <c r="G130" s="2"/>
      <c r="H130" s="2"/>
      <c r="I130" s="2"/>
      <c r="J130" s="2"/>
      <c r="K130" s="2"/>
      <c r="L130" s="2"/>
      <c r="M130" s="2"/>
      <c r="N130" s="2"/>
      <c r="O130" s="2"/>
      <c r="P130" s="2"/>
      <c r="Q130" s="2"/>
      <c r="R130" s="2"/>
      <c r="S130" s="2"/>
      <c r="T130" s="2"/>
      <c r="U130" s="2"/>
      <c r="AD130" s="40"/>
      <c r="AE130" s="40"/>
      <c r="AF130" s="40"/>
      <c r="AG130" s="40"/>
      <c r="AH130" s="40"/>
      <c r="AI130" s="40"/>
      <c r="AJ130" s="40"/>
      <c r="AK130" s="40"/>
      <c r="AL130" s="40"/>
      <c r="AM130" s="40"/>
    </row>
    <row r="131" spans="1:39" s="2" customFormat="1">
      <c r="AD131" s="40"/>
      <c r="AE131" s="40"/>
      <c r="AF131" s="40"/>
      <c r="AG131" s="40"/>
      <c r="AH131" s="40"/>
      <c r="AI131" s="40"/>
      <c r="AJ131" s="40"/>
      <c r="AK131" s="40"/>
      <c r="AL131" s="40"/>
      <c r="AM131" s="40"/>
    </row>
    <row r="132" spans="1:39" s="1" customFormat="1">
      <c r="E132" s="2"/>
      <c r="F132" s="2"/>
      <c r="G132" s="2"/>
      <c r="H132" s="2"/>
      <c r="I132" s="2"/>
      <c r="J132" s="2"/>
      <c r="K132" s="2"/>
      <c r="L132" s="2"/>
      <c r="M132" s="2"/>
      <c r="N132" s="2"/>
      <c r="O132" s="2"/>
      <c r="P132" s="2"/>
      <c r="Q132" s="2"/>
      <c r="R132" s="2"/>
      <c r="S132" s="2"/>
      <c r="T132" s="2"/>
      <c r="U132" s="2"/>
      <c r="AD132" s="40"/>
      <c r="AE132" s="40"/>
      <c r="AF132" s="40"/>
      <c r="AG132" s="40"/>
      <c r="AH132" s="40"/>
      <c r="AI132" s="40"/>
      <c r="AJ132" s="40"/>
      <c r="AK132" s="40"/>
      <c r="AL132" s="40"/>
      <c r="AM132" s="40"/>
    </row>
    <row r="133" spans="1:39" s="2" customFormat="1"/>
    <row r="134" spans="1:39" s="2" customFormat="1"/>
    <row r="135" spans="1:39" s="2" customFormat="1"/>
    <row r="136" spans="1:39" s="2" customFormat="1"/>
    <row r="137" spans="1:39" s="2" customFormat="1"/>
    <row r="138" spans="1:39" s="2" customFormat="1"/>
    <row r="139" spans="1:39" s="2" customFormat="1"/>
    <row r="140" spans="1:39" s="2" customFormat="1"/>
    <row r="141" spans="1:39" s="2" customFormat="1"/>
    <row r="142" spans="1:39" s="2" customFormat="1"/>
    <row r="143" spans="1:39" s="2" customFormat="1"/>
    <row r="144" spans="1:39"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sheetData>
  <hyperlinks>
    <hyperlink ref="W20" r:id="rId1" xr:uid="{99B3E99B-1934-430F-BC48-C3A68AF370B3}"/>
  </hyperlinks>
  <pageMargins left="0.7" right="0.7" top="0.75" bottom="0.75" header="0.3" footer="0.3"/>
  <pageSetup paperSize="9" orientation="portrait" verticalDpi="0"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AFB98-1B7F-4D94-B0EA-14B1B9A7E07A}">
  <dimension ref="A1:ER300"/>
  <sheetViews>
    <sheetView zoomScaleNormal="100" workbookViewId="0">
      <selection activeCell="E32" sqref="E32"/>
    </sheetView>
  </sheetViews>
  <sheetFormatPr defaultRowHeight="15"/>
  <cols>
    <col min="1" max="1" width="50" customWidth="1"/>
    <col min="2" max="2" width="20.28515625" bestFit="1" customWidth="1"/>
    <col min="3" max="3" width="18.7109375" bestFit="1" customWidth="1"/>
    <col min="4" max="4" width="16.7109375" customWidth="1"/>
    <col min="5" max="5" width="19.28515625" bestFit="1" customWidth="1"/>
    <col min="6" max="6" width="15.7109375" bestFit="1" customWidth="1"/>
    <col min="7" max="13" width="19.140625" customWidth="1"/>
  </cols>
  <sheetData>
    <row r="1" spans="1:15" s="2" customFormat="1"/>
    <row r="2" spans="1:15" s="11" customFormat="1">
      <c r="A2" s="10" t="s">
        <v>33</v>
      </c>
    </row>
    <row r="3" spans="1:15" s="2" customFormat="1"/>
    <row r="4" spans="1:15" s="2" customFormat="1">
      <c r="E4" s="1" t="s">
        <v>139</v>
      </c>
      <c r="I4" s="1"/>
    </row>
    <row r="5" spans="1:15" s="2" customFormat="1">
      <c r="A5" s="2" t="s">
        <v>140</v>
      </c>
      <c r="B5" s="12">
        <f>581662</f>
        <v>581662</v>
      </c>
      <c r="E5" s="2" t="s">
        <v>141</v>
      </c>
    </row>
    <row r="6" spans="1:15" s="2" customFormat="1">
      <c r="A6" s="2" t="s">
        <v>142</v>
      </c>
      <c r="B6" s="12">
        <v>50757</v>
      </c>
      <c r="E6" s="49" t="s">
        <v>143</v>
      </c>
    </row>
    <row r="7" spans="1:15" s="2" customFormat="1">
      <c r="A7" s="2" t="s">
        <v>144</v>
      </c>
      <c r="B7" s="14">
        <f>B5-B6</f>
        <v>530905</v>
      </c>
    </row>
    <row r="8" spans="1:15" s="2" customFormat="1"/>
    <row r="9" spans="1:15" s="2" customFormat="1">
      <c r="A9" s="1" t="s">
        <v>145</v>
      </c>
      <c r="C9" s="1" t="s">
        <v>58</v>
      </c>
    </row>
    <row r="10" spans="1:15" s="2" customFormat="1">
      <c r="A10" s="2" t="s">
        <v>146</v>
      </c>
      <c r="B10" s="12">
        <v>10632.8</v>
      </c>
      <c r="C10" s="18">
        <f>B10/$B$13</f>
        <v>0.48849154208741835</v>
      </c>
      <c r="E10" s="5" t="s">
        <v>147</v>
      </c>
      <c r="H10" s="5"/>
      <c r="I10" s="5"/>
      <c r="O10" s="13"/>
    </row>
    <row r="11" spans="1:15" s="2" customFormat="1">
      <c r="A11" s="2" t="s">
        <v>148</v>
      </c>
      <c r="B11" s="12">
        <v>10764.4</v>
      </c>
      <c r="C11" s="18">
        <f t="shared" ref="C11:C12" si="0">B11/$B$13</f>
        <v>0.49453750241195227</v>
      </c>
      <c r="E11" s="5" t="s">
        <v>147</v>
      </c>
      <c r="H11" s="5"/>
      <c r="I11" s="5"/>
      <c r="O11" s="13"/>
    </row>
    <row r="12" spans="1:15" s="2" customFormat="1">
      <c r="A12" s="2" t="s">
        <v>149</v>
      </c>
      <c r="B12" s="12">
        <v>369.4</v>
      </c>
      <c r="C12" s="18">
        <f t="shared" si="0"/>
        <v>1.6970955500629405E-2</v>
      </c>
      <c r="E12" s="5" t="s">
        <v>147</v>
      </c>
      <c r="H12" s="5"/>
      <c r="I12" s="5"/>
    </row>
    <row r="13" spans="1:15" s="2" customFormat="1">
      <c r="B13" s="14">
        <f>SUM(B10:B12)</f>
        <v>21766.6</v>
      </c>
    </row>
    <row r="14" spans="1:15" s="2" customFormat="1"/>
    <row r="15" spans="1:15" s="2" customFormat="1">
      <c r="A15" s="2" t="s">
        <v>150</v>
      </c>
      <c r="B15" s="12">
        <v>11197100000</v>
      </c>
      <c r="E15" s="2" t="s">
        <v>40</v>
      </c>
    </row>
    <row r="16" spans="1:15" s="2" customFormat="1">
      <c r="A16" s="2" t="s">
        <v>151</v>
      </c>
      <c r="B16" s="12">
        <v>10223000000</v>
      </c>
      <c r="E16" s="2" t="s">
        <v>40</v>
      </c>
    </row>
    <row r="17" spans="1:15" s="2" customFormat="1"/>
    <row r="18" spans="1:15" s="2" customFormat="1">
      <c r="A18" s="2" t="s">
        <v>152</v>
      </c>
      <c r="B18" s="15">
        <f>B13/B16</f>
        <v>2.1291793015748801E-6</v>
      </c>
    </row>
    <row r="19" spans="1:15" s="2" customFormat="1"/>
    <row r="20" spans="1:15" s="2" customFormat="1">
      <c r="A20" s="2" t="s">
        <v>153</v>
      </c>
      <c r="B20" s="14">
        <f>B16/B5</f>
        <v>17575.499173059266</v>
      </c>
    </row>
    <row r="21" spans="1:15" s="2" customFormat="1"/>
    <row r="22" spans="1:15" s="2" customFormat="1">
      <c r="A22" s="1" t="s">
        <v>154</v>
      </c>
    </row>
    <row r="23" spans="1:15" s="2" customFormat="1">
      <c r="A23" s="2" t="s">
        <v>155</v>
      </c>
      <c r="B23" s="24">
        <v>289930000</v>
      </c>
      <c r="E23" s="2" t="s">
        <v>156</v>
      </c>
    </row>
    <row r="24" spans="1:15" s="2" customFormat="1">
      <c r="A24" s="2" t="s">
        <v>157</v>
      </c>
      <c r="B24" s="24">
        <v>895320000</v>
      </c>
      <c r="E24" s="2" t="s">
        <v>156</v>
      </c>
    </row>
    <row r="25" spans="1:15" s="2" customFormat="1">
      <c r="A25" s="1" t="s">
        <v>158</v>
      </c>
      <c r="B25" s="20">
        <f>SUM(B23:B24)</f>
        <v>1185250000</v>
      </c>
    </row>
    <row r="26" spans="1:15" s="2" customFormat="1">
      <c r="E26" s="13"/>
      <c r="H26" s="13"/>
      <c r="I26" s="13"/>
    </row>
    <row r="27" spans="1:15" s="2" customFormat="1">
      <c r="A27" s="2" t="s">
        <v>159</v>
      </c>
      <c r="B27" s="14">
        <f>B25/B5</f>
        <v>2037.6954313673577</v>
      </c>
      <c r="E27" s="13"/>
      <c r="H27" s="16"/>
      <c r="I27" s="13"/>
      <c r="O27" s="17"/>
    </row>
    <row r="28" spans="1:15" s="2" customFormat="1">
      <c r="J28" s="13"/>
      <c r="O28" s="13"/>
    </row>
    <row r="29" spans="1:15" s="2" customFormat="1" ht="30">
      <c r="A29" s="35" t="s">
        <v>160</v>
      </c>
      <c r="B29" s="19">
        <f>B30/B27</f>
        <v>5.7417805526260281E-2</v>
      </c>
      <c r="L29" s="13"/>
    </row>
    <row r="30" spans="1:15" s="2" customFormat="1">
      <c r="A30" s="2" t="s">
        <v>161</v>
      </c>
      <c r="B30" s="24">
        <v>117</v>
      </c>
      <c r="E30" s="2" t="s">
        <v>42</v>
      </c>
      <c r="F30" s="13"/>
      <c r="G30" s="13"/>
      <c r="H30" s="13"/>
      <c r="O30" s="13"/>
    </row>
    <row r="31" spans="1:15" s="2" customFormat="1">
      <c r="J31" s="13"/>
      <c r="O31" s="13"/>
    </row>
    <row r="32" spans="1:15" s="2" customFormat="1">
      <c r="A32" s="2" t="s">
        <v>162</v>
      </c>
      <c r="B32" s="31">
        <v>-6.5000000000000002E-2</v>
      </c>
      <c r="E32" s="2" t="s">
        <v>163</v>
      </c>
    </row>
    <row r="33" spans="1:10" s="2" customFormat="1">
      <c r="A33" s="2" t="s">
        <v>164</v>
      </c>
      <c r="B33" s="24">
        <v>-0.4</v>
      </c>
      <c r="E33" s="2" t="s">
        <v>42</v>
      </c>
    </row>
    <row r="34" spans="1:10" s="2" customFormat="1">
      <c r="E34" s="13"/>
      <c r="J34" s="13"/>
    </row>
    <row r="35" spans="1:10" s="2" customFormat="1">
      <c r="A35" s="2" t="s">
        <v>165</v>
      </c>
      <c r="B35" s="24">
        <v>47.1</v>
      </c>
      <c r="E35" s="2" t="s">
        <v>76</v>
      </c>
      <c r="J35" s="13"/>
    </row>
    <row r="36" spans="1:10" s="2" customFormat="1">
      <c r="A36" s="2" t="s">
        <v>166</v>
      </c>
      <c r="B36" s="24">
        <v>0.74070000000000003</v>
      </c>
      <c r="E36" s="2" t="s">
        <v>76</v>
      </c>
      <c r="J36" s="13"/>
    </row>
    <row r="37" spans="1:10" s="2" customFormat="1">
      <c r="A37" s="2" t="s">
        <v>167</v>
      </c>
      <c r="B37" s="24">
        <v>1000</v>
      </c>
      <c r="E37" s="2" t="s">
        <v>168</v>
      </c>
      <c r="J37" s="13"/>
    </row>
    <row r="38" spans="1:10" s="2" customFormat="1">
      <c r="A38" s="2" t="s">
        <v>169</v>
      </c>
      <c r="B38" s="24">
        <v>330</v>
      </c>
      <c r="E38" s="2" t="s">
        <v>79</v>
      </c>
      <c r="J38" s="13"/>
    </row>
    <row r="39" spans="1:10" s="2" customFormat="1">
      <c r="A39" s="2" t="s">
        <v>170</v>
      </c>
      <c r="B39" s="24">
        <v>1.33</v>
      </c>
      <c r="E39" s="2" t="s">
        <v>171</v>
      </c>
      <c r="J39" s="13"/>
    </row>
    <row r="40" spans="1:10" s="2" customFormat="1">
      <c r="A40" s="2" t="s">
        <v>172</v>
      </c>
      <c r="B40" s="18">
        <v>0.2</v>
      </c>
      <c r="E40" s="2" t="s">
        <v>173</v>
      </c>
      <c r="J40" s="13"/>
    </row>
    <row r="41" spans="1:10" s="2" customFormat="1">
      <c r="J41" s="13"/>
    </row>
    <row r="42" spans="1:10" s="2" customFormat="1">
      <c r="A42" s="2" t="s">
        <v>75</v>
      </c>
      <c r="B42" s="24">
        <v>45.66</v>
      </c>
      <c r="E42" s="2" t="s">
        <v>76</v>
      </c>
      <c r="J42" s="13"/>
    </row>
    <row r="43" spans="1:10" s="2" customFormat="1">
      <c r="A43" s="2" t="s">
        <v>77</v>
      </c>
      <c r="B43" s="24">
        <v>0.84389999999999998</v>
      </c>
      <c r="E43" s="2" t="s">
        <v>76</v>
      </c>
      <c r="J43" s="13"/>
    </row>
    <row r="44" spans="1:10" s="2" customFormat="1">
      <c r="A44" s="2" t="s">
        <v>78</v>
      </c>
      <c r="B44" s="24">
        <v>493</v>
      </c>
      <c r="E44" s="2" t="s">
        <v>79</v>
      </c>
      <c r="J44" s="13"/>
    </row>
    <row r="45" spans="1:10" s="2" customFormat="1">
      <c r="A45" s="2" t="s">
        <v>174</v>
      </c>
      <c r="B45" s="31">
        <v>1.306</v>
      </c>
      <c r="E45" s="2" t="s">
        <v>171</v>
      </c>
      <c r="J45" s="13"/>
    </row>
    <row r="46" spans="1:10" s="2" customFormat="1">
      <c r="J46" s="13"/>
    </row>
    <row r="47" spans="1:10" s="2" customFormat="1">
      <c r="A47" s="2" t="s">
        <v>175</v>
      </c>
      <c r="B47" s="24">
        <v>50.08</v>
      </c>
      <c r="E47" s="2" t="s">
        <v>76</v>
      </c>
      <c r="J47" s="13"/>
    </row>
    <row r="48" spans="1:10" s="2" customFormat="1">
      <c r="A48" s="2" t="s">
        <v>176</v>
      </c>
      <c r="B48" s="24">
        <v>55.79</v>
      </c>
      <c r="E48" s="2" t="s">
        <v>79</v>
      </c>
      <c r="J48" s="13"/>
    </row>
    <row r="49" spans="1:10" s="2" customFormat="1">
      <c r="A49" s="2" t="s">
        <v>177</v>
      </c>
      <c r="B49" s="24">
        <v>0.64300000000000002</v>
      </c>
      <c r="E49" s="2" t="s">
        <v>171</v>
      </c>
      <c r="J49" s="13"/>
    </row>
    <row r="50" spans="1:10" s="2" customFormat="1">
      <c r="J50" s="13"/>
    </row>
    <row r="51" spans="1:10" s="2" customFormat="1">
      <c r="A51" s="2" t="s">
        <v>82</v>
      </c>
      <c r="B51" s="24">
        <v>1000</v>
      </c>
      <c r="E51" s="2" t="s">
        <v>76</v>
      </c>
      <c r="J51" s="13"/>
    </row>
    <row r="52" spans="1:10" s="2" customFormat="1">
      <c r="J52" s="13"/>
    </row>
    <row r="53" spans="1:10" s="2" customFormat="1">
      <c r="A53" s="2" t="s">
        <v>85</v>
      </c>
      <c r="B53" s="30">
        <f>'Teekasutus (aja)'!B49</f>
        <v>26018800000</v>
      </c>
      <c r="C53" s="8"/>
      <c r="J53" s="13"/>
    </row>
    <row r="54" spans="1:10" s="2" customFormat="1">
      <c r="J54" s="13"/>
    </row>
    <row r="55" spans="1:10" s="2" customFormat="1">
      <c r="A55" s="2" t="s">
        <v>87</v>
      </c>
      <c r="B55" s="30">
        <f>'Teekasutus (aja)'!B50</f>
        <v>2200000</v>
      </c>
      <c r="E55" s="2" t="s">
        <v>178</v>
      </c>
      <c r="J55" s="13"/>
    </row>
    <row r="56" spans="1:10" s="2" customFormat="1" ht="30">
      <c r="A56" s="35" t="s">
        <v>89</v>
      </c>
      <c r="B56" s="19">
        <f>'Teekasutus (aja)'!B51</f>
        <v>5.1999999999999998E-3</v>
      </c>
      <c r="J56" s="13"/>
    </row>
    <row r="57" spans="1:10" s="2" customFormat="1">
      <c r="J57" s="13"/>
    </row>
    <row r="58" spans="1:10" s="2" customFormat="1">
      <c r="A58" s="2" t="s">
        <v>179</v>
      </c>
      <c r="B58" s="24">
        <v>251.62894800000075</v>
      </c>
      <c r="E58" s="2" t="s">
        <v>81</v>
      </c>
      <c r="J58" s="13"/>
    </row>
    <row r="59" spans="1:10" s="2" customFormat="1">
      <c r="A59" s="2" t="s">
        <v>80</v>
      </c>
      <c r="B59" s="24">
        <v>269.79418800000076</v>
      </c>
      <c r="E59" s="2" t="s">
        <v>81</v>
      </c>
      <c r="J59" s="13"/>
    </row>
    <row r="60" spans="1:10" s="2" customFormat="1">
      <c r="A60" s="2" t="s">
        <v>180</v>
      </c>
      <c r="B60" s="24">
        <v>202.15728000000058</v>
      </c>
      <c r="E60" s="2" t="s">
        <v>81</v>
      </c>
      <c r="J60" s="13"/>
    </row>
    <row r="61" spans="1:10" s="2" customFormat="1">
      <c r="A61" s="51" t="s">
        <v>331</v>
      </c>
      <c r="B61" s="52">
        <v>0.9</v>
      </c>
      <c r="E61" s="51" t="s">
        <v>332</v>
      </c>
      <c r="J61" s="13"/>
    </row>
    <row r="62" spans="1:10" s="2" customFormat="1">
      <c r="J62" s="13"/>
    </row>
    <row r="63" spans="1:10" s="2" customFormat="1">
      <c r="A63" s="2" t="s">
        <v>83</v>
      </c>
      <c r="B63" s="24">
        <v>3.6</v>
      </c>
      <c r="E63" s="2" t="s">
        <v>76</v>
      </c>
      <c r="J63" s="13"/>
    </row>
    <row r="64" spans="1:10" s="2" customFormat="1">
      <c r="J64" s="13"/>
    </row>
    <row r="65" spans="1:14" s="11" customFormat="1">
      <c r="A65" s="10" t="s">
        <v>91</v>
      </c>
    </row>
    <row r="66" spans="1:14" s="2" customFormat="1">
      <c r="J66" s="13"/>
    </row>
    <row r="67" spans="1:14" s="2" customFormat="1">
      <c r="A67" s="2" t="s">
        <v>181</v>
      </c>
      <c r="B67" s="19">
        <f>B29</f>
        <v>5.7417805526260281E-2</v>
      </c>
      <c r="J67" s="13"/>
    </row>
    <row r="68" spans="1:14" s="2" customFormat="1">
      <c r="A68" s="2" t="s">
        <v>55</v>
      </c>
      <c r="B68" s="30">
        <f>B32</f>
        <v>-6.5000000000000002E-2</v>
      </c>
      <c r="J68" s="13"/>
    </row>
    <row r="69" spans="1:14" s="2" customFormat="1">
      <c r="A69" s="2" t="s">
        <v>182</v>
      </c>
      <c r="B69" s="19">
        <f>B67*B68</f>
        <v>-3.7321573592069184E-3</v>
      </c>
    </row>
    <row r="70" spans="1:14" s="2" customFormat="1"/>
    <row r="71" spans="1:14" s="2" customFormat="1">
      <c r="A71" s="2" t="s">
        <v>183</v>
      </c>
      <c r="B71" s="14">
        <f>B7*B69</f>
        <v>-1981.4210027897491</v>
      </c>
    </row>
    <row r="72" spans="1:14" s="2" customFormat="1"/>
    <row r="73" spans="1:14" s="2" customFormat="1">
      <c r="A73" s="2" t="s">
        <v>184</v>
      </c>
      <c r="B73" s="14">
        <f>B71*B20</f>
        <v>-34824463.196013495</v>
      </c>
      <c r="I73" s="13"/>
      <c r="N73" s="13"/>
    </row>
    <row r="74" spans="1:14" s="2" customFormat="1">
      <c r="N74" s="13"/>
    </row>
    <row r="75" spans="1:14" s="2" customFormat="1">
      <c r="A75" s="2" t="s">
        <v>185</v>
      </c>
      <c r="B75" s="14">
        <f>B73*B18</f>
        <v>-74.147526225408129</v>
      </c>
    </row>
    <row r="76" spans="1:14" s="2" customFormat="1">
      <c r="A76" s="2" t="s">
        <v>186</v>
      </c>
      <c r="B76" s="14">
        <f>B75/B63</f>
        <v>-20.59653506261337</v>
      </c>
    </row>
    <row r="77" spans="1:14" s="2" customFormat="1"/>
    <row r="78" spans="1:14" s="2" customFormat="1">
      <c r="A78" s="1" t="s">
        <v>187</v>
      </c>
      <c r="B78" s="50" t="s">
        <v>108</v>
      </c>
      <c r="C78" s="50" t="s">
        <v>107</v>
      </c>
    </row>
    <row r="79" spans="1:14" s="2" customFormat="1">
      <c r="A79" s="2" t="s">
        <v>188</v>
      </c>
      <c r="B79" s="14">
        <f>$B$76*C10</f>
        <v>-10.061233174393587</v>
      </c>
      <c r="C79" s="14">
        <f>$B$75*C10</f>
        <v>-36.220439427816913</v>
      </c>
    </row>
    <row r="80" spans="1:14" s="2" customFormat="1">
      <c r="A80" s="2" t="s">
        <v>189</v>
      </c>
      <c r="B80" s="14">
        <f>$B$76*C11</f>
        <v>-10.185759008205018</v>
      </c>
      <c r="C80" s="14">
        <f>$B$75*C11</f>
        <v>-36.668732429538068</v>
      </c>
    </row>
    <row r="81" spans="1:3" s="2" customFormat="1">
      <c r="A81" s="2" t="s">
        <v>190</v>
      </c>
      <c r="B81" s="14">
        <f>$B$76*C12</f>
        <v>-0.3495428800147648</v>
      </c>
      <c r="C81" s="14">
        <f>$B$75*C12</f>
        <v>-1.2583543680531533</v>
      </c>
    </row>
    <row r="82" spans="1:3" s="2" customFormat="1"/>
    <row r="83" spans="1:3" s="11" customFormat="1">
      <c r="A83" s="10" t="s">
        <v>110</v>
      </c>
    </row>
    <row r="84" spans="1:3" s="2" customFormat="1"/>
    <row r="85" spans="1:3" s="2" customFormat="1">
      <c r="A85" s="2" t="s">
        <v>191</v>
      </c>
      <c r="B85" s="14">
        <f>B7+B71</f>
        <v>528923.57899721025</v>
      </c>
    </row>
    <row r="86" spans="1:3" s="2" customFormat="1">
      <c r="A86" s="2" t="s">
        <v>192</v>
      </c>
      <c r="B86" s="14">
        <f>B30</f>
        <v>117</v>
      </c>
    </row>
    <row r="87" spans="1:3" s="2" customFormat="1">
      <c r="A87" s="2" t="s">
        <v>193</v>
      </c>
      <c r="B87" s="20">
        <f>B85*B86</f>
        <v>61884058.742673598</v>
      </c>
    </row>
    <row r="88" spans="1:3" s="2" customFormat="1"/>
    <row r="89" spans="1:3" s="2" customFormat="1">
      <c r="A89" s="2" t="s">
        <v>165</v>
      </c>
      <c r="B89" s="14">
        <f>B35</f>
        <v>47.1</v>
      </c>
    </row>
    <row r="90" spans="1:3" s="2" customFormat="1">
      <c r="A90" s="2" t="s">
        <v>166</v>
      </c>
      <c r="B90" s="14">
        <f>B36</f>
        <v>0.74070000000000003</v>
      </c>
    </row>
    <row r="91" spans="1:3" s="2" customFormat="1">
      <c r="A91" s="2" t="s">
        <v>167</v>
      </c>
      <c r="B91" s="14">
        <f>B37</f>
        <v>1000</v>
      </c>
    </row>
    <row r="92" spans="1:3" s="2" customFormat="1">
      <c r="A92" s="2" t="s">
        <v>194</v>
      </c>
      <c r="B92" s="14">
        <f>B91*B90/B37</f>
        <v>0.74070000000000003</v>
      </c>
    </row>
    <row r="93" spans="1:3" s="2" customFormat="1">
      <c r="A93" s="2" t="s">
        <v>195</v>
      </c>
      <c r="B93" s="14">
        <f>B92*B89/B51</f>
        <v>3.4886970000000003E-2</v>
      </c>
    </row>
    <row r="94" spans="1:3" s="2" customFormat="1">
      <c r="A94" s="2" t="s">
        <v>196</v>
      </c>
      <c r="B94" s="14">
        <f>B91/B93</f>
        <v>28663.996901995211</v>
      </c>
    </row>
    <row r="95" spans="1:3" s="2" customFormat="1">
      <c r="A95" s="2" t="s">
        <v>197</v>
      </c>
      <c r="B95" s="14">
        <f>B94*C79</f>
        <v>-1038222.5635478492</v>
      </c>
    </row>
    <row r="96" spans="1:3" s="2" customFormat="1">
      <c r="A96" s="2" t="s">
        <v>169</v>
      </c>
      <c r="B96" s="14">
        <f>B38</f>
        <v>330</v>
      </c>
    </row>
    <row r="97" spans="1:10" s="2" customFormat="1">
      <c r="A97" s="2" t="s">
        <v>198</v>
      </c>
      <c r="B97" s="20">
        <f>(B95/B91)*B96</f>
        <v>-342613.44597079023</v>
      </c>
    </row>
    <row r="98" spans="1:10" s="2" customFormat="1">
      <c r="A98" s="2" t="s">
        <v>170</v>
      </c>
      <c r="B98" s="14">
        <f>B39</f>
        <v>1.33</v>
      </c>
    </row>
    <row r="99" spans="1:10" s="2" customFormat="1">
      <c r="A99" s="2" t="s">
        <v>199</v>
      </c>
      <c r="B99" s="14">
        <f>B98-(B98/(1+B40))</f>
        <v>0.22166666666666668</v>
      </c>
    </row>
    <row r="100" spans="1:10" s="2" customFormat="1">
      <c r="A100" s="2" t="s">
        <v>200</v>
      </c>
      <c r="B100" s="20">
        <f>B95*B99</f>
        <v>-230139.33491977325</v>
      </c>
    </row>
    <row r="101" spans="1:10" s="2" customFormat="1">
      <c r="J101" s="13"/>
    </row>
    <row r="102" spans="1:10" s="2" customFormat="1">
      <c r="A102" s="2" t="s">
        <v>75</v>
      </c>
      <c r="B102" s="14">
        <f>B42</f>
        <v>45.66</v>
      </c>
    </row>
    <row r="103" spans="1:10" s="2" customFormat="1">
      <c r="A103" s="2" t="s">
        <v>77</v>
      </c>
      <c r="B103" s="14">
        <f>B43</f>
        <v>0.84389999999999998</v>
      </c>
    </row>
    <row r="104" spans="1:10" s="2" customFormat="1">
      <c r="A104" s="2" t="s">
        <v>167</v>
      </c>
      <c r="B104" s="14">
        <f>B91</f>
        <v>1000</v>
      </c>
    </row>
    <row r="105" spans="1:10" s="2" customFormat="1">
      <c r="A105" s="2" t="s">
        <v>194</v>
      </c>
      <c r="B105" s="14">
        <f>B104*B103/B104</f>
        <v>0.84389999999999998</v>
      </c>
    </row>
    <row r="106" spans="1:10" s="2" customFormat="1">
      <c r="A106" s="2" t="s">
        <v>195</v>
      </c>
      <c r="B106" s="21">
        <f>B105*B102/B51</f>
        <v>3.853247399999999E-2</v>
      </c>
    </row>
    <row r="107" spans="1:10" s="2" customFormat="1">
      <c r="A107" s="2" t="s">
        <v>196</v>
      </c>
      <c r="B107" s="14">
        <f>B104/B106</f>
        <v>25952.135852995067</v>
      </c>
    </row>
    <row r="108" spans="1:10" s="2" customFormat="1">
      <c r="A108" s="2" t="s">
        <v>201</v>
      </c>
      <c r="B108" s="14">
        <f>B107*C80</f>
        <v>-951631.92556849774</v>
      </c>
    </row>
    <row r="109" spans="1:10" s="2" customFormat="1">
      <c r="A109" s="2" t="s">
        <v>78</v>
      </c>
      <c r="B109" s="14">
        <f>B44</f>
        <v>493</v>
      </c>
    </row>
    <row r="110" spans="1:10" s="2" customFormat="1">
      <c r="A110" s="2" t="s">
        <v>202</v>
      </c>
      <c r="B110" s="20">
        <f>(B108/B104)*B109</f>
        <v>-469154.53930526937</v>
      </c>
    </row>
    <row r="111" spans="1:10" s="2" customFormat="1">
      <c r="A111" s="2" t="s">
        <v>174</v>
      </c>
      <c r="B111" s="14">
        <f>B45</f>
        <v>1.306</v>
      </c>
    </row>
    <row r="112" spans="1:10" s="2" customFormat="1">
      <c r="A112" s="2" t="s">
        <v>199</v>
      </c>
      <c r="B112" s="14">
        <f>B111-(B111/(1+B40))</f>
        <v>0.21766666666666667</v>
      </c>
    </row>
    <row r="113" spans="1:2" s="2" customFormat="1">
      <c r="A113" s="2" t="s">
        <v>200</v>
      </c>
      <c r="B113" s="20">
        <f>B108*B112</f>
        <v>-207138.54913207635</v>
      </c>
    </row>
    <row r="114" spans="1:2" s="2" customFormat="1"/>
    <row r="115" spans="1:2" s="2" customFormat="1">
      <c r="A115" s="2" t="s">
        <v>175</v>
      </c>
      <c r="B115" s="14">
        <f>B47</f>
        <v>50.08</v>
      </c>
    </row>
    <row r="116" spans="1:2" s="2" customFormat="1">
      <c r="A116" s="2" t="s">
        <v>195</v>
      </c>
      <c r="B116" s="14">
        <f>B115/B51</f>
        <v>5.008E-2</v>
      </c>
    </row>
    <row r="117" spans="1:2" s="2" customFormat="1">
      <c r="A117" s="2" t="s">
        <v>203</v>
      </c>
      <c r="B117" s="14">
        <f>C81/B116</f>
        <v>-25.126884346109289</v>
      </c>
    </row>
    <row r="118" spans="1:2" s="2" customFormat="1">
      <c r="A118" s="2" t="s">
        <v>176</v>
      </c>
      <c r="B118" s="14">
        <f>B48</f>
        <v>55.79</v>
      </c>
    </row>
    <row r="119" spans="1:2" s="2" customFormat="1">
      <c r="A119" s="2" t="s">
        <v>204</v>
      </c>
      <c r="B119" s="20">
        <f>B117*B118</f>
        <v>-1401.8288776694371</v>
      </c>
    </row>
    <row r="120" spans="1:2" s="2" customFormat="1">
      <c r="A120" s="2" t="s">
        <v>177</v>
      </c>
      <c r="B120" s="14">
        <f>B49</f>
        <v>0.64300000000000002</v>
      </c>
    </row>
    <row r="121" spans="1:2" s="2" customFormat="1">
      <c r="A121" s="2" t="s">
        <v>205</v>
      </c>
      <c r="B121" s="14">
        <f>B120-(B120/(1+B40))</f>
        <v>0.10716666666666663</v>
      </c>
    </row>
    <row r="122" spans="1:2" s="2" customFormat="1">
      <c r="A122" s="2" t="s">
        <v>200</v>
      </c>
      <c r="B122" s="20">
        <f>(B117*'Teekasutus (aja)'!B47)*B121</f>
        <v>-2692.7644390913779</v>
      </c>
    </row>
    <row r="123" spans="1:2" s="2" customFormat="1"/>
    <row r="124" spans="1:2" s="2" customFormat="1">
      <c r="A124" s="2" t="s">
        <v>206</v>
      </c>
      <c r="B124" s="20">
        <f>B97+B110+B119</f>
        <v>-813169.81415372901</v>
      </c>
    </row>
    <row r="125" spans="1:2" s="2" customFormat="1">
      <c r="A125" s="2" t="s">
        <v>207</v>
      </c>
      <c r="B125" s="20">
        <f>B113+B100+B122</f>
        <v>-439970.64849094098</v>
      </c>
    </row>
    <row r="126" spans="1:2" s="2" customFormat="1"/>
    <row r="127" spans="1:2" s="2" customFormat="1">
      <c r="A127" s="2" t="s">
        <v>208</v>
      </c>
      <c r="B127" s="14">
        <f>B15</f>
        <v>11197100000</v>
      </c>
    </row>
    <row r="128" spans="1:2" s="2" customFormat="1">
      <c r="A128" s="2" t="s">
        <v>184</v>
      </c>
      <c r="B128" s="14">
        <f>-B73</f>
        <v>34824463.196013495</v>
      </c>
    </row>
    <row r="129" spans="1:148" s="2" customFormat="1">
      <c r="A129" s="2" t="s">
        <v>209</v>
      </c>
      <c r="B129" s="19">
        <f>B128/B127</f>
        <v>3.1101323732049811E-3</v>
      </c>
    </row>
    <row r="130" spans="1:148" s="2" customFormat="1"/>
    <row r="131" spans="1:148" s="2" customFormat="1">
      <c r="A131" s="2" t="s">
        <v>164</v>
      </c>
      <c r="B131" s="14">
        <f>B33</f>
        <v>-0.4</v>
      </c>
    </row>
    <row r="132" spans="1:148" s="2" customFormat="1">
      <c r="A132" s="2" t="s">
        <v>210</v>
      </c>
      <c r="B132" s="19">
        <f>B129*B131</f>
        <v>-1.2440529492819925E-3</v>
      </c>
    </row>
    <row r="133" spans="1:148" s="2" customFormat="1">
      <c r="A133" s="1" t="s">
        <v>127</v>
      </c>
      <c r="B133" s="20">
        <f>B132*B53</f>
        <v>-32368764.876778305</v>
      </c>
    </row>
    <row r="134" spans="1:148" s="2" customFormat="1"/>
    <row r="135" spans="1:148" s="2" customFormat="1">
      <c r="A135" s="2" t="s">
        <v>87</v>
      </c>
      <c r="B135" s="14">
        <f>B55</f>
        <v>2200000</v>
      </c>
    </row>
    <row r="136" spans="1:148" s="2" customFormat="1">
      <c r="A136" s="2" t="s">
        <v>211</v>
      </c>
      <c r="B136" s="14">
        <f>B56*B87</f>
        <v>321797.10546190268</v>
      </c>
    </row>
    <row r="137" spans="1:148" s="2" customFormat="1"/>
    <row r="138" spans="1:148" s="11" customFormat="1">
      <c r="A138" s="10" t="s">
        <v>11</v>
      </c>
    </row>
    <row r="139" spans="1:148" s="2" customFormat="1"/>
    <row r="140" spans="1:148" s="2" customFormat="1">
      <c r="A140" s="1" t="s">
        <v>121</v>
      </c>
    </row>
    <row r="141" spans="1:148" s="2" customFormat="1">
      <c r="A141" s="1"/>
    </row>
    <row r="142" spans="1:148" s="2" customFormat="1">
      <c r="A142" s="1" t="s">
        <v>122</v>
      </c>
      <c r="B142" s="20">
        <f>-B76</f>
        <v>20.59653506261337</v>
      </c>
    </row>
    <row r="143" spans="1:148" s="23" customFormat="1">
      <c r="A143" s="1" t="s">
        <v>123</v>
      </c>
      <c r="B143" s="20">
        <f>-((B58*(B61*B79))+(B59*(B61*B80))+(B60*B81))</f>
        <v>4822.4431279011114</v>
      </c>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row>
    <row r="144" spans="1:148" s="2" customFormat="1"/>
    <row r="145" spans="1:13" s="2" customFormat="1">
      <c r="A145" s="49" t="s">
        <v>124</v>
      </c>
      <c r="B145" s="14">
        <f>B87</f>
        <v>61884058.742673598</v>
      </c>
    </row>
    <row r="146" spans="1:13" s="2" customFormat="1">
      <c r="A146" s="2" t="s">
        <v>125</v>
      </c>
      <c r="B146" s="14">
        <f>B124</f>
        <v>-813169.81415372901</v>
      </c>
    </row>
    <row r="147" spans="1:13" s="2" customFormat="1">
      <c r="A147" s="2" t="s">
        <v>212</v>
      </c>
      <c r="B147" s="14">
        <f>B125</f>
        <v>-439970.64849094098</v>
      </c>
    </row>
    <row r="148" spans="1:13" s="2" customFormat="1">
      <c r="A148" s="2" t="s">
        <v>127</v>
      </c>
      <c r="B148" s="14">
        <f>B133</f>
        <v>-32368764.876778305</v>
      </c>
    </row>
    <row r="149" spans="1:13" s="2" customFormat="1">
      <c r="A149" s="2" t="s">
        <v>128</v>
      </c>
      <c r="B149" s="14">
        <f>-B135</f>
        <v>-2200000</v>
      </c>
    </row>
    <row r="150" spans="1:13" s="2" customFormat="1">
      <c r="A150" s="2" t="s">
        <v>213</v>
      </c>
      <c r="B150" s="14">
        <f>-B136</f>
        <v>-321797.10546190268</v>
      </c>
    </row>
    <row r="151" spans="1:13" s="2" customFormat="1">
      <c r="A151" s="49" t="s">
        <v>130</v>
      </c>
      <c r="B151" s="14">
        <f>SUM(B146:B150)</f>
        <v>-36143702.444884874</v>
      </c>
    </row>
    <row r="152" spans="1:13" s="2" customFormat="1">
      <c r="A152" s="1" t="s">
        <v>131</v>
      </c>
      <c r="B152" s="20">
        <f>B145+B151</f>
        <v>25740356.297788724</v>
      </c>
    </row>
    <row r="153" spans="1:13" s="2" customFormat="1"/>
    <row r="154" spans="1:13" s="2" customFormat="1">
      <c r="A154" s="1" t="s">
        <v>132</v>
      </c>
    </row>
    <row r="155" spans="1:13" s="2" customFormat="1">
      <c r="C155" s="9" t="s">
        <v>133</v>
      </c>
      <c r="D155" s="50">
        <v>1</v>
      </c>
      <c r="E155" s="50">
        <v>2</v>
      </c>
      <c r="F155" s="50">
        <v>3</v>
      </c>
      <c r="G155" s="50">
        <v>4</v>
      </c>
      <c r="H155" s="50">
        <v>5</v>
      </c>
      <c r="I155" s="50">
        <v>6</v>
      </c>
      <c r="J155" s="50">
        <v>7</v>
      </c>
      <c r="K155" s="50">
        <v>8</v>
      </c>
      <c r="L155" s="50">
        <v>9</v>
      </c>
      <c r="M155" s="50">
        <v>10</v>
      </c>
    </row>
    <row r="156" spans="1:13" s="2" customFormat="1">
      <c r="C156" s="9" t="s">
        <v>14</v>
      </c>
      <c r="D156" s="40">
        <v>2021</v>
      </c>
      <c r="E156" s="40">
        <v>2022</v>
      </c>
      <c r="F156" s="40">
        <v>2023</v>
      </c>
      <c r="G156" s="40">
        <v>2024</v>
      </c>
      <c r="H156" s="40">
        <v>2025</v>
      </c>
      <c r="I156" s="40">
        <v>2026</v>
      </c>
      <c r="J156" s="40">
        <v>2027</v>
      </c>
      <c r="K156" s="40">
        <v>2028</v>
      </c>
      <c r="L156" s="40">
        <v>2029</v>
      </c>
      <c r="M156" s="40">
        <v>2030</v>
      </c>
    </row>
    <row r="157" spans="1:13" s="2" customFormat="1">
      <c r="A157" s="49" t="s">
        <v>122</v>
      </c>
      <c r="D157" s="14"/>
      <c r="E157" s="14"/>
      <c r="F157" s="14">
        <f t="shared" ref="F157:M157" si="1">$B$142</f>
        <v>20.59653506261337</v>
      </c>
      <c r="G157" s="14">
        <f t="shared" si="1"/>
        <v>20.59653506261337</v>
      </c>
      <c r="H157" s="14">
        <f t="shared" si="1"/>
        <v>20.59653506261337</v>
      </c>
      <c r="I157" s="14">
        <f t="shared" si="1"/>
        <v>20.59653506261337</v>
      </c>
      <c r="J157" s="14">
        <f t="shared" si="1"/>
        <v>20.59653506261337</v>
      </c>
      <c r="K157" s="14">
        <f t="shared" si="1"/>
        <v>20.59653506261337</v>
      </c>
      <c r="L157" s="14">
        <f t="shared" si="1"/>
        <v>20.59653506261337</v>
      </c>
      <c r="M157" s="14">
        <f t="shared" si="1"/>
        <v>20.59653506261337</v>
      </c>
    </row>
    <row r="158" spans="1:13" s="2" customFormat="1">
      <c r="A158" s="1" t="s">
        <v>134</v>
      </c>
      <c r="D158" s="20"/>
      <c r="E158" s="20"/>
      <c r="F158" s="20">
        <f>E158+F157</f>
        <v>20.59653506261337</v>
      </c>
      <c r="G158" s="20">
        <f t="shared" ref="G158:M158" si="2">F158+G157</f>
        <v>41.19307012522674</v>
      </c>
      <c r="H158" s="20">
        <f t="shared" si="2"/>
        <v>61.78960518784011</v>
      </c>
      <c r="I158" s="20">
        <f t="shared" si="2"/>
        <v>82.386140250453479</v>
      </c>
      <c r="J158" s="20">
        <f t="shared" si="2"/>
        <v>102.98267531306685</v>
      </c>
      <c r="K158" s="20">
        <f t="shared" si="2"/>
        <v>123.57921037568022</v>
      </c>
      <c r="L158" s="20">
        <f t="shared" si="2"/>
        <v>144.17574543829357</v>
      </c>
      <c r="M158" s="20">
        <f t="shared" si="2"/>
        <v>164.77228050090696</v>
      </c>
    </row>
    <row r="159" spans="1:13" s="2" customFormat="1">
      <c r="A159" s="49" t="s">
        <v>135</v>
      </c>
      <c r="D159" s="14"/>
      <c r="E159" s="14"/>
      <c r="F159" s="14">
        <f>$B$143/1000</f>
        <v>4.8224431279011117</v>
      </c>
      <c r="G159" s="14">
        <f t="shared" ref="G159:M159" si="3">$B$143/1000</f>
        <v>4.8224431279011117</v>
      </c>
      <c r="H159" s="14">
        <f t="shared" si="3"/>
        <v>4.8224431279011117</v>
      </c>
      <c r="I159" s="14">
        <f t="shared" si="3"/>
        <v>4.8224431279011117</v>
      </c>
      <c r="J159" s="14">
        <f t="shared" si="3"/>
        <v>4.8224431279011117</v>
      </c>
      <c r="K159" s="14">
        <f t="shared" si="3"/>
        <v>4.8224431279011117</v>
      </c>
      <c r="L159" s="14">
        <f t="shared" si="3"/>
        <v>4.8224431279011117</v>
      </c>
      <c r="M159" s="14">
        <f t="shared" si="3"/>
        <v>4.8224431279011117</v>
      </c>
    </row>
    <row r="160" spans="1:13" s="2" customFormat="1">
      <c r="A160" s="1" t="s">
        <v>136</v>
      </c>
      <c r="D160" s="20"/>
      <c r="E160" s="20"/>
      <c r="F160" s="20">
        <f>E160+F159</f>
        <v>4.8224431279011117</v>
      </c>
      <c r="G160" s="20">
        <f t="shared" ref="G160:M160" si="4">F160+G159</f>
        <v>9.6448862558022235</v>
      </c>
      <c r="H160" s="20">
        <f t="shared" si="4"/>
        <v>14.467329383703335</v>
      </c>
      <c r="I160" s="20">
        <f t="shared" si="4"/>
        <v>19.289772511604447</v>
      </c>
      <c r="J160" s="20">
        <f t="shared" si="4"/>
        <v>24.112215639505557</v>
      </c>
      <c r="K160" s="20">
        <f t="shared" si="4"/>
        <v>28.934658767406667</v>
      </c>
      <c r="L160" s="20">
        <f t="shared" si="4"/>
        <v>33.757101895307777</v>
      </c>
      <c r="M160" s="20">
        <f t="shared" si="4"/>
        <v>38.579545023208887</v>
      </c>
    </row>
    <row r="161" spans="1:13" s="2" customFormat="1">
      <c r="A161" s="2" t="s">
        <v>137</v>
      </c>
      <c r="D161" s="14"/>
      <c r="E161" s="14"/>
      <c r="F161" s="14">
        <f>B152</f>
        <v>25740356.297788724</v>
      </c>
      <c r="G161" s="14">
        <f>$B$152-$B$149</f>
        <v>27940356.297788724</v>
      </c>
      <c r="H161" s="14">
        <f t="shared" ref="H161:M161" si="5">$B$152-$B$149</f>
        <v>27940356.297788724</v>
      </c>
      <c r="I161" s="14">
        <f t="shared" si="5"/>
        <v>27940356.297788724</v>
      </c>
      <c r="J161" s="14">
        <f t="shared" si="5"/>
        <v>27940356.297788724</v>
      </c>
      <c r="K161" s="14">
        <f t="shared" si="5"/>
        <v>27940356.297788724</v>
      </c>
      <c r="L161" s="14">
        <f t="shared" si="5"/>
        <v>27940356.297788724</v>
      </c>
      <c r="M161" s="14">
        <f t="shared" si="5"/>
        <v>27940356.297788724</v>
      </c>
    </row>
    <row r="162" spans="1:13" s="2" customFormat="1">
      <c r="A162" s="1" t="s">
        <v>138</v>
      </c>
      <c r="D162" s="20"/>
      <c r="E162" s="20"/>
      <c r="F162" s="20">
        <f>E162+F161</f>
        <v>25740356.297788724</v>
      </c>
      <c r="G162" s="20">
        <f>F162+G161</f>
        <v>53680712.595577449</v>
      </c>
      <c r="H162" s="20">
        <f t="shared" ref="H162:M162" si="6">G162+H161</f>
        <v>81621068.893366173</v>
      </c>
      <c r="I162" s="20">
        <f t="shared" si="6"/>
        <v>109561425.1911549</v>
      </c>
      <c r="J162" s="20">
        <f t="shared" si="6"/>
        <v>137501781.48894364</v>
      </c>
      <c r="K162" s="20">
        <f t="shared" si="6"/>
        <v>165442137.78673238</v>
      </c>
      <c r="L162" s="20">
        <f t="shared" si="6"/>
        <v>193382494.08452111</v>
      </c>
      <c r="M162" s="20">
        <f t="shared" si="6"/>
        <v>221322850.38230985</v>
      </c>
    </row>
    <row r="163" spans="1:13" s="2" customFormat="1"/>
    <row r="164" spans="1:13" s="2" customFormat="1"/>
    <row r="165" spans="1:13" s="2" customFormat="1"/>
    <row r="166" spans="1:13" s="2" customFormat="1"/>
    <row r="167" spans="1:13" s="2" customFormat="1"/>
    <row r="168" spans="1:13" s="2" customFormat="1"/>
    <row r="169" spans="1:13" s="2" customFormat="1"/>
    <row r="170" spans="1:13" s="2" customFormat="1"/>
    <row r="171" spans="1:13" s="2" customFormat="1"/>
    <row r="172" spans="1:13" s="2" customFormat="1"/>
    <row r="173" spans="1:13" s="2" customFormat="1"/>
    <row r="174" spans="1:13" s="2" customFormat="1"/>
    <row r="175" spans="1:13" s="2" customFormat="1"/>
    <row r="176" spans="1:13"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pans="1:16" s="2" customFormat="1"/>
    <row r="290" spans="1:16" s="2" customFormat="1"/>
    <row r="291" spans="1:16" s="2" customFormat="1"/>
    <row r="292" spans="1:16" s="2" customFormat="1"/>
    <row r="293" spans="1:16" s="2" customFormat="1"/>
    <row r="294" spans="1:16" s="2" customFormat="1"/>
    <row r="295" spans="1:16" s="2" customFormat="1">
      <c r="A295"/>
      <c r="B295"/>
      <c r="C295"/>
      <c r="D295"/>
      <c r="E295"/>
      <c r="F295"/>
      <c r="G295"/>
      <c r="H295"/>
      <c r="I295"/>
      <c r="J295"/>
      <c r="K295"/>
      <c r="L295"/>
      <c r="M295"/>
      <c r="N295"/>
      <c r="O295"/>
      <c r="P295"/>
    </row>
    <row r="296" spans="1:16" s="2" customFormat="1">
      <c r="A296"/>
      <c r="B296"/>
      <c r="C296"/>
      <c r="D296"/>
      <c r="E296"/>
      <c r="F296"/>
      <c r="G296"/>
      <c r="H296"/>
      <c r="I296"/>
      <c r="J296"/>
      <c r="K296"/>
      <c r="L296"/>
      <c r="M296"/>
      <c r="N296"/>
      <c r="O296"/>
      <c r="P296"/>
    </row>
    <row r="297" spans="1:16" s="2" customFormat="1">
      <c r="A297"/>
      <c r="B297"/>
      <c r="C297"/>
      <c r="D297"/>
      <c r="E297"/>
      <c r="F297"/>
      <c r="G297"/>
      <c r="H297"/>
      <c r="I297"/>
      <c r="J297"/>
      <c r="K297"/>
      <c r="L297"/>
      <c r="M297"/>
      <c r="N297"/>
      <c r="O297"/>
      <c r="P297"/>
    </row>
    <row r="298" spans="1:16" s="2" customFormat="1">
      <c r="A298"/>
      <c r="B298"/>
      <c r="C298"/>
      <c r="D298"/>
      <c r="E298"/>
      <c r="F298"/>
      <c r="G298"/>
      <c r="H298"/>
      <c r="I298"/>
      <c r="J298"/>
      <c r="K298"/>
      <c r="L298"/>
      <c r="M298"/>
      <c r="N298"/>
      <c r="O298"/>
      <c r="P298"/>
    </row>
    <row r="299" spans="1:16" s="2" customFormat="1">
      <c r="A299"/>
      <c r="B299"/>
      <c r="C299"/>
      <c r="D299"/>
      <c r="E299"/>
      <c r="F299"/>
      <c r="G299"/>
      <c r="H299"/>
      <c r="I299"/>
      <c r="J299"/>
      <c r="K299"/>
      <c r="L299"/>
      <c r="M299"/>
      <c r="N299"/>
      <c r="O299"/>
      <c r="P299"/>
    </row>
    <row r="300" spans="1:16" s="2" customFormat="1">
      <c r="A300"/>
      <c r="B300"/>
      <c r="C300"/>
      <c r="D300"/>
      <c r="E300"/>
      <c r="F300"/>
      <c r="G300"/>
      <c r="H300"/>
      <c r="I300"/>
      <c r="J300"/>
      <c r="K300"/>
      <c r="L300"/>
      <c r="M300"/>
      <c r="N300"/>
      <c r="O300"/>
      <c r="P300"/>
    </row>
  </sheetData>
  <pageMargins left="0.7" right="0.7" top="0.75" bottom="0.75" header="0.3" footer="0.3"/>
  <pageSetup paperSize="9"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777B0-F9A7-4A1D-BFBF-806D5A9D9A67}">
  <dimension ref="A1:N293"/>
  <sheetViews>
    <sheetView workbookViewId="0">
      <selection activeCell="F156" sqref="F156:M156"/>
    </sheetView>
  </sheetViews>
  <sheetFormatPr defaultRowHeight="15"/>
  <cols>
    <col min="1" max="1" width="51.85546875" customWidth="1"/>
    <col min="2" max="2" width="19.28515625" customWidth="1"/>
    <col min="3" max="3" width="14.140625" customWidth="1"/>
    <col min="4" max="4" width="23" customWidth="1"/>
    <col min="5" max="5" width="19.28515625" bestFit="1" customWidth="1"/>
    <col min="6" max="7" width="15.7109375" bestFit="1" customWidth="1"/>
    <col min="8" max="9" width="15.85546875" customWidth="1"/>
    <col min="10" max="13" width="18.7109375" customWidth="1"/>
  </cols>
  <sheetData>
    <row r="1" spans="1:14" s="2" customFormat="1"/>
    <row r="2" spans="1:14" s="11" customFormat="1">
      <c r="A2" s="10" t="s">
        <v>33</v>
      </c>
    </row>
    <row r="3" spans="1:14" s="2" customFormat="1"/>
    <row r="4" spans="1:14" s="2" customFormat="1">
      <c r="E4" s="1" t="s">
        <v>139</v>
      </c>
      <c r="H4" s="1"/>
    </row>
    <row r="5" spans="1:14" s="2" customFormat="1">
      <c r="A5" s="2" t="s">
        <v>214</v>
      </c>
      <c r="B5" s="24">
        <v>50432</v>
      </c>
      <c r="E5" s="49" t="s">
        <v>215</v>
      </c>
    </row>
    <row r="6" spans="1:14" s="2" customFormat="1">
      <c r="A6" s="2" t="s">
        <v>216</v>
      </c>
      <c r="B6" s="24">
        <v>11487</v>
      </c>
      <c r="E6" s="49" t="s">
        <v>143</v>
      </c>
    </row>
    <row r="7" spans="1:14" s="2" customFormat="1">
      <c r="A7" s="2" t="s">
        <v>217</v>
      </c>
      <c r="B7" s="14">
        <f>B5-B6</f>
        <v>38945</v>
      </c>
    </row>
    <row r="8" spans="1:14" s="2" customFormat="1">
      <c r="A8" s="2" t="s">
        <v>218</v>
      </c>
      <c r="B8" s="32">
        <v>0.52147446065989844</v>
      </c>
      <c r="E8" s="49" t="s">
        <v>143</v>
      </c>
    </row>
    <row r="9" spans="1:14" s="2" customFormat="1"/>
    <row r="10" spans="1:14" s="2" customFormat="1">
      <c r="A10" s="1" t="s">
        <v>219</v>
      </c>
    </row>
    <row r="11" spans="1:14" s="2" customFormat="1">
      <c r="A11" s="2" t="s">
        <v>220</v>
      </c>
      <c r="B11" s="19">
        <f>Aastamaks!C10</f>
        <v>0.48849154208741835</v>
      </c>
      <c r="E11" s="5"/>
      <c r="G11" s="5"/>
      <c r="H11" s="5"/>
      <c r="N11" s="13"/>
    </row>
    <row r="12" spans="1:14" s="2" customFormat="1">
      <c r="A12" s="2" t="s">
        <v>189</v>
      </c>
      <c r="B12" s="19">
        <f>Aastamaks!C11</f>
        <v>0.49453750241195227</v>
      </c>
      <c r="E12" s="5"/>
      <c r="G12" s="5"/>
      <c r="H12" s="5"/>
      <c r="N12" s="13"/>
    </row>
    <row r="13" spans="1:14" s="2" customFormat="1">
      <c r="A13" s="2" t="s">
        <v>190</v>
      </c>
      <c r="B13" s="19">
        <f>Aastamaks!C12</f>
        <v>1.6970955500629405E-2</v>
      </c>
      <c r="E13" s="5"/>
      <c r="G13" s="5"/>
      <c r="H13" s="5"/>
    </row>
    <row r="14" spans="1:14" s="2" customFormat="1"/>
    <row r="15" spans="1:14" s="2" customFormat="1">
      <c r="A15" s="2" t="s">
        <v>221</v>
      </c>
      <c r="B15" s="15">
        <f>Aastamaks!B18</f>
        <v>2.1291793015748801E-6</v>
      </c>
    </row>
    <row r="16" spans="1:14" s="2" customFormat="1"/>
    <row r="17" spans="1:5" s="2" customFormat="1">
      <c r="A17" s="2" t="s">
        <v>150</v>
      </c>
      <c r="B17" s="14">
        <f>Aastamaks!B15</f>
        <v>11197100000</v>
      </c>
    </row>
    <row r="18" spans="1:5" s="2" customFormat="1">
      <c r="A18" s="2" t="s">
        <v>222</v>
      </c>
      <c r="B18" s="14">
        <f>Aastamaks!B20</f>
        <v>17575.499173059266</v>
      </c>
    </row>
    <row r="19" spans="1:5" s="2" customFormat="1"/>
    <row r="20" spans="1:5" s="2" customFormat="1">
      <c r="A20" s="2" t="s">
        <v>223</v>
      </c>
      <c r="B20" s="24">
        <v>24107</v>
      </c>
      <c r="E20" s="2" t="s">
        <v>168</v>
      </c>
    </row>
    <row r="21" spans="1:5" s="2" customFormat="1">
      <c r="A21" s="2" t="s">
        <v>224</v>
      </c>
      <c r="B21" s="24">
        <v>3970</v>
      </c>
      <c r="E21" s="2" t="s">
        <v>168</v>
      </c>
    </row>
    <row r="22" spans="1:5" s="2" customFormat="1"/>
    <row r="23" spans="1:5" s="2" customFormat="1">
      <c r="A23" s="2" t="s">
        <v>225</v>
      </c>
      <c r="B23" s="14">
        <f>'Registreerimismaksu määr'!C14</f>
        <v>1676.4888559546398</v>
      </c>
      <c r="E23" s="2" t="s">
        <v>226</v>
      </c>
    </row>
    <row r="24" spans="1:5" s="2" customFormat="1"/>
    <row r="25" spans="1:5" s="2" customFormat="1">
      <c r="A25" s="2" t="s">
        <v>227</v>
      </c>
      <c r="B25" s="19">
        <f>B23/B20</f>
        <v>6.9543653542731981E-2</v>
      </c>
    </row>
    <row r="26" spans="1:5" s="2" customFormat="1">
      <c r="A26" s="2" t="s">
        <v>228</v>
      </c>
      <c r="B26" s="19">
        <f>B23/B21</f>
        <v>0.42228938437144581</v>
      </c>
    </row>
    <row r="27" spans="1:5" s="2" customFormat="1"/>
    <row r="28" spans="1:5" s="2" customFormat="1">
      <c r="A28" s="2" t="s">
        <v>229</v>
      </c>
      <c r="B28" s="31">
        <f>-0.218</f>
        <v>-0.218</v>
      </c>
      <c r="E28" s="2" t="s">
        <v>230</v>
      </c>
    </row>
    <row r="29" spans="1:5" s="2" customFormat="1">
      <c r="A29" s="2" t="s">
        <v>164</v>
      </c>
      <c r="B29" s="14">
        <f>Aastamaks!B33</f>
        <v>-0.4</v>
      </c>
    </row>
    <row r="30" spans="1:5" s="2" customFormat="1"/>
    <row r="31" spans="1:5" s="2" customFormat="1">
      <c r="A31" s="2" t="s">
        <v>83</v>
      </c>
      <c r="B31" s="14">
        <f>Aastamaks!B63</f>
        <v>3.6</v>
      </c>
    </row>
    <row r="32" spans="1:5" s="2" customFormat="1">
      <c r="A32" s="2" t="s">
        <v>82</v>
      </c>
      <c r="B32" s="14">
        <f>Aastamaks!B51</f>
        <v>1000</v>
      </c>
    </row>
    <row r="33" spans="1:2" s="2" customFormat="1"/>
    <row r="34" spans="1:2" s="2" customFormat="1">
      <c r="A34" s="2" t="s">
        <v>165</v>
      </c>
      <c r="B34" s="14">
        <f>Aastamaks!B35</f>
        <v>47.1</v>
      </c>
    </row>
    <row r="35" spans="1:2" s="2" customFormat="1">
      <c r="A35" s="2" t="s">
        <v>166</v>
      </c>
      <c r="B35" s="14">
        <f>Aastamaks!B36</f>
        <v>0.74070000000000003</v>
      </c>
    </row>
    <row r="36" spans="1:2" s="2" customFormat="1">
      <c r="A36" s="2" t="s">
        <v>167</v>
      </c>
      <c r="B36" s="14">
        <f>Aastamaks!B37</f>
        <v>1000</v>
      </c>
    </row>
    <row r="37" spans="1:2" s="2" customFormat="1">
      <c r="A37" s="2" t="s">
        <v>169</v>
      </c>
      <c r="B37" s="14">
        <f>Aastamaks!B38</f>
        <v>330</v>
      </c>
    </row>
    <row r="38" spans="1:2" s="2" customFormat="1">
      <c r="A38" s="2" t="s">
        <v>170</v>
      </c>
      <c r="B38" s="14">
        <f>Aastamaks!B39</f>
        <v>1.33</v>
      </c>
    </row>
    <row r="39" spans="1:2" s="2" customFormat="1">
      <c r="A39" s="2" t="s">
        <v>172</v>
      </c>
      <c r="B39" s="19">
        <f>Aastamaks!B40</f>
        <v>0.2</v>
      </c>
    </row>
    <row r="40" spans="1:2" s="2" customFormat="1"/>
    <row r="41" spans="1:2" s="2" customFormat="1">
      <c r="A41" s="2" t="s">
        <v>75</v>
      </c>
      <c r="B41" s="14">
        <f>Aastamaks!B42</f>
        <v>45.66</v>
      </c>
    </row>
    <row r="42" spans="1:2" s="2" customFormat="1">
      <c r="A42" s="2" t="s">
        <v>77</v>
      </c>
      <c r="B42" s="14">
        <f>Aastamaks!B43</f>
        <v>0.84389999999999998</v>
      </c>
    </row>
    <row r="43" spans="1:2" s="2" customFormat="1">
      <c r="A43" s="2" t="s">
        <v>78</v>
      </c>
      <c r="B43" s="14">
        <f>Aastamaks!B44</f>
        <v>493</v>
      </c>
    </row>
    <row r="44" spans="1:2" s="2" customFormat="1">
      <c r="A44" s="2" t="s">
        <v>174</v>
      </c>
      <c r="B44" s="30">
        <f>Aastamaks!B45</f>
        <v>1.306</v>
      </c>
    </row>
    <row r="45" spans="1:2" s="2" customFormat="1"/>
    <row r="46" spans="1:2" s="2" customFormat="1">
      <c r="A46" s="2" t="s">
        <v>175</v>
      </c>
      <c r="B46" s="14">
        <f>Aastamaks!B47</f>
        <v>50.08</v>
      </c>
    </row>
    <row r="47" spans="1:2" s="2" customFormat="1">
      <c r="A47" s="2" t="s">
        <v>176</v>
      </c>
      <c r="B47" s="14">
        <f>Aastamaks!B48</f>
        <v>55.79</v>
      </c>
    </row>
    <row r="48" spans="1:2" s="2" customFormat="1">
      <c r="A48" s="2" t="s">
        <v>177</v>
      </c>
      <c r="B48" s="14">
        <f>Aastamaks!B49</f>
        <v>0.64300000000000002</v>
      </c>
    </row>
    <row r="49" spans="1:9" s="2" customFormat="1"/>
    <row r="50" spans="1:9" s="2" customFormat="1">
      <c r="A50" s="2" t="s">
        <v>85</v>
      </c>
      <c r="B50" s="14">
        <f>Aastamaks!B53</f>
        <v>26018800000</v>
      </c>
    </row>
    <row r="51" spans="1:9" s="2" customFormat="1"/>
    <row r="52" spans="1:9" s="2" customFormat="1">
      <c r="A52" s="2" t="s">
        <v>87</v>
      </c>
      <c r="B52" s="14">
        <f>Aastamaks!B55</f>
        <v>2200000</v>
      </c>
      <c r="E52" s="2" t="s">
        <v>178</v>
      </c>
    </row>
    <row r="53" spans="1:9" s="2" customFormat="1" ht="30">
      <c r="A53" s="35" t="s">
        <v>89</v>
      </c>
      <c r="B53" s="19">
        <f>Aastamaks!B56</f>
        <v>5.1999999999999998E-3</v>
      </c>
    </row>
    <row r="54" spans="1:9" s="2" customFormat="1"/>
    <row r="55" spans="1:9" s="2" customFormat="1">
      <c r="A55" s="2" t="s">
        <v>179</v>
      </c>
      <c r="B55" s="14">
        <f>Aastamaks!B58</f>
        <v>251.62894800000075</v>
      </c>
    </row>
    <row r="56" spans="1:9" s="2" customFormat="1">
      <c r="A56" s="2" t="s">
        <v>80</v>
      </c>
      <c r="B56" s="14">
        <f>Aastamaks!B59</f>
        <v>269.79418800000076</v>
      </c>
    </row>
    <row r="57" spans="1:9" s="2" customFormat="1">
      <c r="A57" s="2" t="s">
        <v>180</v>
      </c>
      <c r="B57" s="14">
        <f>Aastamaks!B60</f>
        <v>202.15728000000058</v>
      </c>
    </row>
    <row r="58" spans="1:9" s="2" customFormat="1">
      <c r="A58" s="51" t="s">
        <v>331</v>
      </c>
      <c r="B58" s="19">
        <f>Aastamaks!B61</f>
        <v>0.9</v>
      </c>
    </row>
    <row r="59" spans="1:9" s="2" customFormat="1"/>
    <row r="60" spans="1:9" s="11" customFormat="1">
      <c r="A60" s="10" t="s">
        <v>231</v>
      </c>
    </row>
    <row r="61" spans="1:9" s="2" customFormat="1"/>
    <row r="62" spans="1:9" s="2" customFormat="1">
      <c r="A62" s="2" t="s">
        <v>232</v>
      </c>
      <c r="B62" s="19">
        <f>AVERAGE(B25:B26)</f>
        <v>0.24591651895708888</v>
      </c>
    </row>
    <row r="63" spans="1:9" s="2" customFormat="1">
      <c r="A63" s="2" t="s">
        <v>233</v>
      </c>
      <c r="B63" s="14">
        <f>B28</f>
        <v>-0.218</v>
      </c>
      <c r="I63" s="13"/>
    </row>
    <row r="64" spans="1:9" s="2" customFormat="1">
      <c r="A64" s="2" t="s">
        <v>234</v>
      </c>
      <c r="B64" s="19">
        <f>B62*B63</f>
        <v>-5.3609801132645372E-2</v>
      </c>
    </row>
    <row r="65" spans="1:13" s="2" customFormat="1">
      <c r="A65" s="2" t="s">
        <v>235</v>
      </c>
      <c r="B65" s="20">
        <f>B7*B64</f>
        <v>-2087.8337051108742</v>
      </c>
    </row>
    <row r="66" spans="1:13" s="2" customFormat="1">
      <c r="A66" s="2" t="s">
        <v>184</v>
      </c>
      <c r="B66" s="20">
        <f>B65*B18</f>
        <v>-36694719.557661436</v>
      </c>
    </row>
    <row r="67" spans="1:13" s="2" customFormat="1">
      <c r="M67" s="13"/>
    </row>
    <row r="68" spans="1:13" s="2" customFormat="1">
      <c r="A68" s="2" t="s">
        <v>185</v>
      </c>
      <c r="B68" s="14">
        <f>B66*B15</f>
        <v>-78.129637359267676</v>
      </c>
    </row>
    <row r="69" spans="1:13" s="2" customFormat="1">
      <c r="A69" s="2" t="s">
        <v>186</v>
      </c>
      <c r="B69" s="14">
        <f>B68/B31</f>
        <v>-21.702677044241021</v>
      </c>
    </row>
    <row r="70" spans="1:13" s="2" customFormat="1"/>
    <row r="71" spans="1:13" s="2" customFormat="1">
      <c r="A71" s="1" t="s">
        <v>187</v>
      </c>
      <c r="B71" s="50" t="s">
        <v>108</v>
      </c>
      <c r="C71" s="50" t="s">
        <v>107</v>
      </c>
    </row>
    <row r="72" spans="1:13" s="2" customFormat="1">
      <c r="A72" s="2" t="s">
        <v>188</v>
      </c>
      <c r="B72" s="14">
        <f>$B$69*B11</f>
        <v>-10.60157417676651</v>
      </c>
      <c r="C72" s="14">
        <f>$B$68*B11</f>
        <v>-38.165667036359437</v>
      </c>
    </row>
    <row r="73" spans="1:13" s="2" customFormat="1">
      <c r="A73" s="2" t="s">
        <v>189</v>
      </c>
      <c r="B73" s="14">
        <f>$B$69*B12</f>
        <v>-10.732787701112166</v>
      </c>
      <c r="C73" s="14">
        <f>$B$68*B12</f>
        <v>-38.638035724003792</v>
      </c>
    </row>
    <row r="74" spans="1:13" s="2" customFormat="1">
      <c r="A74" s="2" t="s">
        <v>190</v>
      </c>
      <c r="B74" s="14">
        <f>$B$69*B13</f>
        <v>-0.36831516636234568</v>
      </c>
      <c r="C74" s="14">
        <f>$B$68*B13</f>
        <v>-1.3259345989044444</v>
      </c>
    </row>
    <row r="75" spans="1:13" s="2" customFormat="1"/>
    <row r="76" spans="1:13" s="11" customFormat="1">
      <c r="A76" s="10" t="s">
        <v>110</v>
      </c>
    </row>
    <row r="77" spans="1:13" s="2" customFormat="1"/>
    <row r="78" spans="1:13" s="2" customFormat="1">
      <c r="A78" s="2" t="s">
        <v>236</v>
      </c>
      <c r="B78" s="14">
        <f>B7+B65</f>
        <v>36857.166294889124</v>
      </c>
    </row>
    <row r="79" spans="1:13" s="2" customFormat="1">
      <c r="A79" s="2" t="s">
        <v>192</v>
      </c>
      <c r="B79" s="14">
        <f>B23</f>
        <v>1676.4888559546398</v>
      </c>
    </row>
    <row r="80" spans="1:13" s="2" customFormat="1">
      <c r="A80" s="2" t="s">
        <v>237</v>
      </c>
      <c r="B80" s="20">
        <f>B78*B79</f>
        <v>61790628.555448577</v>
      </c>
    </row>
    <row r="81" spans="1:2" s="2" customFormat="1"/>
    <row r="82" spans="1:2" s="2" customFormat="1">
      <c r="A82" s="2" t="s">
        <v>165</v>
      </c>
      <c r="B82" s="14">
        <f>B34</f>
        <v>47.1</v>
      </c>
    </row>
    <row r="83" spans="1:2" s="2" customFormat="1">
      <c r="A83" s="2" t="s">
        <v>166</v>
      </c>
      <c r="B83" s="14">
        <f>B35</f>
        <v>0.74070000000000003</v>
      </c>
    </row>
    <row r="84" spans="1:2" s="2" customFormat="1">
      <c r="A84" s="2" t="s">
        <v>167</v>
      </c>
      <c r="B84" s="14">
        <f>B36</f>
        <v>1000</v>
      </c>
    </row>
    <row r="85" spans="1:2" s="2" customFormat="1">
      <c r="A85" s="2" t="s">
        <v>194</v>
      </c>
      <c r="B85" s="14">
        <f>B84*B83/B84</f>
        <v>0.74070000000000003</v>
      </c>
    </row>
    <row r="86" spans="1:2" s="2" customFormat="1">
      <c r="A86" s="2" t="s">
        <v>195</v>
      </c>
      <c r="B86" s="14">
        <f>B85*B82/B32</f>
        <v>3.4886970000000003E-2</v>
      </c>
    </row>
    <row r="87" spans="1:2" s="2" customFormat="1">
      <c r="A87" s="2" t="s">
        <v>196</v>
      </c>
      <c r="B87" s="14">
        <f>B84/B86</f>
        <v>28663.996901995211</v>
      </c>
    </row>
    <row r="88" spans="1:2" s="2" customFormat="1">
      <c r="A88" s="2" t="s">
        <v>197</v>
      </c>
      <c r="B88" s="14">
        <f>B87*C72</f>
        <v>-1093980.5616927876</v>
      </c>
    </row>
    <row r="89" spans="1:2" s="2" customFormat="1">
      <c r="A89" s="2" t="s">
        <v>169</v>
      </c>
      <c r="B89" s="14">
        <f>B37</f>
        <v>330</v>
      </c>
    </row>
    <row r="90" spans="1:2" s="2" customFormat="1">
      <c r="A90" s="2" t="s">
        <v>198</v>
      </c>
      <c r="B90" s="20">
        <f>(B88/B84)*B89</f>
        <v>-361013.58535861992</v>
      </c>
    </row>
    <row r="91" spans="1:2" s="2" customFormat="1">
      <c r="A91" s="2" t="s">
        <v>170</v>
      </c>
      <c r="B91" s="14">
        <f>B38</f>
        <v>1.33</v>
      </c>
    </row>
    <row r="92" spans="1:2" s="2" customFormat="1">
      <c r="A92" s="2" t="s">
        <v>199</v>
      </c>
      <c r="B92" s="14">
        <f>B91-(B91/(1+B39))</f>
        <v>0.22166666666666668</v>
      </c>
    </row>
    <row r="93" spans="1:2" s="2" customFormat="1">
      <c r="A93" s="2" t="s">
        <v>200</v>
      </c>
      <c r="B93" s="20">
        <f>B88*B92</f>
        <v>-242499.02450856793</v>
      </c>
    </row>
    <row r="94" spans="1:2" s="2" customFormat="1"/>
    <row r="95" spans="1:2" s="2" customFormat="1">
      <c r="A95" s="2" t="s">
        <v>75</v>
      </c>
      <c r="B95" s="14">
        <f>B41</f>
        <v>45.66</v>
      </c>
    </row>
    <row r="96" spans="1:2" s="2" customFormat="1">
      <c r="A96" s="2" t="s">
        <v>77</v>
      </c>
      <c r="B96" s="14">
        <f>B42</f>
        <v>0.84389999999999998</v>
      </c>
    </row>
    <row r="97" spans="1:2" s="2" customFormat="1">
      <c r="A97" s="2" t="s">
        <v>167</v>
      </c>
      <c r="B97" s="14">
        <f>B84</f>
        <v>1000</v>
      </c>
    </row>
    <row r="98" spans="1:2" s="2" customFormat="1">
      <c r="A98" s="2" t="s">
        <v>194</v>
      </c>
      <c r="B98" s="14">
        <f>B97*B96/1000</f>
        <v>0.84389999999999998</v>
      </c>
    </row>
    <row r="99" spans="1:2" s="2" customFormat="1">
      <c r="A99" s="2" t="s">
        <v>195</v>
      </c>
      <c r="B99" s="21">
        <f>B98*B95/B32</f>
        <v>3.853247399999999E-2</v>
      </c>
    </row>
    <row r="100" spans="1:2" s="2" customFormat="1">
      <c r="A100" s="2" t="s">
        <v>196</v>
      </c>
      <c r="B100" s="14">
        <f>B97/B99</f>
        <v>25952.135852995067</v>
      </c>
    </row>
    <row r="101" spans="1:2" s="2" customFormat="1">
      <c r="A101" s="2" t="s">
        <v>201</v>
      </c>
      <c r="B101" s="14">
        <f>B100*C73</f>
        <v>-1002739.552202223</v>
      </c>
    </row>
    <row r="102" spans="1:2" s="2" customFormat="1">
      <c r="A102" s="2" t="s">
        <v>78</v>
      </c>
      <c r="B102" s="14">
        <f>B43</f>
        <v>493</v>
      </c>
    </row>
    <row r="103" spans="1:2" s="2" customFormat="1">
      <c r="A103" s="2" t="s">
        <v>202</v>
      </c>
      <c r="B103" s="20">
        <f>(B101/B97)*B102</f>
        <v>-494350.5992356959</v>
      </c>
    </row>
    <row r="104" spans="1:2" s="2" customFormat="1">
      <c r="A104" s="2" t="s">
        <v>174</v>
      </c>
      <c r="B104" s="14">
        <f>B44</f>
        <v>1.306</v>
      </c>
    </row>
    <row r="105" spans="1:2" s="2" customFormat="1">
      <c r="A105" s="2" t="s">
        <v>199</v>
      </c>
      <c r="B105" s="14">
        <f>B104-(B104/(1+B39))</f>
        <v>0.21766666666666667</v>
      </c>
    </row>
    <row r="106" spans="1:2" s="2" customFormat="1">
      <c r="A106" s="2" t="s">
        <v>200</v>
      </c>
      <c r="B106" s="20">
        <f>B101*B105</f>
        <v>-218262.97586268387</v>
      </c>
    </row>
    <row r="107" spans="1:2" s="2" customFormat="1"/>
    <row r="108" spans="1:2" s="2" customFormat="1">
      <c r="A108" s="2" t="s">
        <v>175</v>
      </c>
      <c r="B108" s="21">
        <f>B46</f>
        <v>50.08</v>
      </c>
    </row>
    <row r="109" spans="1:2" s="2" customFormat="1">
      <c r="A109" s="2" t="s">
        <v>195</v>
      </c>
      <c r="B109" s="21">
        <f>B108/B32</f>
        <v>5.008E-2</v>
      </c>
    </row>
    <row r="110" spans="1:2" s="2" customFormat="1">
      <c r="A110" s="2" t="s">
        <v>203</v>
      </c>
      <c r="B110" s="21">
        <f>C74/B109</f>
        <v>-26.476329850328362</v>
      </c>
    </row>
    <row r="111" spans="1:2" s="2" customFormat="1">
      <c r="A111" s="2" t="s">
        <v>176</v>
      </c>
      <c r="B111" s="21">
        <f>B47</f>
        <v>55.79</v>
      </c>
    </row>
    <row r="112" spans="1:2" s="2" customFormat="1">
      <c r="A112" s="2" t="s">
        <v>204</v>
      </c>
      <c r="B112" s="20">
        <f>B110*B111</f>
        <v>-1477.1144423498192</v>
      </c>
    </row>
    <row r="113" spans="1:2" s="2" customFormat="1">
      <c r="A113" s="2" t="s">
        <v>177</v>
      </c>
      <c r="B113" s="21">
        <f>B48</f>
        <v>0.64300000000000002</v>
      </c>
    </row>
    <row r="114" spans="1:2" s="2" customFormat="1">
      <c r="A114" s="2" t="s">
        <v>205</v>
      </c>
      <c r="B114" s="21">
        <f>B113-(B113/(1+B39))</f>
        <v>0.10716666666666663</v>
      </c>
    </row>
    <row r="115" spans="1:2" s="2" customFormat="1">
      <c r="A115" s="2" t="s">
        <v>200</v>
      </c>
      <c r="B115" s="20">
        <f>(B110*'Teekasutus (aja)'!B47)*B114</f>
        <v>-2837.3800156268553</v>
      </c>
    </row>
    <row r="116" spans="1:2" s="2" customFormat="1"/>
    <row r="117" spans="1:2" s="2" customFormat="1">
      <c r="A117" s="2" t="s">
        <v>206</v>
      </c>
      <c r="B117" s="20">
        <f>B90+B103+B112</f>
        <v>-856841.2990366657</v>
      </c>
    </row>
    <row r="118" spans="1:2" s="2" customFormat="1">
      <c r="A118" s="2" t="s">
        <v>207</v>
      </c>
      <c r="B118" s="20">
        <f>B106+B93+B115</f>
        <v>-463599.38038687868</v>
      </c>
    </row>
    <row r="119" spans="1:2" s="2" customFormat="1"/>
    <row r="120" spans="1:2" s="2" customFormat="1">
      <c r="A120" s="2" t="s">
        <v>238</v>
      </c>
      <c r="B120" s="20">
        <f>(B20-(B20/(1+B39)))*(B8*B65)</f>
        <v>-4374423.8978175456</v>
      </c>
    </row>
    <row r="121" spans="1:2" s="2" customFormat="1">
      <c r="A121" s="2" t="s">
        <v>239</v>
      </c>
      <c r="B121" s="20">
        <f>(B21-(B21/(1+B39)))*((1-B8)*B65)</f>
        <v>-661059.09111146256</v>
      </c>
    </row>
    <row r="122" spans="1:2" s="2" customFormat="1"/>
    <row r="123" spans="1:2" s="2" customFormat="1">
      <c r="A123" s="2" t="s">
        <v>208</v>
      </c>
      <c r="B123" s="14">
        <f>B17</f>
        <v>11197100000</v>
      </c>
    </row>
    <row r="124" spans="1:2" s="2" customFormat="1">
      <c r="A124" s="2" t="s">
        <v>184</v>
      </c>
      <c r="B124" s="14">
        <f>-B66</f>
        <v>36694719.557661436</v>
      </c>
    </row>
    <row r="125" spans="1:2" s="2" customFormat="1">
      <c r="A125" s="2" t="s">
        <v>209</v>
      </c>
      <c r="B125" s="19">
        <f>B124/B123</f>
        <v>3.2771627973012152E-3</v>
      </c>
    </row>
    <row r="126" spans="1:2" s="2" customFormat="1"/>
    <row r="127" spans="1:2" s="2" customFormat="1">
      <c r="A127" s="2" t="s">
        <v>164</v>
      </c>
      <c r="B127" s="14">
        <f>B29</f>
        <v>-0.4</v>
      </c>
    </row>
    <row r="128" spans="1:2" s="2" customFormat="1">
      <c r="A128" s="2" t="s">
        <v>210</v>
      </c>
      <c r="B128" s="22">
        <f>B125*B127</f>
        <v>-1.3108651189204861E-3</v>
      </c>
    </row>
    <row r="129" spans="1:2" s="2" customFormat="1">
      <c r="A129" s="1" t="s">
        <v>127</v>
      </c>
      <c r="B129" s="14">
        <f>B50*B128</f>
        <v>-34107137.356168345</v>
      </c>
    </row>
    <row r="130" spans="1:2" s="2" customFormat="1"/>
    <row r="131" spans="1:2" s="2" customFormat="1"/>
    <row r="132" spans="1:2" s="2" customFormat="1">
      <c r="A132" s="2" t="s">
        <v>87</v>
      </c>
      <c r="B132" s="14">
        <f>B52</f>
        <v>2200000</v>
      </c>
    </row>
    <row r="133" spans="1:2" s="2" customFormat="1">
      <c r="A133" s="2" t="s">
        <v>211</v>
      </c>
      <c r="B133" s="14">
        <f>B53*B80</f>
        <v>321311.26848833257</v>
      </c>
    </row>
    <row r="134" spans="1:2" s="2" customFormat="1"/>
    <row r="135" spans="1:2" s="11" customFormat="1">
      <c r="A135" s="10" t="s">
        <v>11</v>
      </c>
    </row>
    <row r="136" spans="1:2" s="2" customFormat="1"/>
    <row r="137" spans="1:2" s="2" customFormat="1">
      <c r="A137" s="1" t="s">
        <v>121</v>
      </c>
    </row>
    <row r="138" spans="1:2" s="2" customFormat="1"/>
    <row r="139" spans="1:2" s="2" customFormat="1">
      <c r="A139" s="1" t="s">
        <v>122</v>
      </c>
      <c r="B139" s="20">
        <f>-B69</f>
        <v>21.702677044241021</v>
      </c>
    </row>
    <row r="140" spans="1:2" s="2" customFormat="1">
      <c r="A140" s="1" t="s">
        <v>123</v>
      </c>
      <c r="B140" s="20">
        <f>-((B55*(B58*B72))+(B56*(B58*B73))+(B57*B74))</f>
        <v>5081.4336222520742</v>
      </c>
    </row>
    <row r="141" spans="1:2" s="2" customFormat="1"/>
    <row r="142" spans="1:2" s="2" customFormat="1">
      <c r="A142" s="1" t="s">
        <v>124</v>
      </c>
      <c r="B142" s="20">
        <f>B80</f>
        <v>61790628.555448577</v>
      </c>
    </row>
    <row r="143" spans="1:2" s="2" customFormat="1">
      <c r="A143" s="2" t="s">
        <v>125</v>
      </c>
      <c r="B143" s="14">
        <f>B117</f>
        <v>-856841.2990366657</v>
      </c>
    </row>
    <row r="144" spans="1:2" s="2" customFormat="1">
      <c r="A144" s="2" t="s">
        <v>212</v>
      </c>
      <c r="B144" s="14">
        <f>B118</f>
        <v>-463599.38038687868</v>
      </c>
    </row>
    <row r="145" spans="1:13" s="2" customFormat="1">
      <c r="A145" s="2" t="s">
        <v>240</v>
      </c>
      <c r="B145" s="14">
        <f>SUM(B120:B121)</f>
        <v>-5035482.9889290081</v>
      </c>
    </row>
    <row r="146" spans="1:13" s="2" customFormat="1">
      <c r="A146" s="2" t="s">
        <v>127</v>
      </c>
      <c r="B146" s="14">
        <f>B129</f>
        <v>-34107137.356168345</v>
      </c>
    </row>
    <row r="147" spans="1:13" s="2" customFormat="1">
      <c r="A147" s="2" t="s">
        <v>128</v>
      </c>
      <c r="B147" s="14">
        <f>-B132</f>
        <v>-2200000</v>
      </c>
    </row>
    <row r="148" spans="1:13" s="2" customFormat="1">
      <c r="A148" s="2" t="s">
        <v>213</v>
      </c>
      <c r="B148" s="14">
        <f>-B133</f>
        <v>-321311.26848833257</v>
      </c>
    </row>
    <row r="149" spans="1:13" s="2" customFormat="1">
      <c r="A149" s="1" t="s">
        <v>130</v>
      </c>
      <c r="B149" s="20">
        <f>SUM(B143:B148)</f>
        <v>-42984372.293009229</v>
      </c>
    </row>
    <row r="150" spans="1:13" s="2" customFormat="1">
      <c r="A150" s="1" t="s">
        <v>131</v>
      </c>
      <c r="B150" s="20">
        <f>B142+B149</f>
        <v>18806256.262439348</v>
      </c>
    </row>
    <row r="151" spans="1:13" s="2" customFormat="1"/>
    <row r="152" spans="1:13" s="2" customFormat="1">
      <c r="A152" s="1" t="s">
        <v>132</v>
      </c>
    </row>
    <row r="153" spans="1:13" s="2" customFormat="1">
      <c r="C153" s="9" t="s">
        <v>133</v>
      </c>
      <c r="D153" s="50">
        <v>1</v>
      </c>
      <c r="E153" s="50">
        <v>2</v>
      </c>
      <c r="F153" s="50">
        <v>3</v>
      </c>
      <c r="G153" s="50">
        <v>4</v>
      </c>
      <c r="H153" s="50">
        <v>5</v>
      </c>
      <c r="I153" s="50">
        <v>6</v>
      </c>
      <c r="J153" s="50">
        <v>7</v>
      </c>
      <c r="K153" s="50">
        <v>8</v>
      </c>
      <c r="L153" s="50">
        <v>9</v>
      </c>
      <c r="M153" s="50">
        <v>10</v>
      </c>
    </row>
    <row r="154" spans="1:13" s="2" customFormat="1">
      <c r="C154" s="9" t="s">
        <v>14</v>
      </c>
      <c r="D154" s="40">
        <v>2021</v>
      </c>
      <c r="E154" s="40">
        <v>2022</v>
      </c>
      <c r="F154" s="40">
        <v>2023</v>
      </c>
      <c r="G154" s="40">
        <v>2024</v>
      </c>
      <c r="H154" s="40">
        <v>2025</v>
      </c>
      <c r="I154" s="40">
        <v>2026</v>
      </c>
      <c r="J154" s="40">
        <v>2027</v>
      </c>
      <c r="K154" s="40">
        <v>2028</v>
      </c>
      <c r="L154" s="40">
        <v>2029</v>
      </c>
      <c r="M154" s="40">
        <v>2030</v>
      </c>
    </row>
    <row r="155" spans="1:13" s="2" customFormat="1">
      <c r="A155" s="49" t="s">
        <v>122</v>
      </c>
      <c r="D155" s="14"/>
      <c r="E155" s="14"/>
      <c r="F155" s="14">
        <f>$B$139</f>
        <v>21.702677044241021</v>
      </c>
      <c r="G155" s="14">
        <f t="shared" ref="G155:M155" si="0">$B$139</f>
        <v>21.702677044241021</v>
      </c>
      <c r="H155" s="14">
        <f t="shared" si="0"/>
        <v>21.702677044241021</v>
      </c>
      <c r="I155" s="14">
        <f t="shared" si="0"/>
        <v>21.702677044241021</v>
      </c>
      <c r="J155" s="14">
        <f t="shared" si="0"/>
        <v>21.702677044241021</v>
      </c>
      <c r="K155" s="14">
        <f t="shared" si="0"/>
        <v>21.702677044241021</v>
      </c>
      <c r="L155" s="14">
        <f t="shared" si="0"/>
        <v>21.702677044241021</v>
      </c>
      <c r="M155" s="14">
        <f t="shared" si="0"/>
        <v>21.702677044241021</v>
      </c>
    </row>
    <row r="156" spans="1:13" s="2" customFormat="1">
      <c r="A156" s="1" t="s">
        <v>134</v>
      </c>
      <c r="D156" s="20"/>
      <c r="E156" s="20"/>
      <c r="F156" s="20">
        <f>E156+F155</f>
        <v>21.702677044241021</v>
      </c>
      <c r="G156" s="20">
        <f t="shared" ref="G156:M156" si="1">F156+G155</f>
        <v>43.405354088482042</v>
      </c>
      <c r="H156" s="20">
        <f t="shared" si="1"/>
        <v>65.108031132723056</v>
      </c>
      <c r="I156" s="20">
        <f t="shared" si="1"/>
        <v>86.810708176964084</v>
      </c>
      <c r="J156" s="20">
        <f t="shared" si="1"/>
        <v>108.51338522120511</v>
      </c>
      <c r="K156" s="20">
        <f t="shared" si="1"/>
        <v>130.21606226544614</v>
      </c>
      <c r="L156" s="20">
        <f t="shared" si="1"/>
        <v>151.91873930968717</v>
      </c>
      <c r="M156" s="20">
        <f t="shared" si="1"/>
        <v>173.6214163539282</v>
      </c>
    </row>
    <row r="157" spans="1:13" s="2" customFormat="1">
      <c r="A157" s="49" t="s">
        <v>135</v>
      </c>
      <c r="D157" s="14"/>
      <c r="E157" s="14"/>
      <c r="F157" s="14">
        <f>$B$140/1000</f>
        <v>5.0814336222520744</v>
      </c>
      <c r="G157" s="14">
        <f t="shared" ref="G157:M157" si="2">$B$140/1000</f>
        <v>5.0814336222520744</v>
      </c>
      <c r="H157" s="14">
        <f t="shared" si="2"/>
        <v>5.0814336222520744</v>
      </c>
      <c r="I157" s="14">
        <f t="shared" si="2"/>
        <v>5.0814336222520744</v>
      </c>
      <c r="J157" s="14">
        <f t="shared" si="2"/>
        <v>5.0814336222520744</v>
      </c>
      <c r="K157" s="14">
        <f t="shared" si="2"/>
        <v>5.0814336222520744</v>
      </c>
      <c r="L157" s="14">
        <f t="shared" si="2"/>
        <v>5.0814336222520744</v>
      </c>
      <c r="M157" s="14">
        <f t="shared" si="2"/>
        <v>5.0814336222520744</v>
      </c>
    </row>
    <row r="158" spans="1:13" s="2" customFormat="1">
      <c r="A158" s="1" t="s">
        <v>136</v>
      </c>
      <c r="D158" s="20"/>
      <c r="E158" s="20"/>
      <c r="F158" s="20">
        <f>E158+F157</f>
        <v>5.0814336222520744</v>
      </c>
      <c r="G158" s="20">
        <f t="shared" ref="G158:M158" si="3">F158+G157</f>
        <v>10.162867244504149</v>
      </c>
      <c r="H158" s="20">
        <f t="shared" si="3"/>
        <v>15.244300866756223</v>
      </c>
      <c r="I158" s="20">
        <f t="shared" si="3"/>
        <v>20.325734489008298</v>
      </c>
      <c r="J158" s="20">
        <f t="shared" si="3"/>
        <v>25.407168111260372</v>
      </c>
      <c r="K158" s="20">
        <f t="shared" si="3"/>
        <v>30.488601733512446</v>
      </c>
      <c r="L158" s="20">
        <f t="shared" si="3"/>
        <v>35.570035355764517</v>
      </c>
      <c r="M158" s="20">
        <f t="shared" si="3"/>
        <v>40.651468978016595</v>
      </c>
    </row>
    <row r="159" spans="1:13" s="2" customFormat="1">
      <c r="A159" s="2" t="s">
        <v>137</v>
      </c>
      <c r="D159" s="14"/>
      <c r="E159" s="14"/>
      <c r="F159" s="14">
        <f>$B$150</f>
        <v>18806256.262439348</v>
      </c>
      <c r="G159" s="14">
        <f>$B$150-$B$147</f>
        <v>21006256.262439348</v>
      </c>
      <c r="H159" s="14">
        <f t="shared" ref="H159:M159" si="4">$B$150-$B$147</f>
        <v>21006256.262439348</v>
      </c>
      <c r="I159" s="14">
        <f t="shared" si="4"/>
        <v>21006256.262439348</v>
      </c>
      <c r="J159" s="14">
        <f t="shared" si="4"/>
        <v>21006256.262439348</v>
      </c>
      <c r="K159" s="14">
        <f t="shared" si="4"/>
        <v>21006256.262439348</v>
      </c>
      <c r="L159" s="14">
        <f t="shared" si="4"/>
        <v>21006256.262439348</v>
      </c>
      <c r="M159" s="14">
        <f t="shared" si="4"/>
        <v>21006256.262439348</v>
      </c>
    </row>
    <row r="160" spans="1:13" s="2" customFormat="1">
      <c r="A160" s="1" t="s">
        <v>138</v>
      </c>
      <c r="D160" s="20"/>
      <c r="E160" s="20"/>
      <c r="F160" s="20">
        <f>E160+F159</f>
        <v>18806256.262439348</v>
      </c>
      <c r="G160" s="20">
        <f>F160+G159</f>
        <v>39812512.524878696</v>
      </c>
      <c r="H160" s="20">
        <f t="shared" ref="H160:M160" si="5">G160+H159</f>
        <v>60818768.787318043</v>
      </c>
      <c r="I160" s="20">
        <f t="shared" si="5"/>
        <v>81825025.049757391</v>
      </c>
      <c r="J160" s="20">
        <f t="shared" si="5"/>
        <v>102831281.31219673</v>
      </c>
      <c r="K160" s="20">
        <f t="shared" si="5"/>
        <v>123837537.57463607</v>
      </c>
      <c r="L160" s="20">
        <f t="shared" si="5"/>
        <v>144843793.83707541</v>
      </c>
      <c r="M160" s="20">
        <f t="shared" si="5"/>
        <v>165850050.09951475</v>
      </c>
    </row>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sheetData>
  <pageMargins left="0.7" right="0.7" top="0.75" bottom="0.75" header="0.3" footer="0.3"/>
  <pageSetup paperSize="9"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483B7-00B2-43B4-9EE9-D072C48394CC}">
  <dimension ref="A1:Y390"/>
  <sheetViews>
    <sheetView tabSelected="1" topLeftCell="A19" workbookViewId="0">
      <selection activeCell="I151" sqref="I151:U151"/>
    </sheetView>
  </sheetViews>
  <sheetFormatPr defaultRowHeight="15"/>
  <cols>
    <col min="1" max="1" width="11.42578125" customWidth="1"/>
    <col min="3" max="3" width="7.28515625" customWidth="1"/>
    <col min="4" max="4" width="22.140625" customWidth="1"/>
    <col min="5" max="5" width="20.28515625" bestFit="1" customWidth="1"/>
    <col min="6" max="6" width="13.140625" bestFit="1" customWidth="1"/>
    <col min="7" max="7" width="20.28515625" bestFit="1" customWidth="1"/>
    <col min="8" max="8" width="15.28515625" customWidth="1"/>
    <col min="9" max="9" width="36.85546875" bestFit="1" customWidth="1"/>
    <col min="10" max="10" width="17" customWidth="1"/>
    <col min="11" max="11" width="19.28515625" bestFit="1" customWidth="1"/>
    <col min="12" max="12" width="15.7109375" customWidth="1"/>
    <col min="13" max="13" width="19.28515625" customWidth="1"/>
    <col min="14" max="14" width="15.28515625" customWidth="1"/>
    <col min="15" max="15" width="19.28515625" customWidth="1"/>
    <col min="16" max="16" width="12.42578125" customWidth="1"/>
    <col min="17" max="17" width="19.28515625" customWidth="1"/>
    <col min="18" max="18" width="13.42578125" customWidth="1"/>
    <col min="19" max="19" width="19.28515625" customWidth="1"/>
    <col min="20" max="20" width="14.7109375" customWidth="1"/>
    <col min="21" max="21" width="19.28515625" customWidth="1"/>
  </cols>
  <sheetData>
    <row r="1" spans="1:14" s="2" customFormat="1"/>
    <row r="2" spans="1:14" s="2" customFormat="1">
      <c r="A2" s="1" t="s">
        <v>241</v>
      </c>
    </row>
    <row r="3" spans="1:14" s="2" customFormat="1"/>
    <row r="4" spans="1:14" s="11" customFormat="1">
      <c r="A4" s="10" t="s">
        <v>33</v>
      </c>
    </row>
    <row r="5" spans="1:14" s="2" customFormat="1">
      <c r="N5" s="1"/>
    </row>
    <row r="6" spans="1:14" s="2" customFormat="1">
      <c r="A6" s="1" t="s">
        <v>242</v>
      </c>
    </row>
    <row r="7" spans="1:14" s="2" customFormat="1">
      <c r="N7" s="1" t="s">
        <v>139</v>
      </c>
    </row>
    <row r="8" spans="1:14" s="2" customFormat="1">
      <c r="A8" s="1" t="s">
        <v>243</v>
      </c>
      <c r="B8" s="1"/>
      <c r="C8" s="1"/>
      <c r="D8" s="1">
        <v>2010</v>
      </c>
      <c r="E8" s="1">
        <v>2011</v>
      </c>
      <c r="F8" s="1">
        <v>2012</v>
      </c>
      <c r="G8" s="1">
        <v>2013</v>
      </c>
      <c r="H8" s="1">
        <v>2014</v>
      </c>
      <c r="I8" s="1">
        <v>2015</v>
      </c>
      <c r="J8" s="1">
        <v>2016</v>
      </c>
      <c r="K8" s="1">
        <v>2017</v>
      </c>
      <c r="L8" s="1">
        <v>2018</v>
      </c>
    </row>
    <row r="9" spans="1:14" s="2" customFormat="1">
      <c r="A9" s="2" t="s">
        <v>244</v>
      </c>
      <c r="B9" s="2" t="s">
        <v>245</v>
      </c>
      <c r="D9" s="32">
        <v>0.269139585517297</v>
      </c>
      <c r="E9" s="32">
        <v>0.33089997735807808</v>
      </c>
      <c r="F9" s="32">
        <v>0.41023316626716061</v>
      </c>
      <c r="G9" s="32">
        <v>0.46427214928577326</v>
      </c>
      <c r="H9" s="32">
        <v>0.54039965845865701</v>
      </c>
      <c r="I9" s="32">
        <v>0.62114218158703005</v>
      </c>
      <c r="J9" s="32">
        <v>0.68092460472770655</v>
      </c>
      <c r="K9" s="32">
        <v>0.6822543987101064</v>
      </c>
      <c r="L9" s="32">
        <v>0.68830939246553924</v>
      </c>
      <c r="N9" s="54" t="s">
        <v>334</v>
      </c>
    </row>
    <row r="10" spans="1:14" s="2" customFormat="1">
      <c r="A10" s="2" t="s">
        <v>246</v>
      </c>
      <c r="B10" s="2" t="s">
        <v>247</v>
      </c>
      <c r="D10" s="32">
        <v>0.38875090718490446</v>
      </c>
      <c r="E10" s="32">
        <v>0.42220157556546251</v>
      </c>
      <c r="F10" s="32">
        <v>0.37090433645674437</v>
      </c>
      <c r="G10" s="32">
        <v>0.3458591363223516</v>
      </c>
      <c r="H10" s="32">
        <v>0.31348124276979011</v>
      </c>
      <c r="I10" s="32">
        <v>0.27080622835314594</v>
      </c>
      <c r="J10" s="32">
        <v>0.22838793034342597</v>
      </c>
      <c r="K10" s="32">
        <v>0.23107860061124194</v>
      </c>
      <c r="L10" s="32">
        <v>0.23072983006441145</v>
      </c>
      <c r="N10" s="49"/>
    </row>
    <row r="11" spans="1:14" s="2" customFormat="1">
      <c r="A11" s="2" t="s">
        <v>248</v>
      </c>
      <c r="B11" s="2" t="s">
        <v>249</v>
      </c>
      <c r="D11" s="32">
        <v>0.16080154826223692</v>
      </c>
      <c r="E11" s="32">
        <v>0.1275599034985673</v>
      </c>
      <c r="F11" s="32">
        <v>0.11633907169317934</v>
      </c>
      <c r="G11" s="32">
        <v>0.10672941953595905</v>
      </c>
      <c r="H11" s="32">
        <v>7.9979893130612018E-2</v>
      </c>
      <c r="I11" s="32">
        <v>5.7489291676320498E-2</v>
      </c>
      <c r="J11" s="32">
        <v>5.1162593306895397E-2</v>
      </c>
      <c r="K11" s="32">
        <v>4.8899354597750883E-2</v>
      </c>
      <c r="L11" s="32">
        <v>4.6502246014514102E-2</v>
      </c>
      <c r="N11" s="6"/>
    </row>
    <row r="12" spans="1:14" s="2" customFormat="1">
      <c r="A12" s="2" t="s">
        <v>250</v>
      </c>
      <c r="B12" s="2" t="s">
        <v>251</v>
      </c>
      <c r="D12" s="32">
        <v>9.0218530763648094E-2</v>
      </c>
      <c r="E12" s="32">
        <v>5.7596364800399744E-2</v>
      </c>
      <c r="F12" s="32">
        <v>4.7731531924166487E-2</v>
      </c>
      <c r="G12" s="32">
        <v>3.7470068532738834E-2</v>
      </c>
      <c r="H12" s="32">
        <v>2.9616316862226631E-2</v>
      </c>
      <c r="I12" s="32">
        <v>2.2616692509223119E-2</v>
      </c>
      <c r="J12" s="32">
        <v>1.734341181407938E-2</v>
      </c>
      <c r="K12" s="32">
        <v>1.6948071763993204E-2</v>
      </c>
      <c r="L12" s="32">
        <v>1.5547587857469868E-2</v>
      </c>
    </row>
    <row r="13" spans="1:14" s="2" customFormat="1">
      <c r="A13" s="2" t="s">
        <v>252</v>
      </c>
      <c r="B13" s="2" t="s">
        <v>253</v>
      </c>
      <c r="D13" s="32">
        <v>4.2286912345778568E-2</v>
      </c>
      <c r="E13" s="32">
        <v>2.7435763306032902E-2</v>
      </c>
      <c r="F13" s="32">
        <v>2.382218348224014E-2</v>
      </c>
      <c r="G13" s="32">
        <v>1.9436875567665757E-2</v>
      </c>
      <c r="H13" s="32">
        <v>1.3124552415578692E-2</v>
      </c>
      <c r="I13" s="32">
        <v>1.1400428927028937E-2</v>
      </c>
      <c r="J13" s="32">
        <v>9.355445633260873E-3</v>
      </c>
      <c r="K13" s="32">
        <v>9.742522306686768E-3</v>
      </c>
      <c r="L13" s="32">
        <v>8.3539954581099037E-3</v>
      </c>
    </row>
    <row r="14" spans="1:14" s="2" customFormat="1">
      <c r="A14" s="2" t="s">
        <v>254</v>
      </c>
      <c r="B14" s="2" t="s">
        <v>255</v>
      </c>
      <c r="D14" s="32">
        <v>2.1804693169905652E-2</v>
      </c>
      <c r="E14" s="32">
        <v>1.569319415057659E-2</v>
      </c>
      <c r="F14" s="32">
        <v>1.6613641316190891E-2</v>
      </c>
      <c r="G14" s="32">
        <v>1.3012963421682767E-2</v>
      </c>
      <c r="H14" s="32">
        <v>1.1203382361042251E-2</v>
      </c>
      <c r="I14" s="32">
        <v>7.0339280091726219E-3</v>
      </c>
      <c r="J14" s="32">
        <v>5.2718690614847056E-3</v>
      </c>
      <c r="K14" s="32">
        <v>4.4044034925507739E-3</v>
      </c>
      <c r="L14" s="32">
        <v>4.5146931504489764E-3</v>
      </c>
    </row>
    <row r="15" spans="1:14" s="2" customFormat="1">
      <c r="A15" s="2" t="s">
        <v>256</v>
      </c>
      <c r="B15" s="2" t="s">
        <v>257</v>
      </c>
      <c r="D15" s="32">
        <v>1.2345778566244657E-2</v>
      </c>
      <c r="E15" s="32">
        <v>7.2454150108134698E-3</v>
      </c>
      <c r="F15" s="32">
        <v>5.334495532795816E-3</v>
      </c>
      <c r="G15" s="32">
        <v>4.3266451985798033E-3</v>
      </c>
      <c r="H15" s="32">
        <v>3.8216823665509834E-3</v>
      </c>
      <c r="I15" s="32">
        <v>2.7268352670694542E-3</v>
      </c>
      <c r="J15" s="32">
        <v>2.3105687299888244E-3</v>
      </c>
      <c r="K15" s="32">
        <v>2.2135885184898407E-3</v>
      </c>
      <c r="L15" s="32">
        <v>2.3208061174998752E-3</v>
      </c>
    </row>
    <row r="16" spans="1:14" s="2" customFormat="1">
      <c r="A16" s="2" t="s">
        <v>258</v>
      </c>
      <c r="D16" s="32">
        <v>1.4652044189984679E-2</v>
      </c>
      <c r="E16" s="32">
        <v>1.1367806310069409E-2</v>
      </c>
      <c r="F16" s="32">
        <v>9.0215733275223354E-3</v>
      </c>
      <c r="G16" s="32">
        <v>8.8927421352489478E-3</v>
      </c>
      <c r="H16" s="32">
        <v>8.3732716355423339E-3</v>
      </c>
      <c r="I16" s="32">
        <v>6.7844136710094047E-3</v>
      </c>
      <c r="J16" s="32">
        <v>5.2435763831583113E-3</v>
      </c>
      <c r="K16" s="32">
        <v>4.4590599991801523E-3</v>
      </c>
      <c r="L16" s="32">
        <v>3.7214488720066362E-3</v>
      </c>
    </row>
    <row r="17" spans="1:14" s="2" customFormat="1">
      <c r="D17" s="32">
        <v>0.99999999999999989</v>
      </c>
      <c r="E17" s="32">
        <v>0.99999999999999989</v>
      </c>
      <c r="F17" s="32">
        <v>1</v>
      </c>
      <c r="G17" s="32">
        <v>1</v>
      </c>
      <c r="H17" s="32">
        <v>1</v>
      </c>
      <c r="I17" s="32">
        <v>1</v>
      </c>
      <c r="J17" s="32">
        <v>1</v>
      </c>
      <c r="K17" s="32">
        <v>1</v>
      </c>
      <c r="L17" s="32">
        <v>1</v>
      </c>
    </row>
    <row r="18" spans="1:14" s="2" customFormat="1">
      <c r="A18" s="2" t="s">
        <v>259</v>
      </c>
      <c r="D18" s="24">
        <v>124010</v>
      </c>
      <c r="E18" s="24">
        <v>128081</v>
      </c>
      <c r="F18" s="24">
        <v>114725</v>
      </c>
      <c r="G18" s="24">
        <v>121110</v>
      </c>
      <c r="H18" s="24">
        <v>145224</v>
      </c>
      <c r="I18" s="24">
        <v>168327</v>
      </c>
      <c r="J18" s="24">
        <v>212069</v>
      </c>
      <c r="K18" s="24">
        <v>219553</v>
      </c>
      <c r="L18" s="24">
        <v>220613</v>
      </c>
    </row>
    <row r="19" spans="1:14" s="2" customFormat="1"/>
    <row r="20" spans="1:14" s="2" customFormat="1">
      <c r="A20" s="1" t="s">
        <v>260</v>
      </c>
    </row>
    <row r="21" spans="1:14" s="2" customFormat="1"/>
    <row r="22" spans="1:14" s="2" customFormat="1">
      <c r="A22" s="1" t="s">
        <v>243</v>
      </c>
      <c r="D22" s="50">
        <v>2018</v>
      </c>
      <c r="E22" s="50"/>
      <c r="G22" s="55"/>
      <c r="H22" s="55"/>
    </row>
    <row r="23" spans="1:14" s="2" customFormat="1">
      <c r="A23" s="2" t="s">
        <v>244</v>
      </c>
      <c r="B23" s="2" t="s">
        <v>245</v>
      </c>
      <c r="C23" s="7"/>
      <c r="D23" s="32">
        <v>0.22777204949238578</v>
      </c>
      <c r="E23" s="14">
        <f>D23*$D$32</f>
        <v>11487</v>
      </c>
      <c r="G23" s="7"/>
      <c r="H23" s="7"/>
      <c r="N23" s="49" t="s">
        <v>215</v>
      </c>
    </row>
    <row r="24" spans="1:14" s="2" customFormat="1">
      <c r="A24" s="2" t="s">
        <v>246</v>
      </c>
      <c r="B24" s="2" t="s">
        <v>247</v>
      </c>
      <c r="C24" s="7"/>
      <c r="D24" s="32">
        <v>0.25725729695431471</v>
      </c>
      <c r="E24" s="14">
        <f t="shared" ref="E24:E30" si="0">D24*$D$32</f>
        <v>12974</v>
      </c>
      <c r="F24" s="19">
        <f>E24/(SUM($E$24:$E$30))</f>
        <v>0.33313647451534217</v>
      </c>
      <c r="G24" s="7"/>
      <c r="H24" s="7"/>
      <c r="N24" s="49"/>
    </row>
    <row r="25" spans="1:14" s="2" customFormat="1">
      <c r="A25" s="2" t="s">
        <v>248</v>
      </c>
      <c r="B25" s="2" t="s">
        <v>249</v>
      </c>
      <c r="C25" s="7"/>
      <c r="D25" s="32">
        <v>0.12672509517766498</v>
      </c>
      <c r="E25" s="14">
        <f t="shared" si="0"/>
        <v>6391</v>
      </c>
      <c r="F25" s="19">
        <f t="shared" ref="F25:F30" si="1">E25/(SUM($E$24:$E$30))</f>
        <v>0.16410322249325973</v>
      </c>
      <c r="G25" s="7"/>
      <c r="H25" s="7"/>
      <c r="N25" s="49"/>
    </row>
    <row r="26" spans="1:14" s="2" customFormat="1">
      <c r="A26" s="2" t="s">
        <v>250</v>
      </c>
      <c r="B26" s="2" t="s">
        <v>251</v>
      </c>
      <c r="C26" s="7"/>
      <c r="D26" s="32">
        <v>0.11825824873096447</v>
      </c>
      <c r="E26" s="14">
        <f t="shared" si="0"/>
        <v>5964</v>
      </c>
      <c r="F26" s="19">
        <f t="shared" si="1"/>
        <v>0.15313904223905508</v>
      </c>
      <c r="G26" s="7"/>
      <c r="H26" s="7"/>
      <c r="N26" s="49"/>
    </row>
    <row r="27" spans="1:14" s="2" customFormat="1">
      <c r="A27" s="2" t="s">
        <v>252</v>
      </c>
      <c r="B27" s="2" t="s">
        <v>253</v>
      </c>
      <c r="C27" s="7"/>
      <c r="D27" s="32">
        <v>7.6261104060913701E-2</v>
      </c>
      <c r="E27" s="14">
        <f t="shared" si="0"/>
        <v>3845.9999999999995</v>
      </c>
      <c r="F27" s="19">
        <f t="shared" si="1"/>
        <v>9.8754653999229669E-2</v>
      </c>
      <c r="G27" s="7"/>
      <c r="H27" s="7"/>
      <c r="N27" s="49"/>
    </row>
    <row r="28" spans="1:14" s="2" customFormat="1">
      <c r="A28" s="2" t="s">
        <v>254</v>
      </c>
      <c r="B28" s="2" t="s">
        <v>255</v>
      </c>
      <c r="C28" s="7"/>
      <c r="D28" s="32">
        <v>7.5705901015228422E-2</v>
      </c>
      <c r="E28" s="14">
        <f t="shared" si="0"/>
        <v>3817.9999999999995</v>
      </c>
      <c r="F28" s="19">
        <f t="shared" si="1"/>
        <v>9.8035691359609697E-2</v>
      </c>
      <c r="G28" s="7"/>
      <c r="H28" s="7"/>
      <c r="N28" s="49"/>
    </row>
    <row r="29" spans="1:14" s="2" customFormat="1">
      <c r="A29" s="2" t="s">
        <v>256</v>
      </c>
      <c r="B29" s="2" t="s">
        <v>257</v>
      </c>
      <c r="C29" s="7"/>
      <c r="D29" s="32">
        <v>4.780694796954315E-2</v>
      </c>
      <c r="E29" s="14">
        <f t="shared" si="0"/>
        <v>2411</v>
      </c>
      <c r="F29" s="19">
        <f t="shared" si="1"/>
        <v>6.1907818718705869E-2</v>
      </c>
      <c r="G29" s="7"/>
      <c r="H29" s="7"/>
      <c r="N29" s="49"/>
    </row>
    <row r="30" spans="1:14" s="2" customFormat="1">
      <c r="A30" s="2" t="s">
        <v>258</v>
      </c>
      <c r="C30" s="7"/>
      <c r="D30" s="32">
        <v>7.0213356598984769E-2</v>
      </c>
      <c r="E30" s="14">
        <f t="shared" si="0"/>
        <v>3541</v>
      </c>
      <c r="F30" s="19">
        <f t="shared" si="1"/>
        <v>9.0923096674797796E-2</v>
      </c>
      <c r="G30" s="7"/>
      <c r="H30" s="7"/>
      <c r="N30" s="49"/>
    </row>
    <row r="31" spans="1:14" s="2" customFormat="1">
      <c r="D31" s="32">
        <f>SUM(D23:D30)</f>
        <v>0.99999999999999989</v>
      </c>
      <c r="N31" s="49"/>
    </row>
    <row r="32" spans="1:14" s="2" customFormat="1">
      <c r="A32" s="2" t="s">
        <v>261</v>
      </c>
      <c r="C32" s="7"/>
      <c r="D32" s="24">
        <v>50432</v>
      </c>
      <c r="G32" s="7"/>
      <c r="N32" s="49"/>
    </row>
    <row r="33" spans="1:14" s="2" customFormat="1">
      <c r="N33" s="49"/>
    </row>
    <row r="34" spans="1:14" s="2" customFormat="1">
      <c r="A34" s="2" t="s">
        <v>262</v>
      </c>
      <c r="E34" s="32">
        <v>0.49377601625206635</v>
      </c>
      <c r="N34" s="49" t="s">
        <v>215</v>
      </c>
    </row>
    <row r="35" spans="1:14" s="2" customFormat="1">
      <c r="A35" s="2" t="s">
        <v>263</v>
      </c>
      <c r="E35" s="32">
        <v>0.50622398374793365</v>
      </c>
      <c r="N35" s="49" t="s">
        <v>215</v>
      </c>
    </row>
    <row r="36" spans="1:14" s="2" customFormat="1">
      <c r="N36" s="49"/>
    </row>
    <row r="37" spans="1:14" s="2" customFormat="1">
      <c r="A37" s="2" t="s">
        <v>264</v>
      </c>
      <c r="E37" s="24">
        <v>249.4800000000007</v>
      </c>
      <c r="N37" s="49" t="s">
        <v>81</v>
      </c>
    </row>
    <row r="38" spans="1:14" s="2" customFormat="1">
      <c r="A38" s="2" t="s">
        <v>265</v>
      </c>
      <c r="E38" s="24">
        <v>266.76000000000079</v>
      </c>
      <c r="N38" s="49" t="s">
        <v>81</v>
      </c>
    </row>
    <row r="39" spans="1:14" s="2" customFormat="1">
      <c r="A39" s="2" t="s">
        <v>179</v>
      </c>
      <c r="E39" s="14">
        <f>'Registreerimismaks (1)'!$B$55</f>
        <v>251.62894800000075</v>
      </c>
      <c r="N39" s="49"/>
    </row>
    <row r="40" spans="1:14" s="2" customFormat="1">
      <c r="A40" s="2" t="s">
        <v>80</v>
      </c>
      <c r="E40" s="14">
        <f>'Registreerimismaks (1)'!$B$56</f>
        <v>269.79418800000076</v>
      </c>
      <c r="N40" s="49"/>
    </row>
    <row r="41" spans="1:14" s="2" customFormat="1">
      <c r="A41" s="51" t="s">
        <v>331</v>
      </c>
      <c r="E41" s="19">
        <f>'Registreerimismaks (1)'!B58</f>
        <v>0.9</v>
      </c>
      <c r="N41" s="49"/>
    </row>
    <row r="42" spans="1:14" s="2" customFormat="1">
      <c r="N42" s="49"/>
    </row>
    <row r="43" spans="1:14" s="2" customFormat="1">
      <c r="A43" s="2" t="s">
        <v>266</v>
      </c>
      <c r="E43" s="24">
        <v>1000000</v>
      </c>
      <c r="N43" s="49"/>
    </row>
    <row r="44" spans="1:14" s="2" customFormat="1">
      <c r="A44" s="2" t="s">
        <v>83</v>
      </c>
      <c r="E44" s="14">
        <f>Aastamaks!B63</f>
        <v>3.6</v>
      </c>
      <c r="N44" s="49"/>
    </row>
    <row r="45" spans="1:14" s="2" customFormat="1">
      <c r="N45" s="49"/>
    </row>
    <row r="46" spans="1:14" s="2" customFormat="1">
      <c r="A46" s="2" t="s">
        <v>267</v>
      </c>
      <c r="E46" s="14">
        <f>'Registreerimismaks (1)'!B87</f>
        <v>28663.996901995211</v>
      </c>
      <c r="N46" s="49"/>
    </row>
    <row r="47" spans="1:14" s="2" customFormat="1">
      <c r="A47" s="2" t="s">
        <v>268</v>
      </c>
      <c r="E47" s="14">
        <f>Aastamaks!B107</f>
        <v>25952.135852995067</v>
      </c>
      <c r="N47" s="49"/>
    </row>
    <row r="48" spans="1:14" s="2" customFormat="1">
      <c r="N48" s="49"/>
    </row>
    <row r="49" spans="1:14" s="2" customFormat="1">
      <c r="A49" s="2" t="s">
        <v>269</v>
      </c>
      <c r="E49" s="30">
        <f>Aastamaks!B38/1000</f>
        <v>0.33</v>
      </c>
      <c r="N49" s="49"/>
    </row>
    <row r="50" spans="1:14" s="2" customFormat="1">
      <c r="A50" s="2" t="s">
        <v>114</v>
      </c>
      <c r="E50" s="30">
        <f>Aastamaks!B44/1000</f>
        <v>0.49299999999999999</v>
      </c>
      <c r="N50" s="49"/>
    </row>
    <row r="51" spans="1:14" s="2" customFormat="1">
      <c r="A51" s="2" t="s">
        <v>270</v>
      </c>
      <c r="E51" s="30">
        <f>Aastamaks!B99</f>
        <v>0.22166666666666668</v>
      </c>
      <c r="N51" s="49"/>
    </row>
    <row r="52" spans="1:14" s="2" customFormat="1">
      <c r="A52" s="2" t="s">
        <v>271</v>
      </c>
      <c r="E52" s="30">
        <f>Aastamaks!B112</f>
        <v>0.21766666666666667</v>
      </c>
      <c r="N52" s="49"/>
    </row>
    <row r="53" spans="1:14" s="2" customFormat="1">
      <c r="N53" s="49"/>
    </row>
    <row r="54" spans="1:14" s="2" customFormat="1">
      <c r="A54" s="2" t="s">
        <v>272</v>
      </c>
      <c r="G54" s="14">
        <f>'Registreerimismaks (1)'!B65</f>
        <v>-2087.8337051108742</v>
      </c>
      <c r="N54" s="2" t="s">
        <v>273</v>
      </c>
    </row>
    <row r="55" spans="1:14" s="2" customFormat="1"/>
    <row r="56" spans="1:14" s="2" customFormat="1">
      <c r="A56" s="2" t="s">
        <v>274</v>
      </c>
      <c r="G56" s="14">
        <f>D32+G54</f>
        <v>48344.166294889124</v>
      </c>
    </row>
    <row r="57" spans="1:14" s="2" customFormat="1"/>
    <row r="58" spans="1:14" s="2" customFormat="1">
      <c r="A58" s="1" t="s">
        <v>275</v>
      </c>
    </row>
    <row r="59" spans="1:14" s="2" customFormat="1">
      <c r="A59" s="1"/>
    </row>
    <row r="60" spans="1:14" s="2" customFormat="1">
      <c r="A60" s="2" t="s">
        <v>244</v>
      </c>
      <c r="B60" s="2" t="s">
        <v>245</v>
      </c>
      <c r="D60" s="14">
        <f>E23</f>
        <v>11487</v>
      </c>
    </row>
    <row r="61" spans="1:14" s="2" customFormat="1">
      <c r="A61" s="2" t="s">
        <v>246</v>
      </c>
      <c r="B61" s="2" t="s">
        <v>247</v>
      </c>
      <c r="D61" s="14">
        <f t="shared" ref="D61:D67" si="2">($D$68-$D$60)*F24</f>
        <v>12278.46644010506</v>
      </c>
    </row>
    <row r="62" spans="1:14" s="2" customFormat="1">
      <c r="A62" s="2" t="s">
        <v>248</v>
      </c>
      <c r="B62" s="2" t="s">
        <v>249</v>
      </c>
      <c r="D62" s="14">
        <f t="shared" si="2"/>
        <v>6048.3797609612639</v>
      </c>
    </row>
    <row r="63" spans="1:14" s="2" customFormat="1">
      <c r="A63" s="2" t="s">
        <v>250</v>
      </c>
      <c r="B63" s="2" t="s">
        <v>251</v>
      </c>
      <c r="D63" s="14">
        <f t="shared" si="2"/>
        <v>5644.2711460449027</v>
      </c>
    </row>
    <row r="64" spans="1:14" s="2" customFormat="1">
      <c r="A64" s="2" t="s">
        <v>252</v>
      </c>
      <c r="B64" s="2" t="s">
        <v>253</v>
      </c>
      <c r="D64" s="14">
        <f t="shared" si="2"/>
        <v>3639.8167048438454</v>
      </c>
    </row>
    <row r="65" spans="1:21" s="2" customFormat="1">
      <c r="A65" s="2" t="s">
        <v>254</v>
      </c>
      <c r="B65" s="2" t="s">
        <v>255</v>
      </c>
      <c r="D65" s="14">
        <f t="shared" si="2"/>
        <v>3613.3177792755596</v>
      </c>
    </row>
    <row r="66" spans="1:21" s="2" customFormat="1">
      <c r="A66" s="2" t="s">
        <v>256</v>
      </c>
      <c r="B66" s="2" t="s">
        <v>257</v>
      </c>
      <c r="D66" s="14">
        <f t="shared" si="2"/>
        <v>2281.7467694691918</v>
      </c>
    </row>
    <row r="67" spans="1:21" s="2" customFormat="1">
      <c r="A67" s="2" t="s">
        <v>258</v>
      </c>
      <c r="D67" s="14">
        <f t="shared" si="2"/>
        <v>3351.1676941893029</v>
      </c>
    </row>
    <row r="68" spans="1:21" s="2" customFormat="1">
      <c r="A68" s="1" t="s">
        <v>261</v>
      </c>
      <c r="B68" s="1"/>
      <c r="C68" s="33"/>
      <c r="D68" s="20">
        <f>G56</f>
        <v>48344.166294889124</v>
      </c>
    </row>
    <row r="69" spans="1:21" s="2" customFormat="1"/>
    <row r="70" spans="1:21" s="11" customFormat="1">
      <c r="A70" s="10" t="s">
        <v>276</v>
      </c>
    </row>
    <row r="71" spans="1:21" s="2" customFormat="1"/>
    <row r="72" spans="1:21" s="2" customFormat="1">
      <c r="A72" s="1" t="s">
        <v>33</v>
      </c>
    </row>
    <row r="73" spans="1:21" s="2" customFormat="1">
      <c r="A73" s="2" t="s">
        <v>277</v>
      </c>
    </row>
    <row r="74" spans="1:21" s="2" customFormat="1">
      <c r="A74" s="2" t="s">
        <v>278</v>
      </c>
    </row>
    <row r="75" spans="1:21" s="2" customFormat="1">
      <c r="A75" s="2" t="s">
        <v>279</v>
      </c>
    </row>
    <row r="76" spans="1:21" s="2" customFormat="1">
      <c r="A76" s="2" t="s">
        <v>280</v>
      </c>
    </row>
    <row r="77" spans="1:21" s="2" customFormat="1"/>
    <row r="78" spans="1:21" s="2" customFormat="1">
      <c r="A78" s="1" t="s">
        <v>243</v>
      </c>
      <c r="C78" s="25"/>
      <c r="D78" s="56" t="s">
        <v>281</v>
      </c>
      <c r="E78" s="56"/>
      <c r="F78" s="56" t="s">
        <v>282</v>
      </c>
      <c r="G78" s="56"/>
      <c r="H78" s="56" t="s">
        <v>283</v>
      </c>
      <c r="I78" s="56"/>
      <c r="J78" s="56" t="s">
        <v>284</v>
      </c>
      <c r="K78" s="56"/>
      <c r="L78" s="56" t="s">
        <v>285</v>
      </c>
      <c r="M78" s="56"/>
      <c r="N78" s="56" t="s">
        <v>286</v>
      </c>
      <c r="O78" s="56"/>
      <c r="P78" s="56" t="s">
        <v>287</v>
      </c>
      <c r="Q78" s="56"/>
      <c r="R78" s="56" t="s">
        <v>288</v>
      </c>
      <c r="S78" s="56"/>
      <c r="T78" s="56" t="s">
        <v>289</v>
      </c>
      <c r="U78" s="56"/>
    </row>
    <row r="79" spans="1:21" s="2" customFormat="1">
      <c r="A79" s="2" t="s">
        <v>244</v>
      </c>
      <c r="B79" s="2" t="s">
        <v>245</v>
      </c>
      <c r="C79" s="7"/>
      <c r="D79" s="19">
        <f t="shared" ref="D79:E86" si="3">D23</f>
        <v>0.22777204949238578</v>
      </c>
      <c r="E79" s="14">
        <f t="shared" si="3"/>
        <v>11487</v>
      </c>
      <c r="F79" s="19">
        <f t="shared" ref="F79:F86" si="4">(D79+E9)/2</f>
        <v>0.27933601342523195</v>
      </c>
      <c r="G79" s="14">
        <f t="shared" ref="G79:G86" si="5">F79*$F$87</f>
        <v>13504.266685180795</v>
      </c>
      <c r="H79" s="19">
        <f t="shared" ref="H79:H86" si="6">E9</f>
        <v>0.33089997735807808</v>
      </c>
      <c r="I79" s="14">
        <f>H79*H87</f>
        <v>15997.083532373972</v>
      </c>
      <c r="J79" s="19">
        <f t="shared" ref="J79:J86" si="7">F9</f>
        <v>0.41023316626716061</v>
      </c>
      <c r="K79" s="14">
        <f t="shared" ref="K79:K86" si="8">J79*$J$87</f>
        <v>19832.380409698511</v>
      </c>
      <c r="L79" s="19">
        <f t="shared" ref="L79:L86" si="9">G9</f>
        <v>0.46427214928577326</v>
      </c>
      <c r="M79" s="14">
        <f t="shared" ref="M79:M86" si="10">L79*$L$87</f>
        <v>22444.849991157011</v>
      </c>
      <c r="N79" s="19">
        <f t="shared" ref="N79:N86" si="11">H9</f>
        <v>0.54039965845865701</v>
      </c>
      <c r="O79" s="14">
        <f t="shared" ref="O79:O86" si="12">N79*$N$87</f>
        <v>26125.1709542266</v>
      </c>
      <c r="P79" s="19">
        <f t="shared" ref="P79:P86" si="13">I9</f>
        <v>0.62114218158703005</v>
      </c>
      <c r="Q79" s="14">
        <f t="shared" ref="Q79:Q86" si="14">P79*$P$87</f>
        <v>30028.600919413599</v>
      </c>
      <c r="R79" s="19">
        <f t="shared" ref="R79:R86" si="15">J9</f>
        <v>0.68092460472770655</v>
      </c>
      <c r="S79" s="14">
        <f t="shared" ref="S79:S86" si="16">R79*$R$87</f>
        <v>32918.732325237892</v>
      </c>
      <c r="T79" s="19">
        <f t="shared" ref="T79:T86" si="17">K9</f>
        <v>0.6822543987101064</v>
      </c>
      <c r="U79" s="14">
        <f t="shared" ref="U79:U86" si="18">T79*$T$87</f>
        <v>32983.020106660973</v>
      </c>
    </row>
    <row r="80" spans="1:21" s="2" customFormat="1">
      <c r="A80" s="2" t="s">
        <v>246</v>
      </c>
      <c r="B80" s="2" t="s">
        <v>247</v>
      </c>
      <c r="C80" s="7"/>
      <c r="D80" s="19">
        <f t="shared" si="3"/>
        <v>0.25725729695431471</v>
      </c>
      <c r="E80" s="14">
        <f t="shared" si="3"/>
        <v>12974</v>
      </c>
      <c r="F80" s="19">
        <f t="shared" si="4"/>
        <v>0.33972943625988861</v>
      </c>
      <c r="G80" s="14">
        <f t="shared" si="5"/>
        <v>16423.936361816988</v>
      </c>
      <c r="H80" s="19">
        <f t="shared" si="6"/>
        <v>0.42220157556546251</v>
      </c>
      <c r="I80" s="14">
        <f t="shared" ref="I80:I86" si="19">H80*$F$87</f>
        <v>20410.983179100916</v>
      </c>
      <c r="J80" s="19">
        <f t="shared" si="7"/>
        <v>0.37090433645674437</v>
      </c>
      <c r="K80" s="14">
        <f t="shared" si="8"/>
        <v>17931.060921160355</v>
      </c>
      <c r="L80" s="19">
        <f t="shared" si="9"/>
        <v>0.3458591363223516</v>
      </c>
      <c r="M80" s="14">
        <f t="shared" si="10"/>
        <v>16720.271600974495</v>
      </c>
      <c r="N80" s="19">
        <f t="shared" si="11"/>
        <v>0.31348124276979011</v>
      </c>
      <c r="O80" s="14">
        <f t="shared" si="12"/>
        <v>15154.989330791243</v>
      </c>
      <c r="P80" s="19">
        <f t="shared" si="13"/>
        <v>0.27080622835314594</v>
      </c>
      <c r="Q80" s="14">
        <f t="shared" si="14"/>
        <v>13091.901337196205</v>
      </c>
      <c r="R80" s="19">
        <f t="shared" si="15"/>
        <v>0.22838793034342597</v>
      </c>
      <c r="S80" s="14">
        <f t="shared" si="16"/>
        <v>11041.224084268139</v>
      </c>
      <c r="T80" s="19">
        <f t="shared" si="17"/>
        <v>0.23107860061124194</v>
      </c>
      <c r="U80" s="14">
        <f t="shared" si="18"/>
        <v>11171.302295140147</v>
      </c>
    </row>
    <row r="81" spans="1:21" s="2" customFormat="1">
      <c r="A81" s="2" t="s">
        <v>248</v>
      </c>
      <c r="B81" s="2" t="s">
        <v>249</v>
      </c>
      <c r="C81" s="7"/>
      <c r="D81" s="19">
        <f t="shared" si="3"/>
        <v>0.12672509517766498</v>
      </c>
      <c r="E81" s="14">
        <f t="shared" si="3"/>
        <v>6391</v>
      </c>
      <c r="F81" s="19">
        <f t="shared" si="4"/>
        <v>0.12714249933811614</v>
      </c>
      <c r="G81" s="14">
        <f t="shared" si="5"/>
        <v>6146.5981311497171</v>
      </c>
      <c r="H81" s="19">
        <f t="shared" si="6"/>
        <v>0.1275599034985673</v>
      </c>
      <c r="I81" s="14">
        <f t="shared" si="19"/>
        <v>6166.7771872947469</v>
      </c>
      <c r="J81" s="19">
        <f t="shared" si="7"/>
        <v>0.11633907169317934</v>
      </c>
      <c r="K81" s="14">
        <f t="shared" si="8"/>
        <v>5624.3154285280898</v>
      </c>
      <c r="L81" s="19">
        <f t="shared" si="9"/>
        <v>0.10672941953595905</v>
      </c>
      <c r="M81" s="14">
        <f t="shared" si="10"/>
        <v>5159.7448066033921</v>
      </c>
      <c r="N81" s="19">
        <f t="shared" si="11"/>
        <v>7.9979893130612018E-2</v>
      </c>
      <c r="O81" s="14">
        <f t="shared" si="12"/>
        <v>3866.5612537537677</v>
      </c>
      <c r="P81" s="19">
        <f t="shared" si="13"/>
        <v>5.7489291676320498E-2</v>
      </c>
      <c r="Q81" s="14">
        <f t="shared" si="14"/>
        <v>2779.2718769754233</v>
      </c>
      <c r="R81" s="19">
        <f t="shared" si="15"/>
        <v>5.1162593306895397E-2</v>
      </c>
      <c r="S81" s="14">
        <f t="shared" si="16"/>
        <v>2473.4129189063324</v>
      </c>
      <c r="T81" s="19">
        <f t="shared" si="17"/>
        <v>4.8899354597750883E-2</v>
      </c>
      <c r="U81" s="14">
        <f t="shared" si="18"/>
        <v>2363.9985303864196</v>
      </c>
    </row>
    <row r="82" spans="1:21" s="2" customFormat="1">
      <c r="A82" s="2" t="s">
        <v>250</v>
      </c>
      <c r="B82" s="2" t="s">
        <v>251</v>
      </c>
      <c r="C82" s="7"/>
      <c r="D82" s="19">
        <f t="shared" si="3"/>
        <v>0.11825824873096447</v>
      </c>
      <c r="E82" s="14">
        <f t="shared" si="3"/>
        <v>5964</v>
      </c>
      <c r="F82" s="19">
        <f t="shared" si="4"/>
        <v>8.7927306765682112E-2</v>
      </c>
      <c r="G82" s="14">
        <f t="shared" si="5"/>
        <v>4250.7723401418652</v>
      </c>
      <c r="H82" s="19">
        <f t="shared" si="6"/>
        <v>5.7596364800399744E-2</v>
      </c>
      <c r="I82" s="14">
        <f t="shared" si="19"/>
        <v>2784.4482378916236</v>
      </c>
      <c r="J82" s="19">
        <f t="shared" si="7"/>
        <v>4.7731531924166487E-2</v>
      </c>
      <c r="K82" s="14">
        <f t="shared" si="8"/>
        <v>2307.5411168517139</v>
      </c>
      <c r="L82" s="19">
        <f t="shared" si="9"/>
        <v>3.7470068532738834E-2</v>
      </c>
      <c r="M82" s="14">
        <f t="shared" si="10"/>
        <v>1811.4592242276183</v>
      </c>
      <c r="N82" s="19">
        <f t="shared" si="11"/>
        <v>2.9616316862226631E-2</v>
      </c>
      <c r="O82" s="14">
        <f t="shared" si="12"/>
        <v>1431.776147429613</v>
      </c>
      <c r="P82" s="19">
        <f t="shared" si="13"/>
        <v>2.2616692509223119E-2</v>
      </c>
      <c r="Q82" s="14">
        <f t="shared" si="14"/>
        <v>1093.3851437062556</v>
      </c>
      <c r="R82" s="19">
        <f t="shared" si="15"/>
        <v>1.734341181407938E-2</v>
      </c>
      <c r="S82" s="14">
        <f t="shared" si="16"/>
        <v>838.45278486059817</v>
      </c>
      <c r="T82" s="19">
        <f t="shared" si="17"/>
        <v>1.6948071763993204E-2</v>
      </c>
      <c r="U82" s="14">
        <f t="shared" si="18"/>
        <v>819.34039973620236</v>
      </c>
    </row>
    <row r="83" spans="1:21" s="2" customFormat="1">
      <c r="A83" s="2" t="s">
        <v>252</v>
      </c>
      <c r="B83" s="2" t="s">
        <v>253</v>
      </c>
      <c r="C83" s="7"/>
      <c r="D83" s="19">
        <f t="shared" si="3"/>
        <v>7.6261104060913701E-2</v>
      </c>
      <c r="E83" s="14">
        <f t="shared" si="3"/>
        <v>3845.9999999999995</v>
      </c>
      <c r="F83" s="19">
        <f t="shared" si="4"/>
        <v>5.1848433683473305E-2</v>
      </c>
      <c r="G83" s="14">
        <f t="shared" si="5"/>
        <v>2506.569300123364</v>
      </c>
      <c r="H83" s="19">
        <f t="shared" si="6"/>
        <v>2.7435763306032902E-2</v>
      </c>
      <c r="I83" s="14">
        <f t="shared" si="19"/>
        <v>1326.3591036940716</v>
      </c>
      <c r="J83" s="19">
        <f t="shared" si="7"/>
        <v>2.382218348224014E-2</v>
      </c>
      <c r="K83" s="14">
        <f t="shared" si="8"/>
        <v>1151.6635997727783</v>
      </c>
      <c r="L83" s="19">
        <f t="shared" si="9"/>
        <v>1.9436875567665757E-2</v>
      </c>
      <c r="M83" s="14">
        <f t="shared" si="10"/>
        <v>939.65954469630083</v>
      </c>
      <c r="N83" s="19">
        <f t="shared" si="11"/>
        <v>1.3124552415578692E-2</v>
      </c>
      <c r="O83" s="14">
        <f t="shared" si="12"/>
        <v>634.49554452472501</v>
      </c>
      <c r="P83" s="19">
        <f t="shared" si="13"/>
        <v>1.1400428927028937E-2</v>
      </c>
      <c r="Q83" s="14">
        <f t="shared" si="14"/>
        <v>551.14423188135129</v>
      </c>
      <c r="R83" s="19">
        <f t="shared" si="15"/>
        <v>9.355445633260873E-3</v>
      </c>
      <c r="S83" s="14">
        <f t="shared" si="16"/>
        <v>452.28121945715793</v>
      </c>
      <c r="T83" s="19">
        <f t="shared" si="17"/>
        <v>9.742522306686768E-3</v>
      </c>
      <c r="U83" s="14">
        <f t="shared" si="18"/>
        <v>470.9941185261319</v>
      </c>
    </row>
    <row r="84" spans="1:21" s="2" customFormat="1">
      <c r="A84" s="2" t="s">
        <v>254</v>
      </c>
      <c r="B84" s="2" t="s">
        <v>255</v>
      </c>
      <c r="C84" s="7"/>
      <c r="D84" s="19">
        <f t="shared" si="3"/>
        <v>7.5705901015228422E-2</v>
      </c>
      <c r="E84" s="14">
        <f t="shared" si="3"/>
        <v>3817.9999999999995</v>
      </c>
      <c r="F84" s="19">
        <f t="shared" si="4"/>
        <v>4.5699547582902504E-2</v>
      </c>
      <c r="G84" s="14">
        <f t="shared" si="5"/>
        <v>2209.306527949037</v>
      </c>
      <c r="H84" s="19">
        <f t="shared" si="6"/>
        <v>1.569319415057659E-2</v>
      </c>
      <c r="I84" s="14">
        <f t="shared" si="19"/>
        <v>758.67438771345599</v>
      </c>
      <c r="J84" s="19">
        <f t="shared" si="7"/>
        <v>1.6613641316190891E-2</v>
      </c>
      <c r="K84" s="14">
        <f t="shared" si="8"/>
        <v>803.17263855357305</v>
      </c>
      <c r="L84" s="19">
        <f t="shared" si="9"/>
        <v>1.3012963421682767E-2</v>
      </c>
      <c r="M84" s="14">
        <f t="shared" si="10"/>
        <v>629.10086764714106</v>
      </c>
      <c r="N84" s="19">
        <f t="shared" si="11"/>
        <v>1.1203382361042251E-2</v>
      </c>
      <c r="O84" s="14">
        <f t="shared" si="12"/>
        <v>541.61817992745409</v>
      </c>
      <c r="P84" s="19">
        <f t="shared" si="13"/>
        <v>7.0339280091726219E-3</v>
      </c>
      <c r="Q84" s="14">
        <f t="shared" si="14"/>
        <v>340.04938538171962</v>
      </c>
      <c r="R84" s="19">
        <f t="shared" si="15"/>
        <v>5.2718690614847056E-3</v>
      </c>
      <c r="S84" s="14">
        <f t="shared" si="16"/>
        <v>254.86411459329767</v>
      </c>
      <c r="T84" s="19">
        <f t="shared" si="17"/>
        <v>4.4044034925507739E-3</v>
      </c>
      <c r="U84" s="14">
        <f t="shared" si="18"/>
        <v>212.92721487366506</v>
      </c>
    </row>
    <row r="85" spans="1:21" s="2" customFormat="1">
      <c r="A85" s="2" t="s">
        <v>256</v>
      </c>
      <c r="B85" s="2" t="s">
        <v>257</v>
      </c>
      <c r="C85" s="7"/>
      <c r="D85" s="19">
        <f t="shared" si="3"/>
        <v>4.780694796954315E-2</v>
      </c>
      <c r="E85" s="14">
        <f t="shared" si="3"/>
        <v>2411</v>
      </c>
      <c r="F85" s="19">
        <f t="shared" si="4"/>
        <v>2.7526181490178311E-2</v>
      </c>
      <c r="G85" s="14">
        <f t="shared" si="5"/>
        <v>1330.7302954244792</v>
      </c>
      <c r="H85" s="19">
        <f t="shared" si="6"/>
        <v>7.2454150108134698E-3</v>
      </c>
      <c r="I85" s="14">
        <f t="shared" si="19"/>
        <v>350.27354815825225</v>
      </c>
      <c r="J85" s="19">
        <f t="shared" si="7"/>
        <v>5.334495532795816E-3</v>
      </c>
      <c r="K85" s="14">
        <f t="shared" si="8"/>
        <v>257.89173913682407</v>
      </c>
      <c r="L85" s="19">
        <f t="shared" si="9"/>
        <v>4.3266451985798033E-3</v>
      </c>
      <c r="M85" s="14">
        <f t="shared" si="10"/>
        <v>209.1680549791256</v>
      </c>
      <c r="N85" s="19">
        <f t="shared" si="11"/>
        <v>3.8216823665509834E-3</v>
      </c>
      <c r="O85" s="14">
        <f t="shared" si="12"/>
        <v>184.75604785478615</v>
      </c>
      <c r="P85" s="19">
        <f t="shared" si="13"/>
        <v>2.7268352670694542E-3</v>
      </c>
      <c r="Q85" s="14">
        <f t="shared" si="14"/>
        <v>131.82657760997409</v>
      </c>
      <c r="R85" s="19">
        <f t="shared" si="15"/>
        <v>2.3105687299888244E-3</v>
      </c>
      <c r="S85" s="14">
        <f t="shared" si="16"/>
        <v>111.70251891835049</v>
      </c>
      <c r="T85" s="19">
        <f t="shared" si="17"/>
        <v>2.2135885184898407E-3</v>
      </c>
      <c r="U85" s="14">
        <f t="shared" si="18"/>
        <v>107.01409144633011</v>
      </c>
    </row>
    <row r="86" spans="1:21" s="2" customFormat="1">
      <c r="A86" s="2" t="s">
        <v>258</v>
      </c>
      <c r="C86" s="7"/>
      <c r="D86" s="19">
        <f t="shared" si="3"/>
        <v>7.0213356598984769E-2</v>
      </c>
      <c r="E86" s="14">
        <f t="shared" si="3"/>
        <v>3541</v>
      </c>
      <c r="F86" s="19">
        <f t="shared" si="4"/>
        <v>4.0790581454527089E-2</v>
      </c>
      <c r="G86" s="14">
        <f t="shared" si="5"/>
        <v>1971.9866531028779</v>
      </c>
      <c r="H86" s="19">
        <f t="shared" si="6"/>
        <v>1.1367806310069409E-2</v>
      </c>
      <c r="I86" s="14">
        <f t="shared" si="19"/>
        <v>549.56711866208536</v>
      </c>
      <c r="J86" s="19">
        <f t="shared" si="7"/>
        <v>9.0215733275223354E-3</v>
      </c>
      <c r="K86" s="14">
        <f t="shared" si="8"/>
        <v>436.140441187276</v>
      </c>
      <c r="L86" s="19">
        <f t="shared" si="9"/>
        <v>8.8927421352489478E-3</v>
      </c>
      <c r="M86" s="14">
        <f t="shared" si="10"/>
        <v>429.91220460404253</v>
      </c>
      <c r="N86" s="19">
        <f t="shared" si="11"/>
        <v>8.3732716355423339E-3</v>
      </c>
      <c r="O86" s="14">
        <f t="shared" si="12"/>
        <v>404.79883638093685</v>
      </c>
      <c r="P86" s="19">
        <f t="shared" si="13"/>
        <v>6.7844136710094047E-3</v>
      </c>
      <c r="Q86" s="14">
        <f t="shared" si="14"/>
        <v>327.98682272459786</v>
      </c>
      <c r="R86" s="19">
        <f t="shared" si="15"/>
        <v>5.2435763831583113E-3</v>
      </c>
      <c r="S86" s="14">
        <f t="shared" si="16"/>
        <v>253.49632864735867</v>
      </c>
      <c r="T86" s="19">
        <f t="shared" si="17"/>
        <v>4.4590599991801523E-3</v>
      </c>
      <c r="U86" s="14">
        <f t="shared" si="18"/>
        <v>215.56953811925345</v>
      </c>
    </row>
    <row r="87" spans="1:21" s="2" customFormat="1">
      <c r="A87" s="1" t="s">
        <v>261</v>
      </c>
      <c r="C87" s="7"/>
      <c r="D87" s="20">
        <f>D32</f>
        <v>50432</v>
      </c>
      <c r="F87" s="20">
        <f>$G$56</f>
        <v>48344.166294889124</v>
      </c>
      <c r="H87" s="20">
        <f>$G$56</f>
        <v>48344.166294889124</v>
      </c>
      <c r="J87" s="20">
        <f>$G$56</f>
        <v>48344.166294889124</v>
      </c>
      <c r="L87" s="20">
        <f>$G$56</f>
        <v>48344.166294889124</v>
      </c>
      <c r="N87" s="20">
        <f>$G$56</f>
        <v>48344.166294889124</v>
      </c>
      <c r="P87" s="20">
        <f>$G$56</f>
        <v>48344.166294889124</v>
      </c>
      <c r="R87" s="20">
        <f>$G$56</f>
        <v>48344.166294889124</v>
      </c>
      <c r="T87" s="20">
        <f>$G$56</f>
        <v>48344.166294889124</v>
      </c>
    </row>
    <row r="88" spans="1:21" s="2" customFormat="1"/>
    <row r="89" spans="1:21" s="2" customFormat="1">
      <c r="A89" s="1" t="s">
        <v>290</v>
      </c>
    </row>
    <row r="90" spans="1:21" s="2" customFormat="1">
      <c r="A90" s="1"/>
    </row>
    <row r="91" spans="1:21" s="2" customFormat="1">
      <c r="A91" s="1" t="s">
        <v>291</v>
      </c>
      <c r="G91" s="24">
        <v>139</v>
      </c>
      <c r="I91" s="49" t="s">
        <v>292</v>
      </c>
    </row>
    <row r="92" spans="1:21" s="2" customFormat="1">
      <c r="A92" s="1"/>
    </row>
    <row r="93" spans="1:21" s="2" customFormat="1">
      <c r="A93" s="1" t="s">
        <v>293</v>
      </c>
    </row>
    <row r="94" spans="1:21" s="2" customFormat="1">
      <c r="A94" s="1" t="s">
        <v>243</v>
      </c>
      <c r="R94" s="26"/>
    </row>
    <row r="95" spans="1:21" s="2" customFormat="1">
      <c r="A95" s="3">
        <v>0</v>
      </c>
      <c r="B95" s="2" t="s">
        <v>245</v>
      </c>
      <c r="D95" s="26"/>
      <c r="F95" s="14">
        <f t="shared" ref="F95:F101" si="20">$A95*F79</f>
        <v>0</v>
      </c>
      <c r="H95" s="14">
        <f t="shared" ref="H95:H101" si="21">$A95*H79</f>
        <v>0</v>
      </c>
      <c r="J95" s="14">
        <f t="shared" ref="J95:J101" si="22">$A95*J79</f>
        <v>0</v>
      </c>
      <c r="L95" s="14">
        <f t="shared" ref="L95:L101" si="23">$A95*L79</f>
        <v>0</v>
      </c>
      <c r="N95" s="14">
        <f t="shared" ref="N95:N101" si="24">$A95*N79</f>
        <v>0</v>
      </c>
      <c r="P95" s="14">
        <f t="shared" ref="P95:P101" si="25">$A95*P79</f>
        <v>0</v>
      </c>
      <c r="R95" s="14">
        <f t="shared" ref="R95:R101" si="26">$A95*R79</f>
        <v>0</v>
      </c>
      <c r="T95" s="14">
        <f t="shared" ref="T95:T101" si="27">$A95*T79</f>
        <v>0</v>
      </c>
    </row>
    <row r="96" spans="1:21" s="2" customFormat="1">
      <c r="A96" s="3">
        <v>121</v>
      </c>
      <c r="B96" s="2" t="s">
        <v>247</v>
      </c>
      <c r="D96" s="26"/>
      <c r="F96" s="14">
        <f t="shared" si="20"/>
        <v>41.107261787446518</v>
      </c>
      <c r="H96" s="14">
        <f t="shared" si="21"/>
        <v>51.086390643420962</v>
      </c>
      <c r="J96" s="14">
        <f t="shared" si="22"/>
        <v>44.879424711266068</v>
      </c>
      <c r="L96" s="14">
        <f t="shared" si="23"/>
        <v>41.848955495004546</v>
      </c>
      <c r="N96" s="14">
        <f t="shared" si="24"/>
        <v>37.931230375144601</v>
      </c>
      <c r="P96" s="14">
        <f t="shared" si="25"/>
        <v>32.76755363073066</v>
      </c>
      <c r="R96" s="14">
        <f t="shared" si="26"/>
        <v>27.634939571554543</v>
      </c>
      <c r="T96" s="14">
        <f t="shared" si="27"/>
        <v>27.960510673960275</v>
      </c>
    </row>
    <row r="97" spans="1:20" s="2" customFormat="1">
      <c r="A97" s="3">
        <v>141</v>
      </c>
      <c r="B97" s="2" t="s">
        <v>249</v>
      </c>
      <c r="D97" s="26"/>
      <c r="F97" s="14">
        <f t="shared" si="20"/>
        <v>17.927092406674376</v>
      </c>
      <c r="H97" s="14">
        <f t="shared" si="21"/>
        <v>17.98594639329799</v>
      </c>
      <c r="J97" s="14">
        <f t="shared" si="22"/>
        <v>16.403809108738287</v>
      </c>
      <c r="L97" s="14">
        <f t="shared" si="23"/>
        <v>15.048848154570226</v>
      </c>
      <c r="N97" s="14">
        <f t="shared" si="24"/>
        <v>11.277164931416294</v>
      </c>
      <c r="P97" s="14">
        <f t="shared" si="25"/>
        <v>8.1059901263611902</v>
      </c>
      <c r="R97" s="14">
        <f t="shared" si="26"/>
        <v>7.2139256562722514</v>
      </c>
      <c r="T97" s="14">
        <f t="shared" si="27"/>
        <v>6.8948089982828744</v>
      </c>
    </row>
    <row r="98" spans="1:20" s="2" customFormat="1">
      <c r="A98" s="3">
        <v>156</v>
      </c>
      <c r="B98" s="2" t="s">
        <v>251</v>
      </c>
      <c r="D98" s="26"/>
      <c r="F98" s="14">
        <f t="shared" si="20"/>
        <v>13.716659855446409</v>
      </c>
      <c r="H98" s="14">
        <f t="shared" si="21"/>
        <v>8.9850329088623599</v>
      </c>
      <c r="J98" s="14">
        <f t="shared" si="22"/>
        <v>7.4461189801699721</v>
      </c>
      <c r="L98" s="14">
        <f t="shared" si="23"/>
        <v>5.8453306911072582</v>
      </c>
      <c r="N98" s="14">
        <f t="shared" si="24"/>
        <v>4.6201454305073542</v>
      </c>
      <c r="P98" s="14">
        <f t="shared" si="25"/>
        <v>3.5282040314388068</v>
      </c>
      <c r="R98" s="14">
        <f t="shared" si="26"/>
        <v>2.7055722429963831</v>
      </c>
      <c r="T98" s="14">
        <f t="shared" si="27"/>
        <v>2.6438991951829398</v>
      </c>
    </row>
    <row r="99" spans="1:20" s="2" customFormat="1">
      <c r="A99" s="3">
        <v>171</v>
      </c>
      <c r="B99" s="2" t="s">
        <v>253</v>
      </c>
      <c r="D99" s="26"/>
      <c r="F99" s="14">
        <f t="shared" si="20"/>
        <v>8.866082159873935</v>
      </c>
      <c r="H99" s="14">
        <f t="shared" si="21"/>
        <v>4.6915155253316261</v>
      </c>
      <c r="J99" s="14">
        <f t="shared" si="22"/>
        <v>4.073593375463064</v>
      </c>
      <c r="L99" s="14">
        <f t="shared" si="23"/>
        <v>3.3237057220708444</v>
      </c>
      <c r="N99" s="14">
        <f t="shared" si="24"/>
        <v>2.2442984630639562</v>
      </c>
      <c r="P99" s="14">
        <f t="shared" si="25"/>
        <v>1.9494733465219483</v>
      </c>
      <c r="R99" s="14">
        <f t="shared" si="26"/>
        <v>1.5997812032876093</v>
      </c>
      <c r="T99" s="14">
        <f t="shared" si="27"/>
        <v>1.6659713144434374</v>
      </c>
    </row>
    <row r="100" spans="1:20" s="2" customFormat="1">
      <c r="A100" s="3">
        <v>191</v>
      </c>
      <c r="B100" s="2" t="s">
        <v>255</v>
      </c>
      <c r="D100" s="26"/>
      <c r="F100" s="14">
        <f t="shared" si="20"/>
        <v>8.7286135883343778</v>
      </c>
      <c r="H100" s="14">
        <f t="shared" si="21"/>
        <v>2.9974000827601288</v>
      </c>
      <c r="J100" s="14">
        <f t="shared" si="22"/>
        <v>3.1732054913924603</v>
      </c>
      <c r="L100" s="14">
        <f t="shared" si="23"/>
        <v>2.4854760135414087</v>
      </c>
      <c r="N100" s="14">
        <f t="shared" si="24"/>
        <v>2.1398460309590699</v>
      </c>
      <c r="P100" s="14">
        <f t="shared" si="25"/>
        <v>1.3434802497519709</v>
      </c>
      <c r="R100" s="14">
        <f t="shared" si="26"/>
        <v>1.0069269907435787</v>
      </c>
      <c r="T100" s="14">
        <f t="shared" si="27"/>
        <v>0.84124106707719781</v>
      </c>
    </row>
    <row r="101" spans="1:20" s="2" customFormat="1">
      <c r="A101" s="3">
        <v>226</v>
      </c>
      <c r="B101" s="2" t="s">
        <v>257</v>
      </c>
      <c r="D101" s="26"/>
      <c r="F101" s="14">
        <f t="shared" si="20"/>
        <v>6.2209170167802981</v>
      </c>
      <c r="H101" s="14">
        <f t="shared" si="21"/>
        <v>1.6374637924438442</v>
      </c>
      <c r="J101" s="14">
        <f t="shared" si="22"/>
        <v>1.2055959904118545</v>
      </c>
      <c r="L101" s="14">
        <f t="shared" si="23"/>
        <v>0.97782181487903552</v>
      </c>
      <c r="N101" s="14">
        <f t="shared" si="24"/>
        <v>0.86370021484052228</v>
      </c>
      <c r="P101" s="14">
        <f t="shared" si="25"/>
        <v>0.61626477035769667</v>
      </c>
      <c r="R101" s="14">
        <f t="shared" si="26"/>
        <v>0.52218853297747436</v>
      </c>
      <c r="T101" s="14">
        <f t="shared" si="27"/>
        <v>0.50027100517870404</v>
      </c>
    </row>
    <row r="102" spans="1:20" s="1" customFormat="1">
      <c r="A102" s="1" t="s">
        <v>294</v>
      </c>
      <c r="D102" s="27"/>
      <c r="F102" s="20">
        <f>SUM(F95:F101)</f>
        <v>96.566626814555917</v>
      </c>
      <c r="H102" s="20">
        <f>SUM(H95:H101)</f>
        <v>87.3837493461169</v>
      </c>
      <c r="J102" s="20">
        <f>SUM(J95:J101)</f>
        <v>77.181747657441704</v>
      </c>
      <c r="L102" s="20">
        <f>SUM(L95:L101)</f>
        <v>69.530137891173325</v>
      </c>
      <c r="N102" s="20">
        <f>SUM(N95:N101)</f>
        <v>59.076385445931798</v>
      </c>
      <c r="P102" s="20">
        <f>SUM(P95:P101)</f>
        <v>48.310966155162269</v>
      </c>
      <c r="R102" s="20">
        <f>SUM(R95:R101)</f>
        <v>40.68333419783184</v>
      </c>
      <c r="T102" s="20">
        <f>SUM(T95:T101)</f>
        <v>40.506702254125429</v>
      </c>
    </row>
    <row r="103" spans="1:20" s="2" customFormat="1"/>
    <row r="104" spans="1:20" s="2" customFormat="1">
      <c r="A104" s="1" t="s">
        <v>295</v>
      </c>
    </row>
    <row r="105" spans="1:20" s="2" customFormat="1">
      <c r="A105" s="1" t="s">
        <v>243</v>
      </c>
      <c r="T105" s="26"/>
    </row>
    <row r="106" spans="1:20" s="2" customFormat="1">
      <c r="A106" s="3">
        <v>120</v>
      </c>
      <c r="B106" s="2" t="s">
        <v>245</v>
      </c>
      <c r="D106" s="26"/>
      <c r="F106" s="14">
        <f t="shared" ref="F106:F112" si="28">$A106*F79</f>
        <v>33.520321611027832</v>
      </c>
      <c r="H106" s="14">
        <f t="shared" ref="H106:H112" si="29">$A106*H79</f>
        <v>39.707997282969373</v>
      </c>
      <c r="J106" s="14">
        <f t="shared" ref="J106:J112" si="30">$A106*J79</f>
        <v>49.227979952059272</v>
      </c>
      <c r="L106" s="14">
        <f t="shared" ref="L106:L112" si="31">$A106*L79</f>
        <v>55.712657914292791</v>
      </c>
      <c r="N106" s="14">
        <f t="shared" ref="N106:N112" si="32">$A106*N79</f>
        <v>64.847959015038839</v>
      </c>
      <c r="P106" s="14">
        <f t="shared" ref="P106:P112" si="33">$A106*P79</f>
        <v>74.537061790443602</v>
      </c>
      <c r="R106" s="14">
        <f t="shared" ref="R106:R112" si="34">$A106*R79</f>
        <v>81.710952567324782</v>
      </c>
      <c r="T106" s="14">
        <f t="shared" ref="T106:T112" si="35">$A106*T79</f>
        <v>81.870527845212763</v>
      </c>
    </row>
    <row r="107" spans="1:20" s="2" customFormat="1">
      <c r="A107" s="3">
        <v>140</v>
      </c>
      <c r="B107" s="2" t="s">
        <v>247</v>
      </c>
      <c r="D107" s="26"/>
      <c r="F107" s="14">
        <f t="shared" si="28"/>
        <v>47.562121076384408</v>
      </c>
      <c r="H107" s="14">
        <f t="shared" si="29"/>
        <v>59.108220579164751</v>
      </c>
      <c r="J107" s="14">
        <f t="shared" si="30"/>
        <v>51.926607103944214</v>
      </c>
      <c r="L107" s="14">
        <f t="shared" si="31"/>
        <v>48.420279085129224</v>
      </c>
      <c r="N107" s="14">
        <f t="shared" si="32"/>
        <v>43.887373987770616</v>
      </c>
      <c r="P107" s="14">
        <f t="shared" si="33"/>
        <v>37.912871969440431</v>
      </c>
      <c r="R107" s="14">
        <f t="shared" si="34"/>
        <v>31.974310248079636</v>
      </c>
      <c r="T107" s="14">
        <f t="shared" si="35"/>
        <v>32.351004085573869</v>
      </c>
    </row>
    <row r="108" spans="1:20" s="2" customFormat="1">
      <c r="A108" s="3">
        <v>155</v>
      </c>
      <c r="B108" s="2" t="s">
        <v>249</v>
      </c>
      <c r="D108" s="26"/>
      <c r="F108" s="14">
        <f t="shared" si="28"/>
        <v>19.707087397408003</v>
      </c>
      <c r="H108" s="14">
        <f t="shared" si="29"/>
        <v>19.77178504227793</v>
      </c>
      <c r="J108" s="14">
        <f t="shared" si="30"/>
        <v>18.032556112442798</v>
      </c>
      <c r="L108" s="14">
        <f t="shared" si="31"/>
        <v>16.543060028073651</v>
      </c>
      <c r="N108" s="14">
        <f t="shared" si="32"/>
        <v>12.396883435244863</v>
      </c>
      <c r="P108" s="14">
        <f t="shared" si="33"/>
        <v>8.9108402098296775</v>
      </c>
      <c r="R108" s="14">
        <f t="shared" si="34"/>
        <v>7.9302019625687867</v>
      </c>
      <c r="T108" s="14">
        <f t="shared" si="35"/>
        <v>7.5793999626513866</v>
      </c>
    </row>
    <row r="109" spans="1:20" s="2" customFormat="1">
      <c r="A109" s="3">
        <v>170</v>
      </c>
      <c r="B109" s="2" t="s">
        <v>251</v>
      </c>
      <c r="D109" s="26"/>
      <c r="F109" s="14">
        <f t="shared" si="28"/>
        <v>14.94764215016596</v>
      </c>
      <c r="H109" s="14">
        <f t="shared" si="29"/>
        <v>9.7913820160679563</v>
      </c>
      <c r="J109" s="14">
        <f t="shared" si="30"/>
        <v>8.1143604271083021</v>
      </c>
      <c r="L109" s="14">
        <f t="shared" si="31"/>
        <v>6.3699116505656015</v>
      </c>
      <c r="N109" s="14">
        <f t="shared" si="32"/>
        <v>5.0347738665785275</v>
      </c>
      <c r="P109" s="14">
        <f t="shared" si="33"/>
        <v>3.8448377265679303</v>
      </c>
      <c r="R109" s="14">
        <f t="shared" si="34"/>
        <v>2.9483800083934946</v>
      </c>
      <c r="T109" s="14">
        <f t="shared" si="35"/>
        <v>2.8811721998788449</v>
      </c>
    </row>
    <row r="110" spans="1:20" s="2" customFormat="1">
      <c r="A110" s="3">
        <v>190</v>
      </c>
      <c r="B110" s="2" t="s">
        <v>253</v>
      </c>
      <c r="D110" s="26"/>
      <c r="F110" s="14">
        <f t="shared" si="28"/>
        <v>9.8512023998599272</v>
      </c>
      <c r="H110" s="14">
        <f t="shared" si="29"/>
        <v>5.2127950281462514</v>
      </c>
      <c r="J110" s="14">
        <f t="shared" si="30"/>
        <v>4.5262148616256264</v>
      </c>
      <c r="L110" s="14">
        <f t="shared" si="31"/>
        <v>3.6930063578564938</v>
      </c>
      <c r="N110" s="14">
        <f t="shared" si="32"/>
        <v>2.4936649589599518</v>
      </c>
      <c r="P110" s="14">
        <f t="shared" si="33"/>
        <v>2.1660814961354982</v>
      </c>
      <c r="R110" s="14">
        <f t="shared" si="34"/>
        <v>1.7775346703195658</v>
      </c>
      <c r="T110" s="14">
        <f t="shared" si="35"/>
        <v>1.8510792382704859</v>
      </c>
    </row>
    <row r="111" spans="1:20" s="2" customFormat="1">
      <c r="A111" s="3">
        <v>225</v>
      </c>
      <c r="B111" s="2" t="s">
        <v>255</v>
      </c>
      <c r="D111" s="26"/>
      <c r="F111" s="14">
        <f t="shared" si="28"/>
        <v>10.282398206153063</v>
      </c>
      <c r="H111" s="14">
        <f t="shared" si="29"/>
        <v>3.530968683879733</v>
      </c>
      <c r="J111" s="14">
        <f t="shared" si="30"/>
        <v>3.7380692961429505</v>
      </c>
      <c r="L111" s="14">
        <f t="shared" si="31"/>
        <v>2.9279167698786228</v>
      </c>
      <c r="N111" s="14">
        <f t="shared" si="32"/>
        <v>2.5207610312345063</v>
      </c>
      <c r="P111" s="14">
        <f t="shared" si="33"/>
        <v>1.58263380206384</v>
      </c>
      <c r="R111" s="14">
        <f t="shared" si="34"/>
        <v>1.1861705388340587</v>
      </c>
      <c r="T111" s="14">
        <f t="shared" si="35"/>
        <v>0.99099078582392408</v>
      </c>
    </row>
    <row r="112" spans="1:20" s="2" customFormat="1">
      <c r="A112" s="3">
        <v>495</v>
      </c>
      <c r="B112" s="2" t="s">
        <v>257</v>
      </c>
      <c r="D112" s="26"/>
      <c r="F112" s="14">
        <f t="shared" si="28"/>
        <v>13.625459837638264</v>
      </c>
      <c r="H112" s="14">
        <f t="shared" si="29"/>
        <v>3.5864804303526676</v>
      </c>
      <c r="J112" s="14">
        <f t="shared" si="30"/>
        <v>2.6405752887339289</v>
      </c>
      <c r="L112" s="14">
        <f t="shared" si="31"/>
        <v>2.1416893732970026</v>
      </c>
      <c r="N112" s="14">
        <f t="shared" si="32"/>
        <v>1.8917327714427368</v>
      </c>
      <c r="P112" s="14">
        <f t="shared" si="33"/>
        <v>1.3497834571993799</v>
      </c>
      <c r="R112" s="14">
        <f t="shared" si="34"/>
        <v>1.1437315213444681</v>
      </c>
      <c r="T112" s="14">
        <f t="shared" si="35"/>
        <v>1.0957263166524711</v>
      </c>
    </row>
    <row r="113" spans="1:21" s="2" customFormat="1">
      <c r="A113" s="1" t="s">
        <v>294</v>
      </c>
      <c r="D113" s="26"/>
      <c r="F113" s="20">
        <f>SUM(F106:F112)</f>
        <v>149.49623267863745</v>
      </c>
      <c r="G113" s="1"/>
      <c r="H113" s="20">
        <f>SUM(H106:H112)</f>
        <v>140.70962906285865</v>
      </c>
      <c r="I113" s="1"/>
      <c r="J113" s="20">
        <f>SUM(J106:J112)</f>
        <v>138.20636304205709</v>
      </c>
      <c r="K113" s="1"/>
      <c r="L113" s="20">
        <f>SUM(L106:L112)</f>
        <v>135.80852117909339</v>
      </c>
      <c r="M113" s="1"/>
      <c r="N113" s="20">
        <f>SUM(N106:N112)</f>
        <v>133.07314906627005</v>
      </c>
      <c r="O113" s="1"/>
      <c r="P113" s="20">
        <f>SUM(P106:P112)</f>
        <v>130.30411045168037</v>
      </c>
      <c r="Q113" s="1"/>
      <c r="R113" s="20">
        <f>SUM(R106:R112)</f>
        <v>128.67128151686481</v>
      </c>
      <c r="S113" s="1"/>
      <c r="T113" s="20">
        <f>SUM(T106:T112)</f>
        <v>128.61990043406374</v>
      </c>
    </row>
    <row r="114" spans="1:21" s="2" customFormat="1"/>
    <row r="115" spans="1:21" s="2" customFormat="1">
      <c r="D115" s="50"/>
      <c r="E115" s="50" t="s">
        <v>281</v>
      </c>
      <c r="F115" s="50"/>
      <c r="G115" s="50" t="s">
        <v>282</v>
      </c>
      <c r="H115" s="50"/>
      <c r="I115" s="50" t="s">
        <v>283</v>
      </c>
      <c r="J115" s="50"/>
      <c r="K115" s="50" t="s">
        <v>284</v>
      </c>
      <c r="L115" s="50"/>
      <c r="M115" s="50" t="s">
        <v>285</v>
      </c>
      <c r="N115" s="50"/>
      <c r="O115" s="50" t="s">
        <v>286</v>
      </c>
      <c r="P115" s="50"/>
      <c r="Q115" s="50" t="s">
        <v>287</v>
      </c>
      <c r="R115" s="50"/>
      <c r="S115" s="50" t="s">
        <v>288</v>
      </c>
      <c r="T115" s="50"/>
      <c r="U115" s="50" t="s">
        <v>289</v>
      </c>
    </row>
    <row r="116" spans="1:21" s="2" customFormat="1">
      <c r="A116" s="1" t="s">
        <v>290</v>
      </c>
      <c r="D116" s="26"/>
      <c r="E116" s="20">
        <f>G91</f>
        <v>139</v>
      </c>
      <c r="F116" s="26"/>
      <c r="G116" s="20">
        <f>(F102+F113)/2</f>
        <v>123.03142974659669</v>
      </c>
      <c r="H116" s="26"/>
      <c r="I116" s="20">
        <f>(H102+H113)/2</f>
        <v>114.04668920448778</v>
      </c>
      <c r="J116" s="26"/>
      <c r="K116" s="20">
        <f>(J102+J113)/2</f>
        <v>107.69405534974939</v>
      </c>
      <c r="L116" s="26"/>
      <c r="M116" s="20">
        <f>(L102+L113)/2</f>
        <v>102.66932953513336</v>
      </c>
      <c r="N116" s="26"/>
      <c r="O116" s="20">
        <f>(N102+N113)/2</f>
        <v>96.074767256100927</v>
      </c>
      <c r="P116" s="26"/>
      <c r="Q116" s="20">
        <f>(P102+P113)/2</f>
        <v>89.307538303421325</v>
      </c>
      <c r="R116" s="50"/>
      <c r="S116" s="20">
        <f>(R102+R113)/2</f>
        <v>84.677307857348325</v>
      </c>
      <c r="T116" s="50"/>
      <c r="U116" s="20">
        <f>(T102+T113)/2</f>
        <v>84.563301344094583</v>
      </c>
    </row>
    <row r="117" spans="1:21" s="2" customFormat="1">
      <c r="A117" s="1"/>
    </row>
    <row r="118" spans="1:21" s="2" customFormat="1">
      <c r="A118" s="1" t="s">
        <v>296</v>
      </c>
      <c r="E118" s="14">
        <f>F87</f>
        <v>48344.166294889124</v>
      </c>
      <c r="G118" s="14">
        <f>F87</f>
        <v>48344.166294889124</v>
      </c>
      <c r="I118" s="14">
        <f>H87</f>
        <v>48344.166294889124</v>
      </c>
      <c r="K118" s="14">
        <f>J87</f>
        <v>48344.166294889124</v>
      </c>
      <c r="M118" s="14">
        <f>L87</f>
        <v>48344.166294889124</v>
      </c>
      <c r="O118" s="14">
        <f>N87</f>
        <v>48344.166294889124</v>
      </c>
      <c r="Q118" s="14">
        <f>P87</f>
        <v>48344.166294889124</v>
      </c>
      <c r="S118" s="14">
        <f>R87</f>
        <v>48344.166294889124</v>
      </c>
      <c r="U118" s="14">
        <f>T87</f>
        <v>48344.166294889124</v>
      </c>
    </row>
    <row r="119" spans="1:21" s="2" customFormat="1">
      <c r="A119" s="1"/>
      <c r="E119" s="7"/>
      <c r="G119" s="7"/>
      <c r="I119" s="7"/>
      <c r="K119" s="7"/>
      <c r="M119" s="7"/>
      <c r="O119" s="7"/>
      <c r="Q119" s="7"/>
      <c r="S119" s="7"/>
      <c r="U119" s="7"/>
    </row>
    <row r="120" spans="1:21" s="2" customFormat="1">
      <c r="A120" s="1" t="s">
        <v>297</v>
      </c>
      <c r="E120" s="14">
        <f>'Registreerimismaks (1)'!B18</f>
        <v>17575.499173059266</v>
      </c>
    </row>
    <row r="121" spans="1:21" s="2" customFormat="1"/>
    <row r="122" spans="1:21" s="2" customFormat="1">
      <c r="A122" s="1" t="s">
        <v>298</v>
      </c>
      <c r="E122" s="14">
        <f>(E118*$E$120)*E116</f>
        <v>118104526808.59082</v>
      </c>
      <c r="G122" s="14">
        <f>(G118*$E$120)*G116</f>
        <v>104536466135.29631</v>
      </c>
      <c r="I122" s="14">
        <f>(I118*$E$120)*I116</f>
        <v>96902375989.801819</v>
      </c>
      <c r="K122" s="14">
        <f>(K118*$E$120)*K116</f>
        <v>91504715447.340576</v>
      </c>
      <c r="M122" s="14">
        <f>(M118*$E$120)*M116</f>
        <v>87235342320.159729</v>
      </c>
      <c r="O122" s="14">
        <f>(O118*$E$120)*O116</f>
        <v>81632121762.786301</v>
      </c>
      <c r="Q122" s="14">
        <f>(Q118*$E$120)*Q116</f>
        <v>75882191019.896942</v>
      </c>
      <c r="S122" s="14">
        <f>(S118*$E$120)*S116</f>
        <v>71948009898.686996</v>
      </c>
      <c r="U122" s="14">
        <f>(U118*$E$120)*U116</f>
        <v>71851141659.111969</v>
      </c>
    </row>
    <row r="123" spans="1:21" s="2" customFormat="1"/>
    <row r="124" spans="1:21" s="2" customFormat="1">
      <c r="A124" s="2" t="s">
        <v>299</v>
      </c>
      <c r="G124" s="14">
        <f>E122-G122</f>
        <v>13568060673.29451</v>
      </c>
      <c r="I124" s="14">
        <f>G122-I122</f>
        <v>7634090145.4944916</v>
      </c>
      <c r="K124" s="14">
        <f>I122-K122</f>
        <v>5397660542.4612427</v>
      </c>
      <c r="M124" s="14">
        <f>K122-M122</f>
        <v>4269373127.1808472</v>
      </c>
      <c r="O124" s="14">
        <f>M122-O122</f>
        <v>5603220557.3734283</v>
      </c>
      <c r="Q124" s="14">
        <f>O122-Q122</f>
        <v>5749930742.8893585</v>
      </c>
      <c r="S124" s="14">
        <f>Q122-S122</f>
        <v>3934181121.2099457</v>
      </c>
      <c r="U124" s="14">
        <f>S122-U122</f>
        <v>96868239.575027466</v>
      </c>
    </row>
    <row r="125" spans="1:21" s="2" customFormat="1"/>
    <row r="126" spans="1:21" s="2" customFormat="1">
      <c r="A126" s="2" t="s">
        <v>300</v>
      </c>
      <c r="G126" s="14">
        <f>E126+G124</f>
        <v>13568060673.29451</v>
      </c>
      <c r="I126" s="14">
        <f>G126+I124</f>
        <v>21202150818.789001</v>
      </c>
      <c r="K126" s="14">
        <f>I126+K124</f>
        <v>26599811361.250244</v>
      </c>
      <c r="M126" s="14">
        <f>K126+M124</f>
        <v>30869184488.431091</v>
      </c>
      <c r="O126" s="14">
        <f>M126+O124</f>
        <v>36472405045.80452</v>
      </c>
      <c r="Q126" s="14">
        <f>O126+Q124</f>
        <v>42222335788.693878</v>
      </c>
      <c r="S126" s="14">
        <f>Q126+S124</f>
        <v>46156516909.903824</v>
      </c>
      <c r="U126" s="14">
        <f>S126+U124</f>
        <v>46253385149.478851</v>
      </c>
    </row>
    <row r="127" spans="1:21" s="2" customFormat="1"/>
    <row r="128" spans="1:21" s="2" customFormat="1">
      <c r="A128" s="2" t="s">
        <v>262</v>
      </c>
      <c r="E128" s="19">
        <v>0.49377601625206635</v>
      </c>
    </row>
    <row r="129" spans="1:25" s="2" customFormat="1">
      <c r="A129" s="2" t="s">
        <v>263</v>
      </c>
      <c r="E129" s="19">
        <v>0.50622398374793365</v>
      </c>
    </row>
    <row r="130" spans="1:25" s="2" customFormat="1">
      <c r="H130" s="55"/>
      <c r="I130" s="55"/>
      <c r="J130" s="55"/>
      <c r="K130" s="55"/>
      <c r="L130" s="55"/>
      <c r="M130" s="55"/>
      <c r="N130" s="55"/>
      <c r="O130" s="55"/>
      <c r="P130" s="55"/>
      <c r="Q130" s="55"/>
      <c r="R130" s="55"/>
      <c r="S130" s="55"/>
      <c r="T130" s="55"/>
      <c r="U130" s="55"/>
      <c r="V130" s="55"/>
      <c r="W130" s="55"/>
      <c r="X130" s="55"/>
      <c r="Y130" s="55"/>
    </row>
    <row r="131" spans="1:25" s="2" customFormat="1">
      <c r="A131" s="2" t="s">
        <v>301</v>
      </c>
      <c r="E131" s="14">
        <f>E37*E43</f>
        <v>249480000.00000069</v>
      </c>
    </row>
    <row r="132" spans="1:25" s="2" customFormat="1">
      <c r="A132" s="2" t="s">
        <v>302</v>
      </c>
      <c r="E132" s="14">
        <f>E38*E43</f>
        <v>266760000.00000077</v>
      </c>
    </row>
    <row r="133" spans="1:25" s="2" customFormat="1">
      <c r="G133" s="50" t="s">
        <v>282</v>
      </c>
      <c r="H133" s="50"/>
      <c r="I133" s="50" t="s">
        <v>283</v>
      </c>
      <c r="J133" s="50"/>
      <c r="K133" s="50" t="s">
        <v>284</v>
      </c>
      <c r="L133" s="50"/>
      <c r="M133" s="50" t="s">
        <v>285</v>
      </c>
      <c r="N133" s="50"/>
      <c r="O133" s="50" t="s">
        <v>286</v>
      </c>
      <c r="P133" s="50"/>
      <c r="Q133" s="50" t="s">
        <v>287</v>
      </c>
      <c r="R133" s="50"/>
      <c r="S133" s="50" t="s">
        <v>288</v>
      </c>
      <c r="T133" s="50"/>
      <c r="U133" s="50" t="s">
        <v>289</v>
      </c>
    </row>
    <row r="134" spans="1:25" s="2" customFormat="1">
      <c r="A134" s="2" t="s">
        <v>303</v>
      </c>
      <c r="G134" s="14">
        <f>($E$34*G124)/$E$131</f>
        <v>26.854188502187245</v>
      </c>
      <c r="I134" s="14">
        <f>($E$34*I124)/$E$131</f>
        <v>15.109550343720608</v>
      </c>
      <c r="K134" s="14">
        <f>($E$34*K124)/$E$131</f>
        <v>10.683162256443291</v>
      </c>
      <c r="M134" s="14">
        <f>($E$34*M124)/$E$131</f>
        <v>8.4500322856861452</v>
      </c>
      <c r="O134" s="14">
        <f>($E$34*O124)/$E$131</f>
        <v>11.090010922725376</v>
      </c>
      <c r="Q134" s="14">
        <f>($E$34*Q124)/$E$131</f>
        <v>11.380382779979094</v>
      </c>
      <c r="S134" s="14">
        <f>($E$34*S124)/$E$131</f>
        <v>7.7866132806041746</v>
      </c>
      <c r="U134" s="14">
        <f>($E$34*U124)/$E$131</f>
        <v>0.19172363892379224</v>
      </c>
    </row>
    <row r="135" spans="1:25" s="2" customFormat="1">
      <c r="A135" s="2" t="s">
        <v>304</v>
      </c>
      <c r="G135" s="14">
        <f>($E$35*G124)/$E$132</f>
        <v>25.747779748720941</v>
      </c>
      <c r="I135" s="14">
        <f>($E$35*I124)/$E$132</f>
        <v>14.48702776181981</v>
      </c>
      <c r="K135" s="14">
        <f>($E$35*K124)/$E$132</f>
        <v>10.243009531877924</v>
      </c>
      <c r="M135" s="14">
        <f>($E$35*M124)/$E$132</f>
        <v>8.1018858620027583</v>
      </c>
      <c r="O135" s="14">
        <f>($E$35*O124)/$E$132</f>
        <v>10.633095787868816</v>
      </c>
      <c r="Q135" s="14">
        <f>($E$35*Q124)/$E$132</f>
        <v>10.911504149573242</v>
      </c>
      <c r="S135" s="14">
        <f>($E$35*S124)/$E$132</f>
        <v>7.4658001198260795</v>
      </c>
      <c r="U135" s="14">
        <f>($E$35*U124)/$E$132</f>
        <v>0.18382450943289663</v>
      </c>
    </row>
    <row r="136" spans="1:25" s="1" customFormat="1">
      <c r="A136" s="1" t="s">
        <v>305</v>
      </c>
      <c r="G136" s="20">
        <f>SUM(G134:G135)</f>
        <v>52.601968250908186</v>
      </c>
      <c r="I136" s="20">
        <f>SUM(I134:I135)</f>
        <v>29.596578105540416</v>
      </c>
      <c r="K136" s="20">
        <f>SUM(K134:K135)</f>
        <v>20.926171788321213</v>
      </c>
      <c r="M136" s="20">
        <f>SUM(M134:M135)</f>
        <v>16.551918147688902</v>
      </c>
      <c r="O136" s="20">
        <f>SUM(O134:O135)</f>
        <v>21.723106710594195</v>
      </c>
      <c r="Q136" s="20">
        <f>SUM(Q134:Q135)</f>
        <v>22.291886929552334</v>
      </c>
      <c r="S136" s="20">
        <f>SUM(S134:S135)</f>
        <v>15.252413400430253</v>
      </c>
      <c r="U136" s="20">
        <f>SUM(U134:U135)</f>
        <v>0.37554814835668887</v>
      </c>
    </row>
    <row r="137" spans="1:25" s="2" customFormat="1"/>
    <row r="138" spans="1:25" s="2" customFormat="1">
      <c r="A138" s="1" t="s">
        <v>306</v>
      </c>
    </row>
    <row r="139" spans="1:25" s="2" customFormat="1">
      <c r="I139" s="14">
        <f>$G$136</f>
        <v>52.601968250908186</v>
      </c>
      <c r="K139" s="14">
        <f>$G$136</f>
        <v>52.601968250908186</v>
      </c>
      <c r="M139" s="14">
        <f>$G$136</f>
        <v>52.601968250908186</v>
      </c>
      <c r="O139" s="14">
        <f>$G$136</f>
        <v>52.601968250908186</v>
      </c>
      <c r="Q139" s="14">
        <f>$G$136</f>
        <v>52.601968250908186</v>
      </c>
      <c r="S139" s="14">
        <f>$G$136</f>
        <v>52.601968250908186</v>
      </c>
      <c r="U139" s="14">
        <f>$G$136</f>
        <v>52.601968250908186</v>
      </c>
    </row>
    <row r="140" spans="1:25" s="2" customFormat="1">
      <c r="K140" s="14">
        <f>$I$136</f>
        <v>29.596578105540416</v>
      </c>
      <c r="M140" s="14">
        <f>$I$136</f>
        <v>29.596578105540416</v>
      </c>
      <c r="O140" s="14">
        <f>$I$136</f>
        <v>29.596578105540416</v>
      </c>
      <c r="Q140" s="14">
        <f>$I$136</f>
        <v>29.596578105540416</v>
      </c>
      <c r="S140" s="14">
        <f>$I$136</f>
        <v>29.596578105540416</v>
      </c>
      <c r="U140" s="14">
        <f>$I$136</f>
        <v>29.596578105540416</v>
      </c>
    </row>
    <row r="141" spans="1:25" s="2" customFormat="1">
      <c r="M141" s="14">
        <f>$K$136</f>
        <v>20.926171788321213</v>
      </c>
      <c r="O141" s="14">
        <f>$K$136</f>
        <v>20.926171788321213</v>
      </c>
      <c r="Q141" s="14">
        <f>$K$136</f>
        <v>20.926171788321213</v>
      </c>
      <c r="S141" s="14">
        <f>$K$136</f>
        <v>20.926171788321213</v>
      </c>
      <c r="U141" s="14">
        <f>$K$136</f>
        <v>20.926171788321213</v>
      </c>
    </row>
    <row r="142" spans="1:25" s="2" customFormat="1">
      <c r="O142" s="14">
        <f>$M$136</f>
        <v>16.551918147688902</v>
      </c>
      <c r="Q142" s="14">
        <f>$M$136</f>
        <v>16.551918147688902</v>
      </c>
      <c r="S142" s="14">
        <f>$M$136</f>
        <v>16.551918147688902</v>
      </c>
      <c r="U142" s="14">
        <f>$M$136</f>
        <v>16.551918147688902</v>
      </c>
    </row>
    <row r="143" spans="1:25" s="2" customFormat="1">
      <c r="Q143" s="14">
        <f>$O$136</f>
        <v>21.723106710594195</v>
      </c>
      <c r="S143" s="14">
        <f>$O$136</f>
        <v>21.723106710594195</v>
      </c>
      <c r="U143" s="14">
        <f>$O$136</f>
        <v>21.723106710594195</v>
      </c>
    </row>
    <row r="144" spans="1:25" s="2" customFormat="1">
      <c r="S144" s="14">
        <f>$Q$136</f>
        <v>22.291886929552334</v>
      </c>
      <c r="U144" s="14">
        <f>$Q$136</f>
        <v>22.291886929552334</v>
      </c>
    </row>
    <row r="145" spans="1:21" s="2" customFormat="1">
      <c r="U145" s="14">
        <f>$S$136</f>
        <v>15.252413400430253</v>
      </c>
    </row>
    <row r="146" spans="1:21" s="2" customFormat="1"/>
    <row r="147" spans="1:21" s="2" customFormat="1">
      <c r="H147" s="1"/>
      <c r="I147" s="37"/>
      <c r="J147" s="37"/>
      <c r="K147" s="37"/>
      <c r="L147" s="37"/>
      <c r="M147" s="37"/>
      <c r="N147" s="37"/>
      <c r="O147" s="37"/>
      <c r="P147" s="37"/>
      <c r="Q147" s="37"/>
      <c r="R147" s="37"/>
      <c r="S147" s="37"/>
      <c r="U147" s="37"/>
    </row>
    <row r="148" spans="1:21" s="2" customFormat="1"/>
    <row r="149" spans="1:21" s="2" customFormat="1">
      <c r="H149" s="1" t="s">
        <v>14</v>
      </c>
      <c r="I149" s="40">
        <v>2024</v>
      </c>
      <c r="J149" s="37"/>
      <c r="K149" s="40">
        <v>2025</v>
      </c>
      <c r="L149" s="40"/>
      <c r="M149" s="40">
        <v>2026</v>
      </c>
      <c r="N149" s="40"/>
      <c r="O149" s="40">
        <v>2027</v>
      </c>
      <c r="P149" s="40"/>
      <c r="Q149" s="40">
        <v>2028</v>
      </c>
      <c r="R149" s="40"/>
      <c r="S149" s="40">
        <v>2029</v>
      </c>
      <c r="T149" s="40"/>
      <c r="U149" s="40">
        <v>2030</v>
      </c>
    </row>
    <row r="150" spans="1:21" s="39" customFormat="1">
      <c r="A150" s="49" t="s">
        <v>122</v>
      </c>
      <c r="B150" s="49"/>
      <c r="C150" s="49"/>
      <c r="D150" s="49"/>
      <c r="E150" s="49"/>
      <c r="F150" s="49"/>
      <c r="G150" s="49"/>
      <c r="H150" s="49"/>
      <c r="I150" s="14">
        <f>SUM(I139:I145)</f>
        <v>52.601968250908186</v>
      </c>
      <c r="J150" s="49"/>
      <c r="K150" s="14">
        <f>SUM(K139:K145)</f>
        <v>82.198546356448603</v>
      </c>
      <c r="L150" s="49"/>
      <c r="M150" s="14">
        <f>SUM(M139:M145)</f>
        <v>103.12471814476982</v>
      </c>
      <c r="N150" s="49"/>
      <c r="O150" s="14">
        <f>SUM(O139:O145)</f>
        <v>119.67663629245871</v>
      </c>
      <c r="P150" s="49"/>
      <c r="Q150" s="14">
        <f>SUM(Q139:Q145)</f>
        <v>141.39974300305289</v>
      </c>
      <c r="R150" s="49"/>
      <c r="S150" s="14">
        <f>SUM(S139:S145)</f>
        <v>163.69162993260522</v>
      </c>
      <c r="T150" s="49"/>
      <c r="U150" s="14">
        <f>SUM(U139:U145)</f>
        <v>178.94404333303547</v>
      </c>
    </row>
    <row r="151" spans="1:21" s="2" customFormat="1">
      <c r="A151" s="1" t="s">
        <v>134</v>
      </c>
      <c r="I151" s="20">
        <f>H151+I150</f>
        <v>52.601968250908186</v>
      </c>
      <c r="J151" s="1"/>
      <c r="K151" s="20">
        <f>I151+K150</f>
        <v>134.80051460735677</v>
      </c>
      <c r="L151" s="1"/>
      <c r="M151" s="20">
        <f>K151+M150</f>
        <v>237.92523275212659</v>
      </c>
      <c r="N151" s="1"/>
      <c r="O151" s="20">
        <f>M151+O150</f>
        <v>357.60186904458533</v>
      </c>
      <c r="P151" s="1"/>
      <c r="Q151" s="20">
        <f>O151+Q150</f>
        <v>499.00161204763822</v>
      </c>
      <c r="R151" s="1"/>
      <c r="S151" s="20">
        <f>Q151+S150</f>
        <v>662.69324198024344</v>
      </c>
      <c r="T151" s="1"/>
      <c r="U151" s="20">
        <f>S151+U150</f>
        <v>841.63728531327888</v>
      </c>
    </row>
    <row r="152" spans="1:21" s="39" customFormat="1">
      <c r="A152" s="49" t="s">
        <v>307</v>
      </c>
      <c r="B152" s="49"/>
      <c r="C152" s="49"/>
      <c r="D152" s="49"/>
      <c r="E152" s="49"/>
      <c r="F152" s="49"/>
      <c r="G152" s="49"/>
      <c r="H152" s="49"/>
      <c r="I152" s="14">
        <f>((((I150*$E$41)*$E$128)*$E$39)+(($E$129*($E$41*I150))*$E$40))/1000</f>
        <v>12.347899928505317</v>
      </c>
      <c r="J152" s="49"/>
      <c r="K152" s="14">
        <f>((((K150*$E$41)*$E$128)*$E$39)+(($E$129*($E$41*K150))*$E$40))/1000</f>
        <v>19.295464759733754</v>
      </c>
      <c r="L152" s="49"/>
      <c r="M152" s="14">
        <f>((((M150*$E$41)*$E$128)*$E$39)+(($E$129*($E$41*M150))*$E$40))/1000</f>
        <v>24.20771963765727</v>
      </c>
      <c r="N152" s="49"/>
      <c r="O152" s="14">
        <f>((((O150*$E$41)*$E$128)*$E$39)+(($E$129*($E$41*O150))*$E$40))/1000</f>
        <v>28.093152744220635</v>
      </c>
      <c r="P152" s="49"/>
      <c r="Q152" s="14">
        <f>((((Q150*$E$41)*$E$128)*$E$39)+(($E$129*($E$41*Q150))*$E$40))/1000</f>
        <v>33.192481851435709</v>
      </c>
      <c r="R152" s="49"/>
      <c r="S152" s="14">
        <f>((((S150*$E$41)*$E$128)*$E$39)+(($E$129*($E$41*S150))*$E$40))/1000</f>
        <v>38.425327658853099</v>
      </c>
      <c r="T152" s="49"/>
      <c r="U152" s="14">
        <f>((((U150*$E$41)*$E$128)*$E$39)+(($E$129*($E$41*U150))*$E$40))/1000</f>
        <v>42.005712207171861</v>
      </c>
    </row>
    <row r="153" spans="1:21" s="2" customFormat="1">
      <c r="A153" s="1" t="s">
        <v>136</v>
      </c>
      <c r="I153" s="20">
        <f>H153+I152</f>
        <v>12.347899928505317</v>
      </c>
      <c r="K153" s="20">
        <f>I153+K152</f>
        <v>31.643364688239071</v>
      </c>
      <c r="M153" s="20">
        <f>K153+M152</f>
        <v>55.851084325896338</v>
      </c>
      <c r="O153" s="20">
        <f>M153+O152</f>
        <v>83.944237070116969</v>
      </c>
      <c r="Q153" s="20">
        <f>O153+Q152</f>
        <v>117.13671892155267</v>
      </c>
      <c r="S153" s="20">
        <f>Q153+S152</f>
        <v>155.56204658040576</v>
      </c>
      <c r="U153" s="20">
        <f>S153+U152</f>
        <v>197.56775878757762</v>
      </c>
    </row>
    <row r="154" spans="1:21" s="2" customFormat="1">
      <c r="A154" s="1"/>
    </row>
    <row r="155" spans="1:21" s="11" customFormat="1">
      <c r="A155" s="10" t="s">
        <v>110</v>
      </c>
    </row>
    <row r="156" spans="1:21" s="2" customFormat="1"/>
    <row r="157" spans="1:21" s="2" customFormat="1">
      <c r="A157" s="2" t="s">
        <v>308</v>
      </c>
      <c r="I157" s="14">
        <f>($E$128*I150)*$E$44</f>
        <v>93.504925187824028</v>
      </c>
      <c r="K157" s="14">
        <f>($E$128*K150)*$E$44</f>
        <v>146.11561474175281</v>
      </c>
      <c r="M157" s="14">
        <f>($E$128*M150)*$E$44</f>
        <v>183.31384500950983</v>
      </c>
      <c r="O157" s="14">
        <f>($E$128*O150)*$E$44</f>
        <v>212.73642974497582</v>
      </c>
      <c r="Q157" s="14">
        <f>($E$128*Q150)*$E$44</f>
        <v>251.35128647680841</v>
      </c>
      <c r="S157" s="14">
        <f>($E$128*S150)*$E$44</f>
        <v>290.97720331894556</v>
      </c>
      <c r="U157" s="14">
        <f>($E$128*U150)*$E$44</f>
        <v>318.08979665648417</v>
      </c>
    </row>
    <row r="158" spans="1:21" s="2" customFormat="1">
      <c r="A158" s="2" t="s">
        <v>309</v>
      </c>
      <c r="I158" s="14">
        <f>($E$129*I150)*$E$44</f>
        <v>95.862160515445439</v>
      </c>
      <c r="K158" s="14">
        <f>($E$129*K150)*$E$44</f>
        <v>149.79915214146217</v>
      </c>
      <c r="M158" s="14">
        <f>($E$129*M150)*$E$44</f>
        <v>187.93514031166151</v>
      </c>
      <c r="O158" s="14">
        <f>($E$129*O150)*$E$44</f>
        <v>218.09946090787554</v>
      </c>
      <c r="Q158" s="14">
        <f>($E$129*Q150)*$E$44</f>
        <v>257.68778833418202</v>
      </c>
      <c r="S158" s="14">
        <f>($E$129*S150)*$E$44</f>
        <v>298.31266443843327</v>
      </c>
      <c r="U158" s="14">
        <f>($E$129*U150)*$E$44</f>
        <v>326.10875934244353</v>
      </c>
    </row>
    <row r="159" spans="1:21" s="2" customFormat="1"/>
    <row r="160" spans="1:21" s="2" customFormat="1">
      <c r="A160" s="2" t="s">
        <v>310</v>
      </c>
      <c r="I160" s="14">
        <f>$E$46*I157</f>
        <v>2680224.8859050819</v>
      </c>
      <c r="K160" s="14">
        <f>$E$46*K157</f>
        <v>4188257.5282907281</v>
      </c>
      <c r="M160" s="14">
        <f>$E$46*M157</f>
        <v>5254507.4854454203</v>
      </c>
      <c r="O160" s="14">
        <f>$E$46*O157</f>
        <v>6097876.3631515093</v>
      </c>
      <c r="Q160" s="14">
        <f>$E$46*Q157</f>
        <v>7204732.4968837472</v>
      </c>
      <c r="S160" s="14">
        <f>$E$46*S157</f>
        <v>8340569.6544854864</v>
      </c>
      <c r="U160" s="14">
        <f>$E$46*U157</f>
        <v>9117724.9459177498</v>
      </c>
    </row>
    <row r="161" spans="1:21" s="2" customFormat="1">
      <c r="A161" s="2" t="s">
        <v>311</v>
      </c>
      <c r="I161" s="14">
        <f>$E$47*I158</f>
        <v>2487827.8128584595</v>
      </c>
      <c r="K161" s="14">
        <f>$E$47*K158</f>
        <v>3887607.9470387031</v>
      </c>
      <c r="M161" s="14">
        <f>$E$47*M158</f>
        <v>4877318.2929199291</v>
      </c>
      <c r="O161" s="14">
        <f>$E$47*O158</f>
        <v>5660146.838946173</v>
      </c>
      <c r="Q161" s="14">
        <f>$E$47*Q158</f>
        <v>6687548.4905065289</v>
      </c>
      <c r="S161" s="14">
        <f>$E$47*S158</f>
        <v>7741850.7941751508</v>
      </c>
      <c r="U161" s="14">
        <f>$E$47*U158</f>
        <v>8463218.8253067695</v>
      </c>
    </row>
    <row r="162" spans="1:21" s="2" customFormat="1"/>
    <row r="163" spans="1:21" s="2" customFormat="1">
      <c r="A163" s="2" t="s">
        <v>312</v>
      </c>
      <c r="I163" s="14">
        <f>$E$49*I160</f>
        <v>884474.2123486771</v>
      </c>
      <c r="K163" s="14">
        <f>$E$49*K160</f>
        <v>1382124.9843359403</v>
      </c>
      <c r="M163" s="14">
        <f>$E$49*M160</f>
        <v>1733987.4701969887</v>
      </c>
      <c r="O163" s="14">
        <f>$E$49*O160</f>
        <v>2012299.1998399983</v>
      </c>
      <c r="Q163" s="14">
        <f>$E$49*Q160</f>
        <v>2377561.7239716365</v>
      </c>
      <c r="S163" s="14">
        <f>$E$49*S160</f>
        <v>2752387.9859802108</v>
      </c>
      <c r="U163" s="14">
        <f>$E$49*U160</f>
        <v>3008849.2321528574</v>
      </c>
    </row>
    <row r="164" spans="1:21" s="2" customFormat="1">
      <c r="A164" s="2" t="s">
        <v>313</v>
      </c>
      <c r="I164" s="14">
        <f>$E$50*I161</f>
        <v>1226499.1117392206</v>
      </c>
      <c r="K164" s="14">
        <f>$E$50*K161</f>
        <v>1916590.7178900805</v>
      </c>
      <c r="M164" s="14">
        <f>$E$50*M161</f>
        <v>2404517.918409525</v>
      </c>
      <c r="O164" s="14">
        <f>$E$50*O161</f>
        <v>2790452.3916004631</v>
      </c>
      <c r="Q164" s="14">
        <f>$E$50*Q161</f>
        <v>3296961.4058197187</v>
      </c>
      <c r="S164" s="14">
        <f>$E$50*S161</f>
        <v>3816732.4415283492</v>
      </c>
      <c r="U164" s="14">
        <f>$E$50*U161</f>
        <v>4172366.8808762371</v>
      </c>
    </row>
    <row r="165" spans="1:21" s="1" customFormat="1">
      <c r="A165" s="1" t="s">
        <v>104</v>
      </c>
      <c r="I165" s="20">
        <f>SUM(I163:I164)</f>
        <v>2110973.3240878978</v>
      </c>
      <c r="K165" s="20">
        <f>SUM(K163:K164)</f>
        <v>3298715.7022260209</v>
      </c>
      <c r="M165" s="20">
        <f>SUM(M163:M164)</f>
        <v>4138505.3886065139</v>
      </c>
      <c r="O165" s="20">
        <f>SUM(O163:O164)</f>
        <v>4802751.5914404616</v>
      </c>
      <c r="Q165" s="20">
        <f>SUM(Q163:Q164)</f>
        <v>5674523.1297913548</v>
      </c>
      <c r="S165" s="20">
        <f>SUM(S163:S164)</f>
        <v>6569120.42750856</v>
      </c>
      <c r="U165" s="20">
        <f>SUM(U163:U164)</f>
        <v>7181216.1130290944</v>
      </c>
    </row>
    <row r="166" spans="1:21" s="2" customFormat="1"/>
    <row r="167" spans="1:21" s="2" customFormat="1">
      <c r="A167" s="2" t="s">
        <v>314</v>
      </c>
      <c r="I167" s="14">
        <f>$E$51*I160</f>
        <v>594116.51637562655</v>
      </c>
      <c r="K167" s="14">
        <f>$E$51*K160</f>
        <v>928397.08543777815</v>
      </c>
      <c r="M167" s="14">
        <f>$E$51*M160</f>
        <v>1164749.1592737348</v>
      </c>
      <c r="O167" s="14">
        <f>$E$51*O160</f>
        <v>1351695.9271652512</v>
      </c>
      <c r="Q167" s="14">
        <f>$E$51*Q160</f>
        <v>1597049.0368092307</v>
      </c>
      <c r="S167" s="14">
        <f>$E$51*S160</f>
        <v>1848826.2734109496</v>
      </c>
      <c r="U167" s="14">
        <f>$E$51*U160</f>
        <v>2021095.6963451013</v>
      </c>
    </row>
    <row r="168" spans="1:21" s="2" customFormat="1">
      <c r="A168" s="2" t="s">
        <v>314</v>
      </c>
      <c r="I168" s="14">
        <f>$E$52*I161</f>
        <v>541517.18726552476</v>
      </c>
      <c r="K168" s="14">
        <f>$E$52*K161</f>
        <v>846202.66313875769</v>
      </c>
      <c r="M168" s="14">
        <f>$E$52*M161</f>
        <v>1061629.6150922379</v>
      </c>
      <c r="O168" s="14">
        <f>$E$52*O161</f>
        <v>1232025.2952772838</v>
      </c>
      <c r="Q168" s="14">
        <f>$E$52*Q161</f>
        <v>1455656.3881002546</v>
      </c>
      <c r="S168" s="14">
        <f>$E$52*S161</f>
        <v>1685142.8561987912</v>
      </c>
      <c r="U168" s="14">
        <f>$E$52*U161</f>
        <v>1842160.630975107</v>
      </c>
    </row>
    <row r="169" spans="1:21" s="1" customFormat="1">
      <c r="A169" s="1" t="s">
        <v>104</v>
      </c>
      <c r="I169" s="20">
        <f>SUM(I167:I168)</f>
        <v>1135633.7036411513</v>
      </c>
      <c r="K169" s="20">
        <f>SUM(K167:K168)</f>
        <v>1774599.7485765358</v>
      </c>
      <c r="M169" s="20">
        <f>SUM(M167:M168)</f>
        <v>2226378.7743659727</v>
      </c>
      <c r="O169" s="20">
        <f>SUM(O167:O168)</f>
        <v>2583721.2224425348</v>
      </c>
      <c r="Q169" s="20">
        <f>SUM(Q167:Q168)</f>
        <v>3052705.4249094855</v>
      </c>
      <c r="S169" s="20">
        <f>SUM(S167:S168)</f>
        <v>3533969.1296097408</v>
      </c>
      <c r="U169" s="20">
        <f>SUM(U167:U168)</f>
        <v>3863256.3273202083</v>
      </c>
    </row>
    <row r="170" spans="1:21" s="2" customFormat="1"/>
    <row r="171" spans="1:21" s="1" customFormat="1">
      <c r="A171" s="1" t="s">
        <v>315</v>
      </c>
      <c r="I171" s="20">
        <f>I169+I165</f>
        <v>3246607.0277290493</v>
      </c>
      <c r="K171" s="20">
        <f>K169+K165</f>
        <v>5073315.4508025572</v>
      </c>
      <c r="M171" s="20">
        <f>M169+M165</f>
        <v>6364884.1629724866</v>
      </c>
      <c r="O171" s="20">
        <f>O169+O165</f>
        <v>7386472.8138829963</v>
      </c>
      <c r="Q171" s="20">
        <f>Q169+Q165</f>
        <v>8727228.5547008403</v>
      </c>
      <c r="S171" s="20">
        <f>S169+S165</f>
        <v>10103089.5571183</v>
      </c>
      <c r="U171" s="20">
        <f>U169+U165</f>
        <v>11044472.440349303</v>
      </c>
    </row>
    <row r="172" spans="1:21" s="2" customFormat="1"/>
    <row r="173" spans="1:21" s="2" customFormat="1"/>
    <row r="174" spans="1:21" s="2" customFormat="1"/>
    <row r="175" spans="1:21" s="2" customFormat="1"/>
    <row r="176" spans="1:21"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pans="1:15" s="2" customFormat="1"/>
    <row r="194" spans="1:15" s="11" customFormat="1">
      <c r="A194" s="10" t="s">
        <v>316</v>
      </c>
    </row>
    <row r="195" spans="1:15" s="2" customFormat="1"/>
    <row r="196" spans="1:15" s="2" customFormat="1">
      <c r="E196" s="9" t="s">
        <v>133</v>
      </c>
      <c r="F196" s="50">
        <v>1</v>
      </c>
      <c r="G196" s="50">
        <v>2</v>
      </c>
      <c r="H196" s="50">
        <v>3</v>
      </c>
      <c r="I196" s="50">
        <v>4</v>
      </c>
      <c r="J196" s="50">
        <v>5</v>
      </c>
      <c r="K196" s="50">
        <v>6</v>
      </c>
      <c r="L196" s="50">
        <v>7</v>
      </c>
      <c r="M196" s="50">
        <v>8</v>
      </c>
      <c r="N196" s="50">
        <v>9</v>
      </c>
      <c r="O196" s="50">
        <v>10</v>
      </c>
    </row>
    <row r="197" spans="1:15" s="2" customFormat="1">
      <c r="E197" s="9" t="s">
        <v>14</v>
      </c>
      <c r="F197" s="37">
        <v>44561</v>
      </c>
      <c r="G197" s="37">
        <v>44926</v>
      </c>
      <c r="H197" s="37">
        <v>45291</v>
      </c>
      <c r="I197" s="37">
        <v>45657</v>
      </c>
      <c r="J197" s="37">
        <v>46022</v>
      </c>
      <c r="K197" s="37">
        <v>46387</v>
      </c>
      <c r="L197" s="37">
        <v>46752</v>
      </c>
      <c r="M197" s="37">
        <v>47118</v>
      </c>
      <c r="N197" s="37">
        <v>47483</v>
      </c>
      <c r="O197" s="37">
        <v>47848</v>
      </c>
    </row>
    <row r="198" spans="1:15" s="2" customFormat="1">
      <c r="E198" s="9"/>
      <c r="F198" s="37"/>
      <c r="G198" s="37"/>
      <c r="H198" s="37"/>
      <c r="I198" s="37"/>
      <c r="J198" s="37"/>
      <c r="K198" s="37"/>
      <c r="L198" s="37"/>
      <c r="M198" s="37"/>
      <c r="N198" s="37"/>
      <c r="O198" s="37"/>
    </row>
    <row r="199" spans="1:15" s="1" customFormat="1">
      <c r="A199" s="1" t="s">
        <v>20</v>
      </c>
      <c r="E199" s="9"/>
      <c r="F199" s="20">
        <f>E199+SUM(Kokkuvõte!C16:C17)</f>
        <v>0</v>
      </c>
      <c r="G199" s="20">
        <f>F199+SUM(Kokkuvõte!D16:D17)</f>
        <v>0</v>
      </c>
      <c r="H199" s="20">
        <f>G199+SUM(Kokkuvõte!E16:E17)</f>
        <v>21.702677044241021</v>
      </c>
      <c r="I199" s="20">
        <f>H199+SUM(Kokkuvõte!F16:F17)</f>
        <v>96.007322339390242</v>
      </c>
      <c r="J199" s="20">
        <f>I199+SUM(Kokkuvõte!G16:G17)</f>
        <v>199.90854574007986</v>
      </c>
      <c r="K199" s="20">
        <f>J199+SUM(Kokkuvõte!H16:H17)</f>
        <v>324.7359409290907</v>
      </c>
      <c r="L199" s="20">
        <f>K199+SUM(Kokkuvõte!I16:I17)</f>
        <v>466.11525426579044</v>
      </c>
      <c r="M199" s="20">
        <f>L199+SUM(Kokkuvõte!J16:J17)</f>
        <v>629.21767431308433</v>
      </c>
      <c r="N199" s="20">
        <f>M199+SUM(Kokkuvõte!K16:K17)</f>
        <v>814.61198128993055</v>
      </c>
      <c r="O199" s="20">
        <f>N199+SUM(Kokkuvõte!L16:L17)</f>
        <v>1015.2587016672071</v>
      </c>
    </row>
    <row r="200" spans="1:15" s="1" customFormat="1">
      <c r="A200" s="1" t="s">
        <v>317</v>
      </c>
      <c r="E200" s="9"/>
      <c r="F200" s="20">
        <f>E200+SUM(Kokkuvõte!C23:C24)</f>
        <v>0</v>
      </c>
      <c r="G200" s="20">
        <f>F200+SUM(Kokkuvõte!D23:D24)</f>
        <v>0</v>
      </c>
      <c r="H200" s="20">
        <f>G200+SUM(Kokkuvõte!E23:E24)</f>
        <v>5.0814336222520744</v>
      </c>
      <c r="I200" s="20">
        <f>H200+SUM(Kokkuvõte!F23:F24)</f>
        <v>22.510767173009466</v>
      </c>
      <c r="J200" s="20">
        <f>I200+SUM(Kokkuvõte!G23:G24)</f>
        <v>46.887665554995294</v>
      </c>
      <c r="K200" s="20">
        <f>J200+SUM(Kokkuvõte!H23:H24)</f>
        <v>76.176818814904635</v>
      </c>
      <c r="L200" s="20">
        <f>K200+SUM(Kokkuvõte!I23:I24)</f>
        <v>109.35140518137734</v>
      </c>
      <c r="M200" s="20">
        <f>L200+SUM(Kokkuvõte!J23:J24)</f>
        <v>147.62532065506514</v>
      </c>
      <c r="N200" s="20">
        <f>M200+SUM(Kokkuvõte!K23:K24)</f>
        <v>191.13208193617032</v>
      </c>
      <c r="O200" s="20">
        <f>N200+SUM(Kokkuvõte!L23:L24)</f>
        <v>238.21922776559427</v>
      </c>
    </row>
    <row r="201" spans="1:15" s="2" customFormat="1">
      <c r="A201" s="2" t="s">
        <v>124</v>
      </c>
      <c r="F201" s="14">
        <v>0</v>
      </c>
      <c r="G201" s="14">
        <v>0</v>
      </c>
      <c r="H201" s="14">
        <f>'Registreerimismaks (1)'!$B$142</f>
        <v>61790628.555448577</v>
      </c>
      <c r="I201" s="14">
        <f>'Registreerimismaks (1)'!$B$142</f>
        <v>61790628.555448577</v>
      </c>
      <c r="J201" s="14">
        <f>'Registreerimismaks (1)'!$B$142</f>
        <v>61790628.555448577</v>
      </c>
      <c r="K201" s="14">
        <f>'Registreerimismaks (1)'!$B$142</f>
        <v>61790628.555448577</v>
      </c>
      <c r="L201" s="14">
        <f>'Registreerimismaks (1)'!$B$142</f>
        <v>61790628.555448577</v>
      </c>
      <c r="M201" s="14">
        <f>'Registreerimismaks (1)'!$B$142</f>
        <v>61790628.555448577</v>
      </c>
      <c r="N201" s="14">
        <f>'Registreerimismaks (1)'!$B$142</f>
        <v>61790628.555448577</v>
      </c>
      <c r="O201" s="14">
        <f>'Registreerimismaks (1)'!$B$142</f>
        <v>61790628.555448577</v>
      </c>
    </row>
    <row r="202" spans="1:15" s="2" customFormat="1">
      <c r="A202" s="2" t="s">
        <v>125</v>
      </c>
      <c r="F202" s="14"/>
      <c r="G202" s="14"/>
      <c r="H202" s="14">
        <f>'Registreerimismaks (1)'!$B$143</f>
        <v>-856841.2990366657</v>
      </c>
      <c r="I202" s="14">
        <f>'Registreerimismaks (1)'!$B$143-I165</f>
        <v>-2967814.6231245636</v>
      </c>
      <c r="J202" s="14">
        <f>'Registreerimismaks (1)'!$B$143-K165</f>
        <v>-4155557.0012626867</v>
      </c>
      <c r="K202" s="14">
        <f>'Registreerimismaks (1)'!$B$143-M165</f>
        <v>-4995346.6876431797</v>
      </c>
      <c r="L202" s="14">
        <f>'Registreerimismaks (1)'!$B$143-O165</f>
        <v>-5659592.8904771274</v>
      </c>
      <c r="M202" s="14">
        <f>'Registreerimismaks (1)'!$B$143-Q165</f>
        <v>-6531364.4288280206</v>
      </c>
      <c r="N202" s="14">
        <f>'Registreerimismaks (1)'!$B$143-S165</f>
        <v>-7425961.7265452258</v>
      </c>
      <c r="O202" s="14">
        <f>'Registreerimismaks (1)'!$B$143-U165</f>
        <v>-8038057.4120657602</v>
      </c>
    </row>
    <row r="203" spans="1:15" s="2" customFormat="1">
      <c r="A203" s="2" t="s">
        <v>212</v>
      </c>
      <c r="F203" s="14"/>
      <c r="G203" s="14"/>
      <c r="H203" s="14">
        <f>'Registreerimismaks (1)'!$B$144</f>
        <v>-463599.38038687868</v>
      </c>
      <c r="I203" s="14">
        <f>'Registreerimismaks (1)'!$B$144-'Registreerimismaks (2)'!I169</f>
        <v>-1599233.08402803</v>
      </c>
      <c r="J203" s="14">
        <f>'Registreerimismaks (1)'!$B$144-'Registreerimismaks (2)'!K169</f>
        <v>-2238199.1289634146</v>
      </c>
      <c r="K203" s="14">
        <f>'Registreerimismaks (1)'!$B$144-'Registreerimismaks (2)'!M169</f>
        <v>-2689978.1547528515</v>
      </c>
      <c r="L203" s="14">
        <f>'Registreerimismaks (1)'!$B$144-'Registreerimismaks (2)'!O169</f>
        <v>-3047320.6028294135</v>
      </c>
      <c r="M203" s="14">
        <f>'Registreerimismaks (1)'!$B$144-'Registreerimismaks (2)'!Q169</f>
        <v>-3516304.8052963642</v>
      </c>
      <c r="N203" s="14">
        <f>'Registreerimismaks (1)'!$B$144-'Registreerimismaks (2)'!S169</f>
        <v>-3997568.5099966195</v>
      </c>
      <c r="O203" s="14">
        <f>'Registreerimismaks (1)'!$B$144-'Registreerimismaks (2)'!U169</f>
        <v>-4326855.7077070866</v>
      </c>
    </row>
    <row r="204" spans="1:15" s="2" customFormat="1">
      <c r="A204" s="2" t="s">
        <v>240</v>
      </c>
      <c r="F204" s="14"/>
      <c r="G204" s="14"/>
      <c r="H204" s="14">
        <f>'Registreerimismaks (1)'!$B$145</f>
        <v>-5035482.9889290081</v>
      </c>
      <c r="I204" s="14">
        <f>'Registreerimismaks (1)'!$B$145</f>
        <v>-5035482.9889290081</v>
      </c>
      <c r="J204" s="14">
        <f>'Registreerimismaks (1)'!$B$145</f>
        <v>-5035482.9889290081</v>
      </c>
      <c r="K204" s="14">
        <f>'Registreerimismaks (1)'!$B$145</f>
        <v>-5035482.9889290081</v>
      </c>
      <c r="L204" s="14">
        <f>'Registreerimismaks (1)'!$B$145</f>
        <v>-5035482.9889290081</v>
      </c>
      <c r="M204" s="14">
        <f>'Registreerimismaks (1)'!$B$145</f>
        <v>-5035482.9889290081</v>
      </c>
      <c r="N204" s="14">
        <f>'Registreerimismaks (1)'!$B$145</f>
        <v>-5035482.9889290081</v>
      </c>
      <c r="O204" s="14">
        <f>'Registreerimismaks (1)'!$B$145</f>
        <v>-5035482.9889290081</v>
      </c>
    </row>
    <row r="205" spans="1:15" s="2" customFormat="1">
      <c r="A205" s="2" t="s">
        <v>127</v>
      </c>
      <c r="F205" s="14"/>
      <c r="G205" s="14"/>
      <c r="H205" s="14">
        <f>'Registreerimismaks (1)'!$B$146</f>
        <v>-34107137.356168345</v>
      </c>
      <c r="I205" s="14">
        <f>'Registreerimismaks (1)'!$B$146</f>
        <v>-34107137.356168345</v>
      </c>
      <c r="J205" s="14">
        <f>'Registreerimismaks (1)'!$B$146</f>
        <v>-34107137.356168345</v>
      </c>
      <c r="K205" s="14">
        <f>'Registreerimismaks (1)'!$B$146</f>
        <v>-34107137.356168345</v>
      </c>
      <c r="L205" s="14">
        <f>'Registreerimismaks (1)'!$B$146</f>
        <v>-34107137.356168345</v>
      </c>
      <c r="M205" s="14">
        <f>'Registreerimismaks (1)'!$B$146</f>
        <v>-34107137.356168345</v>
      </c>
      <c r="N205" s="14">
        <f>'Registreerimismaks (1)'!$B$146</f>
        <v>-34107137.356168345</v>
      </c>
      <c r="O205" s="14">
        <f>'Registreerimismaks (1)'!$B$146</f>
        <v>-34107137.356168345</v>
      </c>
    </row>
    <row r="206" spans="1:15" s="2" customFormat="1">
      <c r="A206" s="2" t="s">
        <v>128</v>
      </c>
      <c r="F206" s="14"/>
      <c r="G206" s="14"/>
      <c r="H206" s="14">
        <f>'Registreerimismaks (1)'!B147</f>
        <v>-2200000</v>
      </c>
      <c r="I206" s="14">
        <f>'Registreerimismaks (1)'!C147</f>
        <v>0</v>
      </c>
      <c r="J206" s="14">
        <f>'Registreerimismaks (1)'!D147</f>
        <v>0</v>
      </c>
      <c r="K206" s="14">
        <f>'Registreerimismaks (1)'!E147</f>
        <v>0</v>
      </c>
      <c r="L206" s="14">
        <f>'Registreerimismaks (1)'!F147</f>
        <v>0</v>
      </c>
      <c r="M206" s="14">
        <f>'Registreerimismaks (1)'!G147</f>
        <v>0</v>
      </c>
      <c r="N206" s="14">
        <f>'Registreerimismaks (1)'!H147</f>
        <v>0</v>
      </c>
      <c r="O206" s="14">
        <f>'Registreerimismaks (1)'!I147</f>
        <v>0</v>
      </c>
    </row>
    <row r="207" spans="1:15" s="2" customFormat="1">
      <c r="A207" s="2" t="s">
        <v>213</v>
      </c>
      <c r="F207" s="14"/>
      <c r="G207" s="14"/>
      <c r="H207" s="14">
        <f>'Registreerimismaks (1)'!$B$148</f>
        <v>-321311.26848833257</v>
      </c>
      <c r="I207" s="14">
        <f>'Registreerimismaks (1)'!$B$148</f>
        <v>-321311.26848833257</v>
      </c>
      <c r="J207" s="14">
        <f>'Registreerimismaks (1)'!$B$148</f>
        <v>-321311.26848833257</v>
      </c>
      <c r="K207" s="14">
        <f>'Registreerimismaks (1)'!$B$148</f>
        <v>-321311.26848833257</v>
      </c>
      <c r="L207" s="14">
        <f>'Registreerimismaks (1)'!$B$148</f>
        <v>-321311.26848833257</v>
      </c>
      <c r="M207" s="14">
        <f>'Registreerimismaks (1)'!$B$148</f>
        <v>-321311.26848833257</v>
      </c>
      <c r="N207" s="14">
        <f>'Registreerimismaks (1)'!$B$148</f>
        <v>-321311.26848833257</v>
      </c>
      <c r="O207" s="14">
        <f>'Registreerimismaks (1)'!$B$148</f>
        <v>-321311.26848833257</v>
      </c>
    </row>
    <row r="208" spans="1:15" s="1" customFormat="1">
      <c r="A208" s="1" t="s">
        <v>131</v>
      </c>
      <c r="F208" s="20"/>
      <c r="G208" s="20"/>
      <c r="H208" s="20">
        <f>SUM(H201:H207)</f>
        <v>18806256.26243934</v>
      </c>
      <c r="I208" s="20">
        <f t="shared" ref="I208:O208" si="36">SUM(I201:I207)</f>
        <v>17759649.234710298</v>
      </c>
      <c r="J208" s="20">
        <f t="shared" si="36"/>
        <v>15932940.811636783</v>
      </c>
      <c r="K208" s="20">
        <f t="shared" si="36"/>
        <v>14641372.09946686</v>
      </c>
      <c r="L208" s="20">
        <f t="shared" si="36"/>
        <v>13619783.448556349</v>
      </c>
      <c r="M208" s="20">
        <f t="shared" si="36"/>
        <v>12279027.707738504</v>
      </c>
      <c r="N208" s="20">
        <f t="shared" si="36"/>
        <v>10903166.705321036</v>
      </c>
      <c r="O208" s="20">
        <f t="shared" si="36"/>
        <v>9961783.8220900446</v>
      </c>
    </row>
    <row r="209" spans="8:15" s="2" customFormat="1"/>
    <row r="210" spans="8:15" s="2" customFormat="1"/>
    <row r="211" spans="8:15" s="2" customFormat="1">
      <c r="H211" s="16"/>
      <c r="I211" s="16"/>
      <c r="J211" s="16"/>
      <c r="K211" s="16"/>
      <c r="L211" s="16"/>
      <c r="M211" s="16"/>
      <c r="N211" s="16"/>
      <c r="O211" s="16"/>
    </row>
    <row r="212" spans="8:15" s="2" customFormat="1">
      <c r="H212" s="16"/>
      <c r="I212" s="16"/>
      <c r="J212" s="16"/>
      <c r="K212" s="16"/>
      <c r="L212" s="16"/>
      <c r="M212" s="16"/>
      <c r="N212" s="16"/>
      <c r="O212" s="16"/>
    </row>
    <row r="213" spans="8:15" s="2" customFormat="1"/>
    <row r="214" spans="8:15" s="2" customFormat="1"/>
    <row r="215" spans="8:15" s="2" customFormat="1"/>
    <row r="216" spans="8:15" s="2" customFormat="1"/>
    <row r="217" spans="8:15" s="2" customFormat="1"/>
    <row r="218" spans="8:15" s="2" customFormat="1"/>
    <row r="219" spans="8:15" s="2" customFormat="1"/>
    <row r="220" spans="8:15" s="2" customFormat="1"/>
    <row r="221" spans="8:15" s="2" customFormat="1"/>
    <row r="222" spans="8:15" s="2" customFormat="1"/>
    <row r="223" spans="8:15" s="2" customFormat="1"/>
    <row r="224" spans="8:15"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sheetData>
  <mergeCells count="19">
    <mergeCell ref="D78:E78"/>
    <mergeCell ref="F78:G78"/>
    <mergeCell ref="H78:I78"/>
    <mergeCell ref="J78:K78"/>
    <mergeCell ref="L78:M78"/>
    <mergeCell ref="G22:H22"/>
    <mergeCell ref="N78:O78"/>
    <mergeCell ref="P78:Q78"/>
    <mergeCell ref="R78:S78"/>
    <mergeCell ref="T78:U78"/>
    <mergeCell ref="R130:S130"/>
    <mergeCell ref="T130:U130"/>
    <mergeCell ref="V130:W130"/>
    <mergeCell ref="X130:Y130"/>
    <mergeCell ref="H130:I130"/>
    <mergeCell ref="J130:K130"/>
    <mergeCell ref="L130:M130"/>
    <mergeCell ref="N130:O130"/>
    <mergeCell ref="P130:Q130"/>
  </mergeCells>
  <phoneticPr fontId="9" type="noConversion"/>
  <pageMargins left="0.7" right="0.7" top="0.75" bottom="0.75" header="0.3" footer="0.3"/>
  <pageSetup paperSize="9" orientation="portrait"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64E6B-70F6-48B6-9383-E8127C62BDE8}">
  <dimension ref="A1:I183"/>
  <sheetViews>
    <sheetView workbookViewId="0">
      <selection activeCell="H5" sqref="H5"/>
    </sheetView>
  </sheetViews>
  <sheetFormatPr defaultRowHeight="15"/>
  <cols>
    <col min="1" max="1" width="41.7109375" customWidth="1"/>
    <col min="2" max="4" width="11" bestFit="1" customWidth="1"/>
    <col min="5" max="5" width="18.28515625" customWidth="1"/>
    <col min="9" max="9" width="15.7109375" bestFit="1" customWidth="1"/>
  </cols>
  <sheetData>
    <row r="1" spans="1:9" s="2" customFormat="1"/>
    <row r="2" spans="1:9" s="11" customFormat="1">
      <c r="A2" s="10" t="s">
        <v>318</v>
      </c>
      <c r="B2" s="10"/>
    </row>
    <row r="3" spans="1:9" s="2" customFormat="1">
      <c r="E3" s="3"/>
      <c r="H3" s="1" t="s">
        <v>139</v>
      </c>
    </row>
    <row r="4" spans="1:9" s="2" customFormat="1">
      <c r="B4" s="1">
        <v>2016</v>
      </c>
      <c r="C4" s="1">
        <v>2017</v>
      </c>
      <c r="D4" s="1">
        <v>2018</v>
      </c>
      <c r="E4" s="50" t="s">
        <v>319</v>
      </c>
      <c r="F4" s="1"/>
      <c r="G4" s="1"/>
      <c r="I4" s="1"/>
    </row>
    <row r="5" spans="1:9" s="2" customFormat="1">
      <c r="A5" s="2" t="s">
        <v>320</v>
      </c>
      <c r="B5" s="12">
        <v>212069</v>
      </c>
      <c r="C5" s="12">
        <v>219553</v>
      </c>
      <c r="D5" s="12">
        <v>220613</v>
      </c>
      <c r="F5" s="7"/>
      <c r="G5" s="7"/>
      <c r="H5" s="6" t="s">
        <v>321</v>
      </c>
    </row>
    <row r="6" spans="1:9" s="2" customFormat="1">
      <c r="A6" s="2" t="s">
        <v>322</v>
      </c>
      <c r="B6" s="12">
        <v>813.87</v>
      </c>
      <c r="C6" s="12">
        <v>849.62</v>
      </c>
      <c r="D6" s="12">
        <v>872.19999999999993</v>
      </c>
      <c r="F6" s="7"/>
      <c r="G6" s="7"/>
      <c r="H6" s="2" t="s">
        <v>323</v>
      </c>
    </row>
    <row r="7" spans="1:9" s="2" customFormat="1">
      <c r="A7" s="2" t="s">
        <v>324</v>
      </c>
      <c r="B7" s="14">
        <f>(B6*1000000)/B5</f>
        <v>3837.7603515836827</v>
      </c>
      <c r="C7" s="14">
        <f t="shared" ref="C7" si="0">(C6*1000000)/C5</f>
        <v>3869.7717635377335</v>
      </c>
      <c r="D7" s="14">
        <f t="shared" ref="D7" si="1">(D6*1000000)/D5</f>
        <v>3953.529483756623</v>
      </c>
      <c r="E7" s="20">
        <f>AVERAGE(B7:D7)</f>
        <v>3887.0205329593464</v>
      </c>
      <c r="F7" s="7"/>
      <c r="G7" s="7"/>
      <c r="H7" s="6"/>
      <c r="I7" s="34"/>
    </row>
    <row r="8" spans="1:9" s="2" customFormat="1"/>
    <row r="9" spans="1:9" s="2" customFormat="1">
      <c r="A9" s="2" t="s">
        <v>325</v>
      </c>
      <c r="C9" s="1">
        <v>2017</v>
      </c>
      <c r="D9" s="1">
        <v>2018</v>
      </c>
      <c r="G9" s="1"/>
    </row>
    <row r="10" spans="1:9" s="2" customFormat="1">
      <c r="A10" s="2" t="s">
        <v>326</v>
      </c>
      <c r="C10" s="12">
        <v>23100</v>
      </c>
      <c r="D10" s="12">
        <v>24800</v>
      </c>
      <c r="G10" s="7"/>
      <c r="H10" s="4" t="s">
        <v>327</v>
      </c>
    </row>
    <row r="11" spans="1:9" s="2" customFormat="1">
      <c r="A11" s="2" t="s">
        <v>328</v>
      </c>
      <c r="C11" s="12">
        <v>53400</v>
      </c>
      <c r="D11" s="12">
        <v>57500</v>
      </c>
      <c r="G11" s="7"/>
      <c r="H11" s="6"/>
    </row>
    <row r="12" spans="1:9" s="2" customFormat="1">
      <c r="A12" s="2" t="s">
        <v>329</v>
      </c>
      <c r="C12" s="19">
        <f>C10/C11</f>
        <v>0.43258426966292135</v>
      </c>
      <c r="D12" s="19">
        <f>D10/D11</f>
        <v>0.43130434782608695</v>
      </c>
      <c r="G12" s="4"/>
      <c r="H12" s="4"/>
    </row>
    <row r="13" spans="1:9" s="2" customFormat="1"/>
    <row r="14" spans="1:9" s="2" customFormat="1" ht="30">
      <c r="A14" s="35" t="s">
        <v>330</v>
      </c>
      <c r="C14" s="36">
        <f>E7*D12</f>
        <v>1676.4888559546398</v>
      </c>
    </row>
    <row r="15" spans="1:9" s="2" customFormat="1"/>
    <row r="16" spans="1:9" s="2" customFormat="1"/>
    <row r="17" s="2" customFormat="1"/>
    <row r="18" s="2" customFormat="1"/>
    <row r="19" s="2" customFormat="1"/>
    <row r="20" s="2" customFormat="1"/>
    <row r="21" s="2" customFormat="1"/>
    <row r="22" s="2" customFormat="1"/>
    <row r="23" s="2" customFormat="1"/>
    <row r="24" s="2" customFormat="1"/>
    <row r="25" s="2" customFormat="1"/>
    <row r="26" s="2" customFormat="1"/>
    <row r="27" s="2" customFormat="1"/>
    <row r="28" s="2" customFormat="1"/>
    <row r="29" s="2" customFormat="1"/>
    <row r="30" s="2" customFormat="1"/>
    <row r="31" s="2" customFormat="1"/>
    <row r="32"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sheetData>
  <hyperlinks>
    <hyperlink ref="H5" r:id="rId1" xr:uid="{9F87D403-5870-4482-888C-C78D15C7E595}"/>
  </hyperlinks>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8C14039EB955458F56864AAF04C530" ma:contentTypeVersion="4" ma:contentTypeDescription="Create a new document." ma:contentTypeScope="" ma:versionID="0d6a623f6b4c671269b02b07078b64d9">
  <xsd:schema xmlns:xsd="http://www.w3.org/2001/XMLSchema" xmlns:xs="http://www.w3.org/2001/XMLSchema" xmlns:p="http://schemas.microsoft.com/office/2006/metadata/properties" xmlns:ns2="3889f45b-c649-4416-8ae4-49e881936ca6" targetNamespace="http://schemas.microsoft.com/office/2006/metadata/properties" ma:root="true" ma:fieldsID="0b99736bae42b0b2f31b2917357e80c2" ns2:_="">
    <xsd:import namespace="3889f45b-c649-4416-8ae4-49e881936ca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89f45b-c649-4416-8ae4-49e881936c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564B97-E2A4-4E37-9AD6-542BABA279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89f45b-c649-4416-8ae4-49e881936c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7140BA-16B1-43AB-878F-46DB437EB01B}">
  <ds:schemaRefs>
    <ds:schemaRef ds:uri="http://schemas.microsoft.com/office/2006/documentManagement/types"/>
    <ds:schemaRef ds:uri="http://www.w3.org/XML/1998/namespace"/>
    <ds:schemaRef ds:uri="3889f45b-c649-4416-8ae4-49e881936ca6"/>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6E87E747-2DB1-4A31-AA9C-543A254517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Sissejuhatus</vt:lpstr>
      <vt:lpstr>Kokkuvõte</vt:lpstr>
      <vt:lpstr>Teekasutus (aja)</vt:lpstr>
      <vt:lpstr>Aastamaks</vt:lpstr>
      <vt:lpstr>Registreerimismaks (1)</vt:lpstr>
      <vt:lpstr>Registreerimismaks (2)</vt:lpstr>
      <vt:lpstr>Registreerimismaksu määr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Ševoldajev, Dmitri</dc:creator>
  <cp:keywords/>
  <dc:description/>
  <cp:lastModifiedBy>Tauno Hilimon</cp:lastModifiedBy>
  <cp:revision/>
  <dcterms:created xsi:type="dcterms:W3CDTF">2015-06-05T18:17:20Z</dcterms:created>
  <dcterms:modified xsi:type="dcterms:W3CDTF">2021-07-27T13:23:57Z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0x010100658C14039EB955458F56864AAF04C530</vt:lpwstr>
  </property>
</Properties>
</file>