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381fa4ccee6e43/Dokumendid/AA_FinantsAkadeemia1/4 Projektid/3. FA Projektid/Projektid 2022/3 SALVESTUSTEHNOLOOGIAD CBA/3 FINAL/"/>
    </mc:Choice>
  </mc:AlternateContent>
  <xr:revisionPtr revIDLastSave="1050" documentId="8_{50FBB6D6-0B88-4D98-B2B7-D1A68CEB0A21}" xr6:coauthVersionLast="47" xr6:coauthVersionMax="47" xr10:uidLastSave="{C5917D06-8688-485B-BEE5-6A2E63B96485}"/>
  <bookViews>
    <workbookView xWindow="-120" yWindow="-120" windowWidth="29040" windowHeight="15720" xr2:uid="{7B45B30D-2E3A-4601-B009-3C77BCF8F838}"/>
  </bookViews>
  <sheets>
    <sheet name="MU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N23" i="1" l="1"/>
  <c r="N22" i="1" s="1"/>
  <c r="D188" i="1"/>
  <c r="L92" i="1"/>
  <c r="F270" i="1"/>
  <c r="G270" i="1"/>
  <c r="H270" i="1"/>
  <c r="D270" i="1"/>
  <c r="L97" i="1"/>
  <c r="M97" i="1"/>
  <c r="N97" i="1"/>
  <c r="E97" i="1"/>
  <c r="F97" i="1"/>
  <c r="G97" i="1"/>
  <c r="H97" i="1"/>
  <c r="I97" i="1"/>
  <c r="D97" i="1"/>
  <c r="I23" i="1"/>
  <c r="I24" i="1" s="1"/>
  <c r="H23" i="1"/>
  <c r="H24" i="1" s="1"/>
  <c r="G23" i="1"/>
  <c r="G24" i="1" s="1"/>
  <c r="G35" i="1" s="1"/>
  <c r="F23" i="1"/>
  <c r="F24" i="1" s="1"/>
  <c r="F35" i="1" s="1"/>
  <c r="D24" i="1"/>
  <c r="D35" i="1" s="1"/>
  <c r="F303" i="1" l="1"/>
  <c r="F386" i="1"/>
  <c r="G303" i="1"/>
  <c r="G386" i="1"/>
  <c r="D34" i="1"/>
  <c r="D41" i="1" s="1"/>
  <c r="H39" i="1"/>
  <c r="H35" i="1"/>
  <c r="I22" i="1"/>
  <c r="D240" i="1"/>
  <c r="D241" i="1"/>
  <c r="I241" i="1"/>
  <c r="H241" i="1"/>
  <c r="G241" i="1"/>
  <c r="F241" i="1"/>
  <c r="I240" i="1"/>
  <c r="H240" i="1"/>
  <c r="G240" i="1"/>
  <c r="F240" i="1"/>
  <c r="D239" i="1"/>
  <c r="G239" i="1"/>
  <c r="F239" i="1"/>
  <c r="I239" i="1"/>
  <c r="H239" i="1"/>
  <c r="F25" i="1"/>
  <c r="F22" i="1"/>
  <c r="D138" i="1"/>
  <c r="D385" i="1" l="1"/>
  <c r="D387" i="1" s="1"/>
  <c r="D365" i="1"/>
  <c r="D303" i="1"/>
  <c r="D386" i="1"/>
  <c r="H303" i="1"/>
  <c r="H386" i="1"/>
  <c r="D250" i="1"/>
  <c r="I46" i="1"/>
  <c r="I53" i="1" s="1"/>
  <c r="E46" i="1"/>
  <c r="G46" i="1"/>
  <c r="H46" i="1"/>
  <c r="D46" i="1"/>
  <c r="D49" i="1"/>
  <c r="D72" i="1"/>
  <c r="D285" i="1" l="1"/>
  <c r="D53" i="1"/>
  <c r="D371" i="1"/>
  <c r="D370" i="1"/>
  <c r="D367" i="1"/>
  <c r="D368" i="1"/>
  <c r="D73" i="1"/>
  <c r="F357" i="1"/>
  <c r="G357" i="1"/>
  <c r="D357" i="1"/>
  <c r="H49" i="1" l="1"/>
  <c r="G49" i="1"/>
  <c r="G285" i="1" l="1"/>
  <c r="G53" i="1"/>
  <c r="H285" i="1"/>
  <c r="H53" i="1"/>
  <c r="E89" i="1"/>
  <c r="H89" i="1"/>
  <c r="D89" i="1"/>
  <c r="I6" i="1"/>
  <c r="I89" i="1" s="1"/>
  <c r="F89" i="1"/>
  <c r="D186" i="1"/>
  <c r="D135" i="1" l="1"/>
  <c r="E135" i="1" s="1"/>
  <c r="C352" i="1"/>
  <c r="C351" i="1"/>
  <c r="C349" i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C127" i="1" l="1"/>
  <c r="C128" i="1" s="1"/>
  <c r="D118" i="1" l="1"/>
  <c r="H36" i="1"/>
  <c r="H37" i="1" s="1"/>
  <c r="D36" i="1"/>
  <c r="G242" i="1" l="1"/>
  <c r="D119" i="1"/>
  <c r="D121" i="1" s="1"/>
  <c r="D37" i="1"/>
  <c r="D359" i="1" s="1"/>
  <c r="D358" i="1"/>
  <c r="G22" i="1"/>
  <c r="F36" i="1"/>
  <c r="F118" i="1" s="1"/>
  <c r="N91" i="1"/>
  <c r="L91" i="1"/>
  <c r="I91" i="1"/>
  <c r="H91" i="1"/>
  <c r="F91" i="1"/>
  <c r="E91" i="1"/>
  <c r="D91" i="1"/>
  <c r="N89" i="1"/>
  <c r="L89" i="1"/>
  <c r="D120" i="1" l="1"/>
  <c r="D122" i="1" s="1"/>
  <c r="F119" i="1"/>
  <c r="F120" i="1" s="1"/>
  <c r="F358" i="1"/>
  <c r="F37" i="1"/>
  <c r="F359" i="1" s="1"/>
  <c r="N186" i="1"/>
  <c r="N188" i="1"/>
  <c r="F122" i="1" l="1"/>
  <c r="F121" i="1"/>
  <c r="I33" i="1"/>
  <c r="I35" i="1" s="1"/>
  <c r="I41" i="1" s="1"/>
  <c r="I303" i="1" l="1"/>
  <c r="I386" i="1"/>
  <c r="I387" i="1" s="1"/>
  <c r="H357" i="1"/>
  <c r="I270" i="1"/>
  <c r="I36" i="1"/>
  <c r="C353" i="1"/>
  <c r="H358" i="1" l="1"/>
  <c r="H118" i="1"/>
  <c r="I37" i="1"/>
  <c r="H359" i="1" s="1"/>
  <c r="F242" i="1" l="1"/>
  <c r="H119" i="1"/>
  <c r="H120" i="1" s="1"/>
  <c r="H121" i="1" l="1"/>
  <c r="H122" i="1" s="1"/>
  <c r="H186" i="1"/>
  <c r="H188" i="1"/>
  <c r="L314" i="1"/>
  <c r="M314" i="1" s="1"/>
  <c r="K325" i="1"/>
  <c r="K323" i="1"/>
  <c r="K320" i="1"/>
  <c r="I92" i="1" l="1"/>
  <c r="I100" i="1" s="1"/>
  <c r="K328" i="1"/>
  <c r="N28" i="1"/>
  <c r="N9" i="1"/>
  <c r="N92" i="1" l="1"/>
  <c r="N192" i="1"/>
  <c r="N194" i="1" s="1"/>
  <c r="N190" i="1"/>
  <c r="N93" i="1"/>
  <c r="D28" i="1"/>
  <c r="D93" i="1" s="1"/>
  <c r="H9" i="1"/>
  <c r="I186" i="1"/>
  <c r="I188" i="1"/>
  <c r="I28" i="1"/>
  <c r="I9" i="1"/>
  <c r="I253" i="1" s="1"/>
  <c r="I256" i="1" s="1"/>
  <c r="I279" i="1" s="1"/>
  <c r="I280" i="1" s="1"/>
  <c r="D136" i="1"/>
  <c r="E136" i="1" s="1"/>
  <c r="D137" i="1"/>
  <c r="E137" i="1" s="1"/>
  <c r="D139" i="1"/>
  <c r="E139" i="1" s="1"/>
  <c r="D140" i="1"/>
  <c r="E140" i="1" s="1"/>
  <c r="D141" i="1"/>
  <c r="E141" i="1" s="1"/>
  <c r="D142" i="1"/>
  <c r="E142" i="1" s="1"/>
  <c r="D143" i="1"/>
  <c r="E143" i="1" s="1"/>
  <c r="G186" i="1"/>
  <c r="G188" i="1"/>
  <c r="G6" i="1"/>
  <c r="G89" i="1" s="1"/>
  <c r="G25" i="1"/>
  <c r="G9" i="1"/>
  <c r="L184" i="1"/>
  <c r="L215" i="1" s="1"/>
  <c r="L186" i="1"/>
  <c r="L187" i="1"/>
  <c r="L188" i="1"/>
  <c r="I93" i="1" l="1"/>
  <c r="I190" i="1"/>
  <c r="I193" i="1"/>
  <c r="I192" i="1"/>
  <c r="H242" i="1"/>
  <c r="G36" i="1"/>
  <c r="G28" i="1"/>
  <c r="G91" i="1"/>
  <c r="N198" i="1"/>
  <c r="N216" i="1"/>
  <c r="N191" i="1"/>
  <c r="E138" i="1"/>
  <c r="H22" i="1"/>
  <c r="F39" i="1"/>
  <c r="H253" i="1"/>
  <c r="H256" i="1" s="1"/>
  <c r="H279" i="1" s="1"/>
  <c r="H280" i="1" s="1"/>
  <c r="H255" i="1"/>
  <c r="H258" i="1" s="1"/>
  <c r="H254" i="1"/>
  <c r="H28" i="1"/>
  <c r="H93" i="1" s="1"/>
  <c r="H25" i="1"/>
  <c r="I255" i="1"/>
  <c r="I258" i="1" s="1"/>
  <c r="I254" i="1"/>
  <c r="G255" i="1"/>
  <c r="G258" i="1" s="1"/>
  <c r="G254" i="1"/>
  <c r="G253" i="1"/>
  <c r="G256" i="1" s="1"/>
  <c r="G39" i="1"/>
  <c r="L185" i="1"/>
  <c r="G40" i="1" l="1"/>
  <c r="G279" i="1"/>
  <c r="G280" i="1" s="1"/>
  <c r="G257" i="1"/>
  <c r="G259" i="1"/>
  <c r="G260" i="1" s="1"/>
  <c r="G295" i="1" s="1"/>
  <c r="G305" i="1" s="1"/>
  <c r="I257" i="1"/>
  <c r="I259" i="1"/>
  <c r="I260" i="1" s="1"/>
  <c r="I295" i="1" s="1"/>
  <c r="I305" i="1" s="1"/>
  <c r="H257" i="1"/>
  <c r="H259" i="1"/>
  <c r="H260" i="1" s="1"/>
  <c r="H295" i="1" s="1"/>
  <c r="H305" i="1" s="1"/>
  <c r="G93" i="1"/>
  <c r="G192" i="1"/>
  <c r="G193" i="1"/>
  <c r="G190" i="1"/>
  <c r="H190" i="1"/>
  <c r="H192" i="1"/>
  <c r="H193" i="1"/>
  <c r="H40" i="1"/>
  <c r="G37" i="1"/>
  <c r="G359" i="1" s="1"/>
  <c r="G358" i="1"/>
  <c r="G250" i="1"/>
  <c r="F250" i="1"/>
  <c r="H250" i="1"/>
  <c r="F225" i="1"/>
  <c r="F235" i="1" s="1"/>
  <c r="I242" i="1"/>
  <c r="I224" i="1"/>
  <c r="I227" i="1" s="1"/>
  <c r="I225" i="1"/>
  <c r="I235" i="1" s="1"/>
  <c r="I226" i="1"/>
  <c r="I250" i="1"/>
  <c r="I101" i="1"/>
  <c r="F34" i="1"/>
  <c r="F41" i="1" s="1"/>
  <c r="F226" i="1"/>
  <c r="F224" i="1"/>
  <c r="F227" i="1" s="1"/>
  <c r="G34" i="1"/>
  <c r="G41" i="1" s="1"/>
  <c r="G226" i="1"/>
  <c r="G224" i="1"/>
  <c r="G227" i="1" s="1"/>
  <c r="G225" i="1"/>
  <c r="G235" i="1" s="1"/>
  <c r="H224" i="1"/>
  <c r="H227" i="1" s="1"/>
  <c r="H225" i="1"/>
  <c r="H235" i="1" s="1"/>
  <c r="H226" i="1"/>
  <c r="H34" i="1"/>
  <c r="H41" i="1" s="1"/>
  <c r="I34" i="1"/>
  <c r="I365" i="1" s="1"/>
  <c r="L28" i="1"/>
  <c r="L9" i="1"/>
  <c r="G385" i="1" l="1"/>
  <c r="G387" i="1" s="1"/>
  <c r="G365" i="1"/>
  <c r="H385" i="1"/>
  <c r="H387" i="1" s="1"/>
  <c r="H365" i="1"/>
  <c r="I371" i="1"/>
  <c r="I370" i="1"/>
  <c r="F385" i="1"/>
  <c r="F387" i="1" s="1"/>
  <c r="F365" i="1"/>
  <c r="I302" i="1"/>
  <c r="I385" i="1"/>
  <c r="G271" i="1"/>
  <c r="G302" i="1"/>
  <c r="F271" i="1"/>
  <c r="F302" i="1"/>
  <c r="H271" i="1"/>
  <c r="H302" i="1"/>
  <c r="F292" i="1"/>
  <c r="G292" i="1"/>
  <c r="H292" i="1"/>
  <c r="I292" i="1"/>
  <c r="L192" i="1"/>
  <c r="L190" i="1"/>
  <c r="L193" i="1"/>
  <c r="I271" i="1"/>
  <c r="G191" i="1"/>
  <c r="G216" i="1"/>
  <c r="L93" i="1"/>
  <c r="H194" i="1"/>
  <c r="H195" i="1" s="1"/>
  <c r="G246" i="1"/>
  <c r="I246" i="1"/>
  <c r="I245" i="1"/>
  <c r="I244" i="1"/>
  <c r="G245" i="1"/>
  <c r="G244" i="1"/>
  <c r="F245" i="1"/>
  <c r="F244" i="1"/>
  <c r="H245" i="1"/>
  <c r="H244" i="1"/>
  <c r="F246" i="1"/>
  <c r="H246" i="1"/>
  <c r="H229" i="1"/>
  <c r="H230" i="1"/>
  <c r="G229" i="1"/>
  <c r="G230" i="1"/>
  <c r="G231" i="1"/>
  <c r="H231" i="1"/>
  <c r="F229" i="1"/>
  <c r="F230" i="1"/>
  <c r="I231" i="1"/>
  <c r="F231" i="1"/>
  <c r="I229" i="1"/>
  <c r="I230" i="1"/>
  <c r="F367" i="1" l="1"/>
  <c r="F371" i="1"/>
  <c r="F370" i="1"/>
  <c r="F368" i="1"/>
  <c r="H367" i="1"/>
  <c r="H368" i="1"/>
  <c r="H371" i="1"/>
  <c r="H370" i="1"/>
  <c r="G370" i="1"/>
  <c r="G371" i="1"/>
  <c r="G368" i="1"/>
  <c r="G367" i="1"/>
  <c r="I367" i="1"/>
  <c r="I368" i="1"/>
  <c r="L199" i="1"/>
  <c r="H198" i="1"/>
  <c r="H191" i="1"/>
  <c r="H216" i="1"/>
  <c r="I191" i="1"/>
  <c r="I216" i="1"/>
  <c r="L200" i="1"/>
  <c r="G194" i="1"/>
  <c r="G195" i="1" s="1"/>
  <c r="I243" i="1"/>
  <c r="G243" i="1"/>
  <c r="H243" i="1"/>
  <c r="F243" i="1"/>
  <c r="G228" i="1"/>
  <c r="G232" i="1" s="1"/>
  <c r="G233" i="1" s="1"/>
  <c r="H228" i="1"/>
  <c r="H232" i="1" s="1"/>
  <c r="H233" i="1" s="1"/>
  <c r="I228" i="1"/>
  <c r="I232" i="1" s="1"/>
  <c r="I233" i="1" s="1"/>
  <c r="F228" i="1"/>
  <c r="F232" i="1" s="1"/>
  <c r="F233" i="1" s="1"/>
  <c r="I198" i="1"/>
  <c r="I194" i="1"/>
  <c r="I195" i="1" s="1"/>
  <c r="G198" i="1"/>
  <c r="L191" i="1"/>
  <c r="L216" i="1"/>
  <c r="L194" i="1"/>
  <c r="L198" i="1"/>
  <c r="M16" i="1"/>
  <c r="M23" i="1" s="1"/>
  <c r="M22" i="1" s="1"/>
  <c r="M6" i="1"/>
  <c r="K315" i="1"/>
  <c r="I110" i="1"/>
  <c r="M188" i="1"/>
  <c r="M186" i="1"/>
  <c r="M9" i="1"/>
  <c r="F49" i="1"/>
  <c r="D10" i="1"/>
  <c r="D67" i="1"/>
  <c r="F27" i="1" s="1"/>
  <c r="D66" i="1"/>
  <c r="F26" i="1" s="1"/>
  <c r="E16" i="1"/>
  <c r="E23" i="1" s="1"/>
  <c r="F285" i="1" l="1"/>
  <c r="H275" i="1"/>
  <c r="H234" i="1"/>
  <c r="F275" i="1"/>
  <c r="F234" i="1"/>
  <c r="G275" i="1"/>
  <c r="G234" i="1"/>
  <c r="I234" i="1"/>
  <c r="E240" i="1"/>
  <c r="E241" i="1"/>
  <c r="E239" i="1"/>
  <c r="E24" i="1"/>
  <c r="F184" i="1"/>
  <c r="G27" i="1"/>
  <c r="H27" i="1"/>
  <c r="H247" i="1"/>
  <c r="H248" i="1" s="1"/>
  <c r="F247" i="1"/>
  <c r="F248" i="1" s="1"/>
  <c r="G247" i="1"/>
  <c r="G248" i="1" s="1"/>
  <c r="I247" i="1"/>
  <c r="I248" i="1" s="1"/>
  <c r="M28" i="1"/>
  <c r="M93" i="1" s="1"/>
  <c r="M89" i="1"/>
  <c r="M91" i="1"/>
  <c r="E27" i="1"/>
  <c r="G26" i="1"/>
  <c r="H26" i="1"/>
  <c r="L204" i="1"/>
  <c r="L201" i="1"/>
  <c r="L203" i="1"/>
  <c r="M184" i="1"/>
  <c r="M215" i="1" s="1"/>
  <c r="M187" i="1"/>
  <c r="M24" i="1"/>
  <c r="M27" i="1"/>
  <c r="M25" i="1"/>
  <c r="M26" i="1"/>
  <c r="E224" i="1" l="1"/>
  <c r="M190" i="1"/>
  <c r="M193" i="1"/>
  <c r="M192" i="1"/>
  <c r="I249" i="1"/>
  <c r="F249" i="1"/>
  <c r="H249" i="1"/>
  <c r="G249" i="1"/>
  <c r="E242" i="1"/>
  <c r="G92" i="1"/>
  <c r="E25" i="1"/>
  <c r="E26" i="1"/>
  <c r="L213" i="1"/>
  <c r="L219" i="1" s="1"/>
  <c r="E33" i="1"/>
  <c r="E35" i="1" s="1"/>
  <c r="J35" i="1" s="1"/>
  <c r="M92" i="1"/>
  <c r="H92" i="1"/>
  <c r="E22" i="1"/>
  <c r="M185" i="1"/>
  <c r="L205" i="1"/>
  <c r="L221" i="1" s="1"/>
  <c r="L212" i="1"/>
  <c r="L218" i="1" s="1"/>
  <c r="L211" i="1"/>
  <c r="L202" i="1"/>
  <c r="E303" i="1" l="1"/>
  <c r="E386" i="1"/>
  <c r="J386" i="1" s="1"/>
  <c r="E270" i="1"/>
  <c r="E39" i="1"/>
  <c r="G100" i="1"/>
  <c r="G101" i="1" s="1"/>
  <c r="M199" i="1"/>
  <c r="M200" i="1"/>
  <c r="C350" i="1"/>
  <c r="E357" i="1"/>
  <c r="I357" i="1" s="1"/>
  <c r="H100" i="1"/>
  <c r="H101" i="1" s="1"/>
  <c r="E36" i="1"/>
  <c r="J36" i="1" s="1"/>
  <c r="E92" i="1"/>
  <c r="L214" i="1"/>
  <c r="L217" i="1" s="1"/>
  <c r="L220" i="1"/>
  <c r="M194" i="1"/>
  <c r="M198" i="1"/>
  <c r="M216" i="1"/>
  <c r="M191" i="1"/>
  <c r="E37" i="1" l="1"/>
  <c r="E359" i="1" s="1"/>
  <c r="I359" i="1" s="1"/>
  <c r="E358" i="1"/>
  <c r="I358" i="1" s="1"/>
  <c r="E100" i="1"/>
  <c r="M203" i="1"/>
  <c r="M201" i="1"/>
  <c r="M204" i="1"/>
  <c r="M213" i="1" l="1"/>
  <c r="M219" i="1" s="1"/>
  <c r="M202" i="1"/>
  <c r="M211" i="1"/>
  <c r="M212" i="1"/>
  <c r="M218" i="1" s="1"/>
  <c r="M205" i="1"/>
  <c r="M221" i="1" s="1"/>
  <c r="M220" i="1" l="1"/>
  <c r="M214" i="1"/>
  <c r="M217" i="1" s="1"/>
  <c r="C338" i="1" l="1"/>
  <c r="C339" i="1" s="1"/>
  <c r="C340" i="1" s="1"/>
  <c r="C342" i="1" s="1"/>
  <c r="C344" i="1" s="1"/>
  <c r="D90" i="1" s="1"/>
  <c r="E49" i="1"/>
  <c r="E285" i="1" l="1"/>
  <c r="E53" i="1"/>
  <c r="F9" i="1"/>
  <c r="F255" i="1" s="1"/>
  <c r="F258" i="1" s="1"/>
  <c r="F28" i="1"/>
  <c r="F186" i="1"/>
  <c r="F188" i="1"/>
  <c r="E186" i="1"/>
  <c r="E188" i="1"/>
  <c r="E28" i="1"/>
  <c r="E9" i="1"/>
  <c r="E254" i="1" s="1"/>
  <c r="E257" i="1" l="1"/>
  <c r="E259" i="1"/>
  <c r="E260" i="1" s="1"/>
  <c r="E295" i="1" s="1"/>
  <c r="E305" i="1" s="1"/>
  <c r="E190" i="1"/>
  <c r="E191" i="1" s="1"/>
  <c r="F190" i="1"/>
  <c r="F192" i="1"/>
  <c r="F193" i="1"/>
  <c r="E93" i="1"/>
  <c r="E192" i="1"/>
  <c r="E193" i="1"/>
  <c r="D27" i="1"/>
  <c r="D26" i="1"/>
  <c r="F93" i="1"/>
  <c r="D242" i="1"/>
  <c r="D22" i="1"/>
  <c r="D193" i="1" s="1"/>
  <c r="D25" i="1"/>
  <c r="F253" i="1"/>
  <c r="F256" i="1" s="1"/>
  <c r="F279" i="1" s="1"/>
  <c r="F280" i="1" s="1"/>
  <c r="F254" i="1"/>
  <c r="E253" i="1"/>
  <c r="E256" i="1" s="1"/>
  <c r="E279" i="1" s="1"/>
  <c r="E280" i="1" s="1"/>
  <c r="E255" i="1"/>
  <c r="E258" i="1" s="1"/>
  <c r="F257" i="1" l="1"/>
  <c r="F259" i="1"/>
  <c r="F260" i="1" s="1"/>
  <c r="F295" i="1" s="1"/>
  <c r="F305" i="1" s="1"/>
  <c r="D190" i="1"/>
  <c r="D192" i="1"/>
  <c r="D194" i="1" s="1"/>
  <c r="F191" i="1"/>
  <c r="F216" i="1"/>
  <c r="F194" i="1"/>
  <c r="F195" i="1" s="1"/>
  <c r="D39" i="1"/>
  <c r="E250" i="1"/>
  <c r="E101" i="1"/>
  <c r="E227" i="1"/>
  <c r="E225" i="1"/>
  <c r="E235" i="1" s="1"/>
  <c r="E226" i="1"/>
  <c r="D225" i="1"/>
  <c r="D226" i="1"/>
  <c r="D224" i="1"/>
  <c r="D227" i="1" s="1"/>
  <c r="D92" i="1"/>
  <c r="E34" i="1"/>
  <c r="E41" i="1" s="1"/>
  <c r="F198" i="1"/>
  <c r="D40" i="1" l="1"/>
  <c r="J40" i="1" s="1"/>
  <c r="J41" i="1"/>
  <c r="J39" i="1"/>
  <c r="E365" i="1"/>
  <c r="E371" i="1" s="1"/>
  <c r="J34" i="1"/>
  <c r="E367" i="1"/>
  <c r="E302" i="1"/>
  <c r="E385" i="1"/>
  <c r="E387" i="1" s="1"/>
  <c r="E292" i="1"/>
  <c r="D271" i="1"/>
  <c r="D302" i="1"/>
  <c r="E271" i="1"/>
  <c r="D191" i="1"/>
  <c r="D74" i="1"/>
  <c r="D75" i="1" s="1"/>
  <c r="D78" i="1" s="1"/>
  <c r="D235" i="1"/>
  <c r="D292" i="1" s="1"/>
  <c r="E246" i="1"/>
  <c r="E245" i="1"/>
  <c r="E244" i="1"/>
  <c r="D245" i="1"/>
  <c r="D244" i="1"/>
  <c r="D246" i="1"/>
  <c r="E229" i="1"/>
  <c r="E230" i="1"/>
  <c r="E231" i="1"/>
  <c r="D231" i="1"/>
  <c r="D230" i="1"/>
  <c r="D229" i="1"/>
  <c r="D100" i="1"/>
  <c r="D101" i="1" s="1"/>
  <c r="E370" i="1" l="1"/>
  <c r="E368" i="1"/>
  <c r="J387" i="1"/>
  <c r="J385" i="1"/>
  <c r="E216" i="1"/>
  <c r="D216" i="1"/>
  <c r="E198" i="1"/>
  <c r="D79" i="1"/>
  <c r="D77" i="1"/>
  <c r="E243" i="1"/>
  <c r="E247" i="1" s="1"/>
  <c r="E248" i="1" s="1"/>
  <c r="D243" i="1"/>
  <c r="E228" i="1"/>
  <c r="E232" i="1" s="1"/>
  <c r="E233" i="1" s="1"/>
  <c r="E194" i="1"/>
  <c r="E195" i="1" s="1"/>
  <c r="E275" i="1" l="1"/>
  <c r="E234" i="1"/>
  <c r="E249" i="1"/>
  <c r="D247" i="1"/>
  <c r="D248" i="1" s="1"/>
  <c r="D9" i="1"/>
  <c r="D253" i="1" s="1"/>
  <c r="D256" i="1" s="1"/>
  <c r="D279" i="1" s="1"/>
  <c r="K9" i="1"/>
  <c r="D280" i="1" l="1"/>
  <c r="J279" i="1"/>
  <c r="J280" i="1" s="1"/>
  <c r="D249" i="1"/>
  <c r="D255" i="1"/>
  <c r="D258" i="1" s="1"/>
  <c r="D254" i="1"/>
  <c r="D259" i="1" s="1"/>
  <c r="D260" i="1" s="1"/>
  <c r="D295" i="1" s="1"/>
  <c r="D305" i="1" s="1"/>
  <c r="D257" i="1" l="1"/>
  <c r="D198" i="1"/>
  <c r="K28" i="1"/>
  <c r="K23" i="1"/>
  <c r="K24" i="1" s="1"/>
  <c r="J330" i="1"/>
  <c r="I330" i="1"/>
  <c r="H330" i="1"/>
  <c r="G330" i="1"/>
  <c r="J328" i="1"/>
  <c r="L325" i="1"/>
  <c r="M325" i="1" s="1"/>
  <c r="N325" i="1" s="1"/>
  <c r="O325" i="1" s="1"/>
  <c r="P325" i="1" s="1"/>
  <c r="Q325" i="1" s="1"/>
  <c r="R325" i="1" s="1"/>
  <c r="S325" i="1" s="1"/>
  <c r="T325" i="1" s="1"/>
  <c r="U325" i="1" s="1"/>
  <c r="V325" i="1" s="1"/>
  <c r="W325" i="1" s="1"/>
  <c r="X325" i="1" s="1"/>
  <c r="Y325" i="1" s="1"/>
  <c r="Z325" i="1" s="1"/>
  <c r="AA325" i="1" s="1"/>
  <c r="AB325" i="1" s="1"/>
  <c r="AC325" i="1" s="1"/>
  <c r="AD325" i="1" s="1"/>
  <c r="AE325" i="1" s="1"/>
  <c r="AF325" i="1" s="1"/>
  <c r="AG325" i="1" s="1"/>
  <c r="AH325" i="1" s="1"/>
  <c r="AI325" i="1" s="1"/>
  <c r="AJ325" i="1" s="1"/>
  <c r="AK325" i="1" s="1"/>
  <c r="AL325" i="1" s="1"/>
  <c r="J324" i="1"/>
  <c r="I324" i="1"/>
  <c r="L323" i="1"/>
  <c r="M323" i="1" s="1"/>
  <c r="N323" i="1" s="1"/>
  <c r="O323" i="1" s="1"/>
  <c r="P323" i="1" s="1"/>
  <c r="Q323" i="1" s="1"/>
  <c r="R323" i="1" s="1"/>
  <c r="S323" i="1" s="1"/>
  <c r="T323" i="1" s="1"/>
  <c r="U323" i="1" s="1"/>
  <c r="V323" i="1" s="1"/>
  <c r="W323" i="1" s="1"/>
  <c r="X323" i="1" s="1"/>
  <c r="Y323" i="1" s="1"/>
  <c r="Z323" i="1" s="1"/>
  <c r="AA323" i="1" s="1"/>
  <c r="AB323" i="1" s="1"/>
  <c r="AC323" i="1" s="1"/>
  <c r="AD323" i="1" s="1"/>
  <c r="AE323" i="1" s="1"/>
  <c r="AF323" i="1" s="1"/>
  <c r="AG323" i="1" s="1"/>
  <c r="AH323" i="1" s="1"/>
  <c r="AI323" i="1" s="1"/>
  <c r="AJ323" i="1" s="1"/>
  <c r="AK323" i="1" s="1"/>
  <c r="AL323" i="1" s="1"/>
  <c r="L320" i="1"/>
  <c r="M320" i="1" s="1"/>
  <c r="N320" i="1" s="1"/>
  <c r="O320" i="1" s="1"/>
  <c r="P320" i="1" s="1"/>
  <c r="Q320" i="1" s="1"/>
  <c r="R320" i="1" s="1"/>
  <c r="S320" i="1" s="1"/>
  <c r="T320" i="1" s="1"/>
  <c r="U320" i="1" s="1"/>
  <c r="V320" i="1" s="1"/>
  <c r="W320" i="1" s="1"/>
  <c r="X320" i="1" s="1"/>
  <c r="Y320" i="1" s="1"/>
  <c r="Z320" i="1" s="1"/>
  <c r="AA320" i="1" s="1"/>
  <c r="AB320" i="1" s="1"/>
  <c r="AC320" i="1" s="1"/>
  <c r="AD320" i="1" s="1"/>
  <c r="AE320" i="1" s="1"/>
  <c r="AF320" i="1" s="1"/>
  <c r="AG320" i="1" s="1"/>
  <c r="AH320" i="1" s="1"/>
  <c r="AI320" i="1" s="1"/>
  <c r="AJ320" i="1" s="1"/>
  <c r="AK320" i="1" s="1"/>
  <c r="AL320" i="1" s="1"/>
  <c r="J318" i="1"/>
  <c r="L317" i="1"/>
  <c r="M317" i="1" s="1"/>
  <c r="N317" i="1" s="1"/>
  <c r="O317" i="1" s="1"/>
  <c r="P317" i="1" s="1"/>
  <c r="Q317" i="1" s="1"/>
  <c r="R317" i="1" s="1"/>
  <c r="S317" i="1" s="1"/>
  <c r="T317" i="1" s="1"/>
  <c r="U317" i="1" s="1"/>
  <c r="V317" i="1" s="1"/>
  <c r="W317" i="1" s="1"/>
  <c r="X317" i="1" s="1"/>
  <c r="Y317" i="1" s="1"/>
  <c r="Z317" i="1" s="1"/>
  <c r="AA317" i="1" s="1"/>
  <c r="AB317" i="1" s="1"/>
  <c r="AC317" i="1" s="1"/>
  <c r="AD317" i="1" s="1"/>
  <c r="AE317" i="1" s="1"/>
  <c r="AF317" i="1" s="1"/>
  <c r="AG317" i="1" s="1"/>
  <c r="AH317" i="1" s="1"/>
  <c r="AI317" i="1" s="1"/>
  <c r="AJ317" i="1" s="1"/>
  <c r="AK317" i="1" s="1"/>
  <c r="AL317" i="1" s="1"/>
  <c r="I317" i="1"/>
  <c r="J315" i="1"/>
  <c r="I315" i="1"/>
  <c r="H315" i="1"/>
  <c r="G315" i="1"/>
  <c r="F315" i="1"/>
  <c r="E315" i="1"/>
  <c r="AX110" i="1"/>
  <c r="AY110" i="1" s="1"/>
  <c r="AZ110" i="1" s="1"/>
  <c r="C110" i="1"/>
  <c r="D110" i="1" s="1"/>
  <c r="E110" i="1" s="1"/>
  <c r="F110" i="1" s="1"/>
  <c r="G110" i="1" s="1"/>
  <c r="E162" i="1"/>
  <c r="E149" i="1"/>
  <c r="N193" i="1" s="1"/>
  <c r="E148" i="1"/>
  <c r="H110" i="1" l="1"/>
  <c r="J110" i="1" s="1"/>
  <c r="F94" i="1" s="1"/>
  <c r="G94" i="1"/>
  <c r="G106" i="1" s="1"/>
  <c r="K324" i="1"/>
  <c r="L324" i="1" s="1"/>
  <c r="M324" i="1" s="1"/>
  <c r="N324" i="1" s="1"/>
  <c r="O324" i="1" s="1"/>
  <c r="P324" i="1" s="1"/>
  <c r="Q324" i="1" s="1"/>
  <c r="R324" i="1" s="1"/>
  <c r="S324" i="1" s="1"/>
  <c r="T324" i="1" s="1"/>
  <c r="U324" i="1" s="1"/>
  <c r="V324" i="1" s="1"/>
  <c r="W324" i="1" s="1"/>
  <c r="X324" i="1" s="1"/>
  <c r="Y324" i="1" s="1"/>
  <c r="Z324" i="1" s="1"/>
  <c r="AA324" i="1" s="1"/>
  <c r="AB324" i="1" s="1"/>
  <c r="AC324" i="1" s="1"/>
  <c r="AD324" i="1" s="1"/>
  <c r="AE324" i="1" s="1"/>
  <c r="AF324" i="1" s="1"/>
  <c r="AG324" i="1" s="1"/>
  <c r="AH324" i="1" s="1"/>
  <c r="AI324" i="1" s="1"/>
  <c r="AJ324" i="1" s="1"/>
  <c r="AK324" i="1" s="1"/>
  <c r="AL324" i="1" s="1"/>
  <c r="K318" i="1"/>
  <c r="J329" i="1"/>
  <c r="K330" i="1" s="1"/>
  <c r="G95" i="1" l="1"/>
  <c r="G98" i="1" s="1"/>
  <c r="H134" i="1" s="1"/>
  <c r="G107" i="1"/>
  <c r="G187" i="1" s="1"/>
  <c r="K329" i="1"/>
  <c r="L330" i="1" s="1"/>
  <c r="K110" i="1"/>
  <c r="L110" i="1" s="1"/>
  <c r="L318" i="1"/>
  <c r="M318" i="1" s="1"/>
  <c r="N318" i="1" s="1"/>
  <c r="O318" i="1" s="1"/>
  <c r="P318" i="1" s="1"/>
  <c r="Q318" i="1" s="1"/>
  <c r="R318" i="1" s="1"/>
  <c r="S318" i="1" s="1"/>
  <c r="T318" i="1" s="1"/>
  <c r="U318" i="1" s="1"/>
  <c r="V318" i="1" s="1"/>
  <c r="W318" i="1" s="1"/>
  <c r="X318" i="1" s="1"/>
  <c r="Y318" i="1" s="1"/>
  <c r="Z318" i="1" s="1"/>
  <c r="AA318" i="1" s="1"/>
  <c r="AB318" i="1" s="1"/>
  <c r="AC318" i="1" s="1"/>
  <c r="AD318" i="1" s="1"/>
  <c r="AE318" i="1" s="1"/>
  <c r="AF318" i="1" s="1"/>
  <c r="AG318" i="1" s="1"/>
  <c r="AH318" i="1" s="1"/>
  <c r="AI318" i="1" s="1"/>
  <c r="AJ318" i="1" s="1"/>
  <c r="AK318" i="1" s="1"/>
  <c r="AL318" i="1" s="1"/>
  <c r="D195" i="1" l="1"/>
  <c r="G184" i="1"/>
  <c r="G262" i="1"/>
  <c r="G102" i="1"/>
  <c r="G47" i="1"/>
  <c r="G51" i="1" s="1"/>
  <c r="M110" i="1"/>
  <c r="N110" i="1" s="1"/>
  <c r="O110" i="1" s="1"/>
  <c r="L94" i="1" s="1"/>
  <c r="L95" i="1" s="1"/>
  <c r="L98" i="1" s="1"/>
  <c r="F46" i="1" s="1"/>
  <c r="F53" i="1" s="1"/>
  <c r="L328" i="1"/>
  <c r="L329" i="1"/>
  <c r="N314" i="1"/>
  <c r="G272" i="1" l="1"/>
  <c r="G284" i="1"/>
  <c r="G286" i="1" s="1"/>
  <c r="G185" i="1"/>
  <c r="G215" i="1"/>
  <c r="G200" i="1"/>
  <c r="G199" i="1"/>
  <c r="I94" i="1"/>
  <c r="N94" i="1"/>
  <c r="P110" i="1"/>
  <c r="Q110" i="1" s="1"/>
  <c r="E94" i="1" s="1"/>
  <c r="E106" i="1" s="1"/>
  <c r="M328" i="1"/>
  <c r="M329" i="1"/>
  <c r="O314" i="1"/>
  <c r="M330" i="1"/>
  <c r="N95" i="1" l="1"/>
  <c r="N98" i="1" s="1"/>
  <c r="N106" i="1"/>
  <c r="N107" i="1" s="1"/>
  <c r="N187" i="1" s="1"/>
  <c r="G204" i="1"/>
  <c r="G203" i="1"/>
  <c r="G201" i="1"/>
  <c r="G202" i="1" s="1"/>
  <c r="E95" i="1"/>
  <c r="E98" i="1" s="1"/>
  <c r="M134" i="1" s="1"/>
  <c r="E107" i="1"/>
  <c r="I95" i="1"/>
  <c r="I98" i="1" s="1"/>
  <c r="I262" i="1" s="1"/>
  <c r="I106" i="1"/>
  <c r="I107" i="1" s="1"/>
  <c r="I187" i="1" s="1"/>
  <c r="M94" i="1"/>
  <c r="M95" i="1" s="1"/>
  <c r="M98" i="1" s="1"/>
  <c r="M99" i="1" s="1"/>
  <c r="H94" i="1"/>
  <c r="H106" i="1" s="1"/>
  <c r="R110" i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N110" i="1" s="1"/>
  <c r="AO110" i="1" s="1"/>
  <c r="AP110" i="1" s="1"/>
  <c r="AQ110" i="1" s="1"/>
  <c r="AR110" i="1" s="1"/>
  <c r="AS110" i="1" s="1"/>
  <c r="F92" i="1"/>
  <c r="N329" i="1"/>
  <c r="P314" i="1"/>
  <c r="N328" i="1"/>
  <c r="N330" i="1"/>
  <c r="N184" i="1" l="1"/>
  <c r="N200" i="1" s="1"/>
  <c r="F106" i="1"/>
  <c r="F107" i="1" s="1"/>
  <c r="I184" i="1"/>
  <c r="G213" i="1"/>
  <c r="G219" i="1" s="1"/>
  <c r="I47" i="1"/>
  <c r="I102" i="1"/>
  <c r="E187" i="1"/>
  <c r="E102" i="1"/>
  <c r="G211" i="1"/>
  <c r="E262" i="1"/>
  <c r="G205" i="1"/>
  <c r="G206" i="1" s="1"/>
  <c r="G212" i="1"/>
  <c r="G218" i="1" s="1"/>
  <c r="E47" i="1"/>
  <c r="E51" i="1" s="1"/>
  <c r="H95" i="1"/>
  <c r="H98" i="1" s="1"/>
  <c r="H102" i="1" s="1"/>
  <c r="H107" i="1"/>
  <c r="H187" i="1" s="1"/>
  <c r="F95" i="1"/>
  <c r="F98" i="1" s="1"/>
  <c r="F100" i="1"/>
  <c r="F101" i="1" s="1"/>
  <c r="D94" i="1"/>
  <c r="D106" i="1" s="1"/>
  <c r="O330" i="1"/>
  <c r="O328" i="1"/>
  <c r="O329" i="1"/>
  <c r="Q314" i="1"/>
  <c r="I51" i="1" l="1"/>
  <c r="N185" i="1"/>
  <c r="N215" i="1"/>
  <c r="N199" i="1"/>
  <c r="E272" i="1"/>
  <c r="E284" i="1"/>
  <c r="E286" i="1" s="1"/>
  <c r="I272" i="1"/>
  <c r="G221" i="1"/>
  <c r="G291" i="1" s="1"/>
  <c r="G293" i="1" s="1"/>
  <c r="G301" i="1" s="1"/>
  <c r="I199" i="1"/>
  <c r="I215" i="1"/>
  <c r="I185" i="1"/>
  <c r="G214" i="1"/>
  <c r="G220" i="1"/>
  <c r="F185" i="1"/>
  <c r="F215" i="1"/>
  <c r="I200" i="1"/>
  <c r="E184" i="1"/>
  <c r="E200" i="1" s="1"/>
  <c r="F200" i="1"/>
  <c r="F199" i="1"/>
  <c r="H184" i="1"/>
  <c r="H262" i="1"/>
  <c r="H47" i="1"/>
  <c r="H51" i="1" s="1"/>
  <c r="D95" i="1"/>
  <c r="D98" i="1" s="1"/>
  <c r="C134" i="1" s="1"/>
  <c r="D107" i="1"/>
  <c r="F262" i="1"/>
  <c r="F102" i="1"/>
  <c r="F47" i="1"/>
  <c r="F51" i="1" s="1"/>
  <c r="P328" i="1"/>
  <c r="P329" i="1"/>
  <c r="R314" i="1"/>
  <c r="P330" i="1"/>
  <c r="N201" i="1" l="1"/>
  <c r="N203" i="1"/>
  <c r="N204" i="1"/>
  <c r="N213" i="1" s="1"/>
  <c r="N219" i="1" s="1"/>
  <c r="H272" i="1"/>
  <c r="H284" i="1"/>
  <c r="H286" i="1" s="1"/>
  <c r="F272" i="1"/>
  <c r="F284" i="1"/>
  <c r="F286" i="1" s="1"/>
  <c r="G217" i="1"/>
  <c r="G274" i="1"/>
  <c r="G276" i="1" s="1"/>
  <c r="H185" i="1"/>
  <c r="H215" i="1"/>
  <c r="E185" i="1"/>
  <c r="E215" i="1"/>
  <c r="E199" i="1"/>
  <c r="E203" i="1" s="1"/>
  <c r="H200" i="1"/>
  <c r="H199" i="1"/>
  <c r="I204" i="1"/>
  <c r="I201" i="1"/>
  <c r="I202" i="1" s="1"/>
  <c r="I203" i="1"/>
  <c r="F203" i="1"/>
  <c r="F201" i="1"/>
  <c r="F204" i="1"/>
  <c r="D262" i="1"/>
  <c r="D102" i="1"/>
  <c r="D47" i="1"/>
  <c r="D51" i="1" s="1"/>
  <c r="D187" i="1"/>
  <c r="Q329" i="1"/>
  <c r="Q328" i="1"/>
  <c r="S314" i="1"/>
  <c r="Q330" i="1"/>
  <c r="G277" i="1" l="1"/>
  <c r="G300" i="1"/>
  <c r="G304" i="1" s="1"/>
  <c r="N212" i="1"/>
  <c r="N218" i="1" s="1"/>
  <c r="N205" i="1"/>
  <c r="N221" i="1" s="1"/>
  <c r="N202" i="1"/>
  <c r="N211" i="1"/>
  <c r="D272" i="1"/>
  <c r="D284" i="1"/>
  <c r="D286" i="1" s="1"/>
  <c r="F202" i="1"/>
  <c r="F211" i="1"/>
  <c r="E204" i="1"/>
  <c r="E213" i="1" s="1"/>
  <c r="E219" i="1" s="1"/>
  <c r="E201" i="1"/>
  <c r="E211" i="1" s="1"/>
  <c r="D184" i="1"/>
  <c r="F213" i="1"/>
  <c r="F219" i="1" s="1"/>
  <c r="I213" i="1"/>
  <c r="I219" i="1" s="1"/>
  <c r="I212" i="1"/>
  <c r="I218" i="1" s="1"/>
  <c r="I205" i="1"/>
  <c r="I206" i="1" s="1"/>
  <c r="I211" i="1"/>
  <c r="H204" i="1"/>
  <c r="H203" i="1"/>
  <c r="H201" i="1"/>
  <c r="H202" i="1" s="1"/>
  <c r="F212" i="1"/>
  <c r="F218" i="1" s="1"/>
  <c r="F205" i="1"/>
  <c r="F206" i="1" s="1"/>
  <c r="R329" i="1"/>
  <c r="R328" i="1"/>
  <c r="T314" i="1"/>
  <c r="N214" i="1" l="1"/>
  <c r="N220" i="1"/>
  <c r="E212" i="1"/>
  <c r="E218" i="1" s="1"/>
  <c r="E205" i="1"/>
  <c r="E206" i="1" s="1"/>
  <c r="F221" i="1"/>
  <c r="F291" i="1" s="1"/>
  <c r="F293" i="1" s="1"/>
  <c r="F301" i="1" s="1"/>
  <c r="I221" i="1"/>
  <c r="I291" i="1" s="1"/>
  <c r="I293" i="1" s="1"/>
  <c r="I301" i="1" s="1"/>
  <c r="F214" i="1"/>
  <c r="F220" i="1"/>
  <c r="I214" i="1"/>
  <c r="I220" i="1"/>
  <c r="D185" i="1"/>
  <c r="D215" i="1"/>
  <c r="E202" i="1"/>
  <c r="D200" i="1"/>
  <c r="D199" i="1"/>
  <c r="D228" i="1"/>
  <c r="D232" i="1" s="1"/>
  <c r="D233" i="1" s="1"/>
  <c r="H213" i="1"/>
  <c r="H219" i="1" s="1"/>
  <c r="H211" i="1"/>
  <c r="H212" i="1"/>
  <c r="H218" i="1" s="1"/>
  <c r="H205" i="1"/>
  <c r="H206" i="1" s="1"/>
  <c r="S328" i="1"/>
  <c r="S329" i="1"/>
  <c r="U314" i="1"/>
  <c r="N217" i="1" l="1"/>
  <c r="I275" i="1"/>
  <c r="D275" i="1"/>
  <c r="D234" i="1"/>
  <c r="F217" i="1"/>
  <c r="F274" i="1"/>
  <c r="F276" i="1" s="1"/>
  <c r="I217" i="1"/>
  <c r="I274" i="1"/>
  <c r="H221" i="1"/>
  <c r="H291" i="1" s="1"/>
  <c r="H293" i="1" s="1"/>
  <c r="H301" i="1" s="1"/>
  <c r="E221" i="1"/>
  <c r="E291" i="1" s="1"/>
  <c r="E293" i="1" s="1"/>
  <c r="E301" i="1" s="1"/>
  <c r="E214" i="1"/>
  <c r="E220" i="1"/>
  <c r="H220" i="1"/>
  <c r="H214" i="1"/>
  <c r="D203" i="1"/>
  <c r="D204" i="1"/>
  <c r="D201" i="1"/>
  <c r="D202" i="1" s="1"/>
  <c r="V314" i="1"/>
  <c r="T328" i="1"/>
  <c r="T329" i="1"/>
  <c r="F277" i="1" l="1"/>
  <c r="F300" i="1"/>
  <c r="F304" i="1" s="1"/>
  <c r="I276" i="1"/>
  <c r="H217" i="1"/>
  <c r="H274" i="1"/>
  <c r="H276" i="1" s="1"/>
  <c r="E217" i="1"/>
  <c r="E274" i="1"/>
  <c r="E276" i="1" s="1"/>
  <c r="D205" i="1"/>
  <c r="D221" i="1" s="1"/>
  <c r="D213" i="1"/>
  <c r="D219" i="1" s="1"/>
  <c r="D211" i="1"/>
  <c r="D212" i="1"/>
  <c r="D218" i="1" s="1"/>
  <c r="W314" i="1"/>
  <c r="U329" i="1"/>
  <c r="U328" i="1"/>
  <c r="I277" i="1" l="1"/>
  <c r="I300" i="1"/>
  <c r="I304" i="1" s="1"/>
  <c r="D291" i="1"/>
  <c r="D293" i="1" s="1"/>
  <c r="E277" i="1"/>
  <c r="E300" i="1"/>
  <c r="E304" i="1" s="1"/>
  <c r="H277" i="1"/>
  <c r="H300" i="1"/>
  <c r="H304" i="1" s="1"/>
  <c r="D206" i="1"/>
  <c r="D214" i="1"/>
  <c r="D220" i="1"/>
  <c r="V328" i="1"/>
  <c r="V329" i="1"/>
  <c r="X314" i="1"/>
  <c r="D301" i="1" l="1"/>
  <c r="D217" i="1"/>
  <c r="D274" i="1"/>
  <c r="D276" i="1" s="1"/>
  <c r="D300" i="1" s="1"/>
  <c r="W328" i="1"/>
  <c r="Y314" i="1"/>
  <c r="W329" i="1"/>
  <c r="D304" i="1" l="1"/>
  <c r="D277" i="1"/>
  <c r="J276" i="1"/>
  <c r="J278" i="1" s="1"/>
  <c r="X328" i="1"/>
  <c r="X329" i="1"/>
  <c r="Z314" i="1"/>
  <c r="Y328" i="1" l="1"/>
  <c r="Y329" i="1"/>
  <c r="AA314" i="1"/>
  <c r="Z328" i="1" l="1"/>
  <c r="AB314" i="1"/>
  <c r="Z329" i="1"/>
  <c r="AA329" i="1" l="1"/>
  <c r="AC314" i="1"/>
  <c r="AA328" i="1"/>
  <c r="AD314" i="1" l="1"/>
  <c r="AB328" i="1"/>
  <c r="AB329" i="1"/>
  <c r="AC328" i="1" l="1"/>
  <c r="AC329" i="1"/>
  <c r="AE314" i="1"/>
  <c r="AF314" i="1" l="1"/>
  <c r="AD328" i="1"/>
  <c r="AD329" i="1"/>
  <c r="AE328" i="1" l="1"/>
  <c r="AE329" i="1"/>
  <c r="AG314" i="1"/>
  <c r="AF328" i="1" l="1"/>
  <c r="AF329" i="1"/>
  <c r="AH314" i="1"/>
  <c r="AG329" i="1" l="1"/>
  <c r="AG328" i="1"/>
  <c r="AI314" i="1"/>
  <c r="AH329" i="1" l="1"/>
  <c r="AH328" i="1"/>
  <c r="AJ314" i="1"/>
  <c r="AI328" i="1" l="1"/>
  <c r="AI329" i="1"/>
  <c r="AK314" i="1"/>
  <c r="AJ328" i="1" l="1"/>
  <c r="AJ329" i="1"/>
  <c r="AL314" i="1"/>
  <c r="AK329" i="1" l="1"/>
  <c r="AM314" i="1"/>
  <c r="AK328" i="1"/>
  <c r="AL328" i="1" l="1"/>
  <c r="AL3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Olavi Grünvald</author>
  </authors>
  <commentList>
    <comment ref="I5" authorId="0" shapeId="0" xr:uid="{92AFBAC4-3A42-4D91-B029-34BB12DB76A5}">
      <text>
        <r>
          <rPr>
            <b/>
            <sz val="9"/>
            <color indexed="81"/>
            <rFont val="Tahoma"/>
            <family val="2"/>
          </rPr>
          <t xml:space="preserve">Energiateekaart:
</t>
        </r>
        <r>
          <rPr>
            <sz val="9"/>
            <color indexed="81"/>
            <rFont val="Tahoma"/>
            <family val="2"/>
          </rPr>
          <t>Mustamäe 10 000 + 20 000m3 soojussalvesti
Tartu 20 000m3 soojussalvesti
Pärnu 10 000m3 soojussalvesti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 shapeId="0" xr:uid="{26A15C51-1819-4C0E-8251-11FCEC1A6B51}">
      <text>
        <r>
          <rPr>
            <b/>
            <sz val="9"/>
            <color indexed="81"/>
            <rFont val="Tahoma"/>
            <family val="2"/>
          </rPr>
          <t xml:space="preserve">Katla renoveerimine
</t>
        </r>
      </text>
    </comment>
    <comment ref="E6" authorId="0" shapeId="0" xr:uid="{91C8F221-044F-460B-B9D4-AF51AC4E36C9}">
      <text>
        <r>
          <rPr>
            <b/>
            <sz val="9"/>
            <color indexed="81"/>
            <rFont val="Tahoma"/>
            <family val="2"/>
          </rPr>
          <t>Vesinikurongide analüüsis ca 1500 aga seal ei olnud kütuseelementi!!</t>
        </r>
      </text>
    </comment>
    <comment ref="F6" authorId="0" shapeId="0" xr:uid="{2688CAEA-7633-4B0A-93AC-0ED487359987}">
      <text>
        <r>
          <rPr>
            <b/>
            <sz val="9"/>
            <color indexed="81"/>
            <rFont val="Tahoma"/>
            <family val="2"/>
          </rPr>
          <t>Eesti Energia hinda 1000eur seadmed + paigalduskulu (25%); koos inverteriga</t>
        </r>
      </text>
    </comment>
    <comment ref="G6" authorId="0" shapeId="0" xr:uid="{5DCA07E3-1EE3-42B5-B5D6-5F9FF8E7578C}">
      <text>
        <r>
          <rPr>
            <b/>
            <sz val="9"/>
            <color indexed="81"/>
            <rFont val="Tahoma"/>
            <family val="2"/>
          </rPr>
          <t>Eesti Energia hindas 500eur seadmed + paigalduskulu (25%)</t>
        </r>
      </text>
    </comment>
    <comment ref="H6" authorId="0" shapeId="0" xr:uid="{A985EAEB-CDEE-4DD1-9000-5D1C0DF0122A}">
      <text>
        <r>
          <rPr>
            <b/>
            <sz val="9"/>
            <color indexed="81"/>
            <rFont val="Tahoma"/>
            <family val="2"/>
          </rPr>
          <t>vt nt https://www.pnnl.gov/sites/default/files/media/file/RedoxFlow_Methodology.pdf</t>
        </r>
      </text>
    </comment>
    <comment ref="L6" authorId="0" shapeId="0" xr:uid="{7717FFDB-3FB5-4986-9348-BFDFEE49A460}">
      <text>
        <r>
          <rPr>
            <b/>
            <sz val="9"/>
            <color indexed="81"/>
            <rFont val="Tahoma"/>
            <family val="2"/>
          </rPr>
          <t xml:space="preserve">Konkurentsiamet, 2021; 10kW seade
</t>
        </r>
      </text>
    </comment>
    <comment ref="D10" authorId="0" shapeId="0" xr:uid="{2B9F3CE9-83CF-4B5E-9ED4-D125222EB944}">
      <text>
        <r>
          <rPr>
            <b/>
            <sz val="9"/>
            <color indexed="81"/>
            <rFont val="Tahoma"/>
            <family val="2"/>
          </rPr>
          <t>Peep arvas, et peab 4 jagama</t>
        </r>
      </text>
    </comment>
    <comment ref="E16" authorId="0" shapeId="0" xr:uid="{A793ADA8-E99E-4ED7-8125-05CF99177196}">
      <text>
        <r>
          <rPr>
            <b/>
            <sz val="9"/>
            <color indexed="81"/>
            <rFont val="Tahoma"/>
            <family val="2"/>
          </rPr>
          <t>elektrolüüsi efektiivsus 60% (Civitta/SEI; 2021; lk 151) x hoiustamise kulu 15% (vt Vesinikurongide analüüs)
 x kütuselemendi efektiivsus 60%</t>
        </r>
      </text>
    </comment>
    <comment ref="F16" authorId="0" shapeId="0" xr:uid="{AA0FF5C4-0ADB-40E8-B18B-59B591AF01EA}">
      <text>
        <r>
          <rPr>
            <b/>
            <sz val="9"/>
            <color indexed="81"/>
            <rFont val="Tahoma"/>
            <family val="2"/>
          </rPr>
          <t>Eesti Energia, 11.03.22 vastused: 70%-95%, sõltuvalt tingimustest; rihitakse 80-85%</t>
        </r>
      </text>
    </comment>
    <comment ref="G16" authorId="0" shapeId="0" xr:uid="{FDCFC663-EDAB-4126-8325-C985BE69E652}">
      <text>
        <r>
          <rPr>
            <b/>
            <sz val="9"/>
            <color indexed="81"/>
            <rFont val="Tahoma"/>
            <family val="2"/>
          </rPr>
          <t>Eesti Energia, 11.03.22 vastused: 70%-95%, sõltuvalt tingimustest; rihitakse 80-85%</t>
        </r>
      </text>
    </comment>
    <comment ref="H16" authorId="0" shapeId="0" xr:uid="{303FBBEA-AD1B-4B72-992F-270196EDD94F}">
      <text>
        <r>
          <rPr>
            <b/>
            <sz val="9"/>
            <color indexed="81"/>
            <rFont val="Tahoma"/>
            <family val="2"/>
          </rPr>
          <t>hinnatakse 60-85%</t>
        </r>
      </text>
    </comment>
    <comment ref="M16" authorId="0" shapeId="0" xr:uid="{B57AF8B4-40DE-4914-BF45-212024AFAF10}">
      <text>
        <r>
          <rPr>
            <b/>
            <sz val="9"/>
            <color indexed="81"/>
            <rFont val="Tahoma"/>
            <family val="2"/>
          </rPr>
          <t>elektrolüüsi efektiivsus 60% (Civitta/SEI; 2021; lk 151) x hoiustamise kulu 15% (vt Vesinikurongide analüüs)
 x kütuselemendi efektiivsus 60%</t>
        </r>
      </text>
    </comment>
    <comment ref="E17" authorId="0" shapeId="0" xr:uid="{537B2D36-E5DC-4C60-B6A3-F6998EC95E6D}">
      <text>
        <r>
          <rPr>
            <b/>
            <sz val="9"/>
            <color indexed="81"/>
            <rFont val="Tahoma"/>
            <family val="2"/>
          </rPr>
          <t>Vesinikuanalüüs; SEI/Civitta; 2021; lk149</t>
        </r>
      </text>
    </comment>
    <comment ref="L19" authorId="0" shapeId="0" xr:uid="{77A67606-C623-4AD8-A05A-1651214CE61F}">
      <text>
        <r>
          <rPr>
            <b/>
            <sz val="9"/>
            <color indexed="81"/>
            <rFont val="Tahoma"/>
            <family val="2"/>
          </rPr>
          <t>Konkurentsiamet arvestab väikestel isegi 700h!?</t>
        </r>
      </text>
    </comment>
    <comment ref="B20" authorId="0" shapeId="0" xr:uid="{1D967EFB-2C0D-414F-AAFB-BA03B06B28F6}">
      <text>
        <r>
          <rPr>
            <b/>
            <sz val="9"/>
            <color indexed="81"/>
            <rFont val="Tahoma"/>
            <family val="2"/>
          </rPr>
          <t>Mida pikem tööaeg, seda väiksem diskonto</t>
        </r>
      </text>
    </comment>
    <comment ref="I20" authorId="0" shapeId="0" xr:uid="{E4F27AD5-A0BA-4D0F-95DE-66FF31FF4051}">
      <text>
        <r>
          <rPr>
            <b/>
            <sz val="9"/>
            <color indexed="81"/>
            <rFont val="Tahoma"/>
            <family val="2"/>
          </rPr>
          <t>Alternatiivkulu meetodil - kulude kokkuhoid võrreldes fossiilkütuiste põletamisega</t>
        </r>
      </text>
    </comment>
    <comment ref="F22" authorId="0" shapeId="0" xr:uid="{5FAE9ACF-2758-4611-821D-A60F5A03C747}">
      <text>
        <r>
          <rPr>
            <b/>
            <sz val="9"/>
            <color indexed="81"/>
            <rFont val="Tahoma"/>
            <family val="2"/>
          </rPr>
          <t>Elektri ostuhind turult - oma PV elektrit jätkub salvestamiseks väga vähe</t>
        </r>
      </text>
    </comment>
    <comment ref="N22" authorId="0" shapeId="0" xr:uid="{28D5D22D-A9D2-4543-94C5-4C776255B2E3}">
      <text>
        <r>
          <rPr>
            <sz val="9"/>
            <color indexed="81"/>
            <rFont val="Tahoma"/>
            <family val="2"/>
          </rPr>
          <t xml:space="preserve">Utilitase eeldus: fossiili hind (Gaas) MWh kohta </t>
        </r>
        <r>
          <rPr>
            <b/>
            <sz val="9"/>
            <color indexed="81"/>
            <rFont val="Tahoma"/>
            <family val="2"/>
          </rPr>
          <t>120 EUR</t>
        </r>
        <r>
          <rPr>
            <sz val="9"/>
            <color indexed="81"/>
            <rFont val="Tahoma"/>
            <family val="2"/>
          </rPr>
          <t xml:space="preserve"> (tegelikult kogu muutuvkulu)</t>
        </r>
      </text>
    </comment>
    <comment ref="E29" authorId="0" shapeId="0" xr:uid="{E21B2055-46E6-46C9-8274-7E53F3F8F5B2}">
      <text>
        <r>
          <rPr>
            <b/>
            <sz val="9"/>
            <color indexed="81"/>
            <rFont val="Tahoma"/>
            <family val="2"/>
          </rPr>
          <t>Vesinikurongide analüüsist + kütuselement vahetatakse iga 8000h järel</t>
        </r>
      </text>
    </comment>
    <comment ref="F29" authorId="0" shapeId="0" xr:uid="{B11ED4BC-30BC-438D-A1E8-F25AB9688F2F}">
      <text>
        <r>
          <rPr>
            <b/>
            <sz val="9"/>
            <color indexed="81"/>
            <rFont val="Tahoma"/>
            <family val="2"/>
          </rPr>
          <t>Kuna oma personali ei ole siis kulub rohkem teenustele</t>
        </r>
      </text>
    </comment>
    <comment ref="G29" authorId="0" shapeId="0" xr:uid="{84A773A5-5EF7-41D2-A46C-CDD213DF3A34}">
      <text>
        <r>
          <rPr>
            <b/>
            <sz val="9"/>
            <color indexed="81"/>
            <rFont val="Tahoma"/>
            <family val="2"/>
          </rPr>
          <t>Kuna oma personali ei ole siis kulub rohkem teenustele</t>
        </r>
      </text>
    </comment>
    <comment ref="H29" authorId="0" shapeId="0" xr:uid="{9381893F-FD2C-4DF1-B590-2E2827060B04}">
      <text>
        <r>
          <rPr>
            <b/>
            <sz val="9"/>
            <color indexed="81"/>
            <rFont val="Tahoma"/>
            <family val="2"/>
          </rPr>
          <t>Kuna oma personali ei ole siis kulub rohkem teenustele</t>
        </r>
      </text>
    </comment>
    <comment ref="M29" authorId="0" shapeId="0" xr:uid="{E1741C5B-62CA-4CC3-AB06-F4F6AAD46338}">
      <text>
        <r>
          <rPr>
            <b/>
            <sz val="9"/>
            <color indexed="81"/>
            <rFont val="Tahoma"/>
            <family val="2"/>
          </rPr>
          <t>Vesinikurongide analüüsist</t>
        </r>
      </text>
    </comment>
    <comment ref="E31" authorId="0" shapeId="0" xr:uid="{D6F98BBE-787A-48ED-8546-BEC25A9115CB}">
      <text>
        <r>
          <rPr>
            <b/>
            <sz val="9"/>
            <color indexed="81"/>
            <rFont val="Tahoma"/>
            <family val="2"/>
          </rPr>
          <t>Vesinikurongide analüüs, 2021</t>
        </r>
      </text>
    </comment>
    <comment ref="E33" authorId="0" shapeId="0" xr:uid="{C7298FCF-3BCD-4D69-B640-89939704BF73}">
      <text>
        <r>
          <rPr>
            <b/>
            <sz val="9"/>
            <color indexed="81"/>
            <rFont val="Tahoma"/>
            <family val="2"/>
          </rPr>
          <t>Energiateekaart: 2030 ca 5TWh meretuule elektrit vesiniku tootmisse &gt;&gt; sellest 2TWh tagasi elektriks!</t>
        </r>
      </text>
    </comment>
    <comment ref="F33" authorId="0" shapeId="0" xr:uid="{E79BBAB8-2023-47EF-BE9D-D99953FDDF88}">
      <text>
        <r>
          <rPr>
            <b/>
            <sz val="9"/>
            <color indexed="81"/>
            <rFont val="Tahoma"/>
            <family val="2"/>
          </rPr>
          <t>Rohetiiger, Energiateekaart (2021)</t>
        </r>
      </text>
    </comment>
    <comment ref="I33" authorId="0" shapeId="0" xr:uid="{1F4D9C6E-8D51-46EC-987F-89D13C638E27}">
      <text>
        <r>
          <rPr>
            <b/>
            <sz val="9"/>
            <color indexed="81"/>
            <rFont val="Tahoma"/>
            <family val="2"/>
          </rPr>
          <t>Rohetiiger, Energiateekaart (2021):
10k m3 - Pärnu
20k m3 - Tartu
30k m3 - Tallinn</t>
        </r>
      </text>
    </comment>
    <comment ref="B44" authorId="0" shapeId="0" xr:uid="{1B619DE9-819B-49F8-9EBE-81869B9A0018}">
      <text>
        <r>
          <rPr>
            <b/>
            <sz val="9"/>
            <color indexed="81"/>
            <rFont val="Tahoma"/>
            <family val="2"/>
          </rPr>
          <t>Vajalik müügihind: et teha investeering tasuvaks!</t>
        </r>
      </text>
    </comment>
    <comment ref="F46" authorId="0" shapeId="0" xr:uid="{6A3DC912-6920-4EB4-BE31-7E35994F526C}">
      <text>
        <r>
          <rPr>
            <b/>
            <sz val="9"/>
            <color indexed="81"/>
            <rFont val="Tahoma"/>
            <family val="2"/>
          </rPr>
          <t>PV elektri omahind (LCOE)</t>
        </r>
      </text>
    </comment>
    <comment ref="F49" authorId="0" shapeId="0" xr:uid="{BC720C97-F14D-43E3-973E-30617327B37D}">
      <text>
        <r>
          <rPr>
            <b/>
            <sz val="9"/>
            <color indexed="81"/>
            <rFont val="Tahoma"/>
            <family val="2"/>
          </rPr>
          <t>ALTERNATIIVKULU: turuhind + võrgutasud (Elektrilevi) + taastuvenergia tasu + aktsiis (täismäär)</t>
        </r>
      </text>
    </comment>
    <comment ref="F106" authorId="0" shapeId="0" xr:uid="{515009DF-D16B-470A-9005-AD9AFBED3548}">
      <text>
        <r>
          <rPr>
            <b/>
            <sz val="9"/>
            <color indexed="81"/>
            <rFont val="Tahoma"/>
            <charset val="1"/>
          </rPr>
          <t>Ei ole äri, seega arvestuslik ja ei lähe lisandväärtuse arvutusse</t>
        </r>
      </text>
    </comment>
    <comment ref="C147" authorId="0" shapeId="0" xr:uid="{67325BA5-1D9B-442D-AF43-5D841C4921B1}">
      <text>
        <r>
          <rPr>
            <b/>
            <sz val="9"/>
            <color indexed="81"/>
            <rFont val="Tahoma"/>
            <family val="2"/>
            <charset val="186"/>
          </rPr>
          <t>tarbimise suurenemine 1 euro võrra suurendab nii palju lisandväärtust</t>
        </r>
      </text>
    </comment>
    <comment ref="C167" authorId="0" shapeId="0" xr:uid="{34404E3C-D3ED-40E1-960E-962AB902FE2C}">
      <text>
        <r>
          <rPr>
            <b/>
            <sz val="9"/>
            <color indexed="81"/>
            <rFont val="Tahoma"/>
            <family val="2"/>
            <charset val="186"/>
          </rPr>
          <t>tarbimise suurenemine 1 euro võrra suurendab nii palju lisandväärtust</t>
        </r>
      </text>
    </comment>
    <comment ref="F184" authorId="0" shapeId="0" xr:uid="{C707937E-69D4-4BCF-B910-8DE6C6FFC87B}">
      <text>
        <r>
          <rPr>
            <b/>
            <sz val="9"/>
            <color indexed="81"/>
            <rFont val="Tahoma"/>
            <charset val="1"/>
          </rPr>
          <t>Ainult taastuvenergia tasu ja aktsiis</t>
        </r>
      </text>
    </comment>
    <comment ref="B208" authorId="0" shapeId="0" xr:uid="{5521F434-3C45-4FCA-BF41-4064E23913A2}">
      <text>
        <r>
          <rPr>
            <b/>
            <sz val="9"/>
            <color indexed="81"/>
            <rFont val="Tahoma"/>
            <family val="2"/>
          </rPr>
          <t>Elasticity of employment: growth of employment &gt; growth of production (economies of scale)</t>
        </r>
      </text>
    </comment>
    <comment ref="B238" authorId="0" shapeId="0" xr:uid="{E007C1D9-B634-4546-B6D5-CFA1185F33AF}">
      <text>
        <r>
          <rPr>
            <b/>
            <sz val="9"/>
            <color indexed="81"/>
            <rFont val="Tahoma"/>
            <family val="2"/>
          </rPr>
          <t>Kes</t>
        </r>
        <r>
          <rPr>
            <sz val="9"/>
            <color indexed="81"/>
            <rFont val="Tahoma"/>
            <family val="2"/>
          </rPr>
          <t>kmised võrgukaod Eesti elektrivõrgus on ca 5%;
Eeldame, et salvestid võimaldavat hajusamat elektritootmist ja võrgukaod vähenevad.</t>
        </r>
      </text>
    </comment>
    <comment ref="J324" authorId="0" shapeId="0" xr:uid="{B59EEFA2-335E-4164-9F7C-EC5F888B3B51}">
      <text>
        <r>
          <rPr>
            <b/>
            <sz val="9"/>
            <color indexed="81"/>
            <rFont val="Tahoma"/>
            <family val="2"/>
            <charset val="186"/>
          </rPr>
          <t>Tipu ja madala keskmine</t>
        </r>
      </text>
    </comment>
    <comment ref="B353" authorId="0" shapeId="0" xr:uid="{3AC0341E-5ED9-4DCA-BB86-3A130EF45078}">
      <text>
        <r>
          <rPr>
            <b/>
            <sz val="9"/>
            <color indexed="81"/>
            <rFont val="Tahoma"/>
            <family val="2"/>
          </rPr>
          <t xml:space="preserve">Energiateekaart:
</t>
        </r>
        <r>
          <rPr>
            <sz val="9"/>
            <color indexed="81"/>
            <rFont val="Tahoma"/>
            <family val="2"/>
          </rPr>
          <t>Mustamäe 10 000 + 20 000m3 soojussalvesti
Tartu 20 000m3 soojussalvesti
Pärnu 10 000m3 soojussalvesti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364" authorId="0" shapeId="0" xr:uid="{F0DCD2C5-B221-4E78-9B3E-E2B74E3FFCBB}">
      <text>
        <r>
          <rPr>
            <b/>
            <sz val="9"/>
            <color indexed="81"/>
            <rFont val="Tahoma"/>
            <family val="2"/>
          </rPr>
          <t xml:space="preserve">Energiateekaart:
</t>
        </r>
        <r>
          <rPr>
            <sz val="9"/>
            <color indexed="81"/>
            <rFont val="Tahoma"/>
            <family val="2"/>
          </rPr>
          <t>Mustamäe 10 000 + 20 000m3 soojussalvesti
Tartu 20 000m3 soojussalvesti
Pärnu 10 000m3 soojussalvesti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384" authorId="0" shapeId="0" xr:uid="{D0DC431C-43ED-44CA-8CC9-0E0F15FFFA1A}">
      <text>
        <r>
          <rPr>
            <b/>
            <sz val="9"/>
            <color indexed="81"/>
            <rFont val="Tahoma"/>
            <family val="2"/>
          </rPr>
          <t xml:space="preserve">Energiateekaart:
</t>
        </r>
        <r>
          <rPr>
            <sz val="9"/>
            <color indexed="81"/>
            <rFont val="Tahoma"/>
            <family val="2"/>
          </rPr>
          <t>Mustamäe 10 000 + 20 000m3 soojussalvesti
Tartu 20 000m3 soojussalvesti
Pärnu 10 000m3 soojussalvesti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<sst xmlns="http://schemas.openxmlformats.org/spreadsheetml/2006/main" count="657" uniqueCount="397">
  <si>
    <t>4.</t>
  </si>
  <si>
    <t>Estimated share of transmission network and sales service - found on the basis of Elering and Eesti Gaas</t>
  </si>
  <si>
    <t>Adjusted electricity coefficinets</t>
  </si>
  <si>
    <t>Coke and refined petroleum products (including shale oil) (domestic)</t>
  </si>
  <si>
    <t>Forestry (direct impact on domestic)</t>
  </si>
  <si>
    <t>Derived from biomethane production</t>
  </si>
  <si>
    <t>otsi välja!</t>
  </si>
  <si>
    <t>Benchmarked to wood</t>
  </si>
  <si>
    <t>Energiateekaart</t>
  </si>
  <si>
    <t>Repair and installation services of machinery and equipment</t>
  </si>
  <si>
    <t>Construction costs coefficients</t>
  </si>
  <si>
    <t>Financial services</t>
  </si>
  <si>
    <t>5% Retail - takes into account the average mark-up for fuel sellers</t>
  </si>
  <si>
    <t>353 Heating supply</t>
  </si>
  <si>
    <t>€/kW</t>
  </si>
  <si>
    <t>%</t>
  </si>
  <si>
    <t>OPEX</t>
  </si>
  <si>
    <t>MWh/y</t>
  </si>
  <si>
    <t>€/MWh</t>
  </si>
  <si>
    <t>EUR/month</t>
  </si>
  <si>
    <t>per MW</t>
  </si>
  <si>
    <t>Ühik</t>
  </si>
  <si>
    <t>EUR</t>
  </si>
  <si>
    <t>EUR/MWh</t>
  </si>
  <si>
    <t>2020. aasta 1. maist kuni 2022. aasta 30. aprillini</t>
  </si>
  <si>
    <t>6.</t>
  </si>
  <si>
    <t>MWh</t>
  </si>
  <si>
    <t>LCOE</t>
  </si>
  <si>
    <t>€</t>
  </si>
  <si>
    <t>PHEJ</t>
  </si>
  <si>
    <t>Vesinik</t>
  </si>
  <si>
    <t>sh kütuseelement</t>
  </si>
  <si>
    <t>Li-ion akupank</t>
  </si>
  <si>
    <t>EUR/t</t>
  </si>
  <si>
    <t>PHEJ [1]</t>
  </si>
  <si>
    <t>MW</t>
  </si>
  <si>
    <t>GWh</t>
  </si>
  <si>
    <t>[1 v 2]</t>
  </si>
  <si>
    <t>aastat</t>
  </si>
  <si>
    <t>% CAPEX</t>
  </si>
  <si>
    <t>m3/s</t>
  </si>
  <si>
    <t>graniidi erikaa, t/m3</t>
  </si>
  <si>
    <t>Kokku, tonni</t>
  </si>
  <si>
    <t>Maksumus, eurot</t>
  </si>
  <si>
    <t>https://energiasalv.ee/project/</t>
  </si>
  <si>
    <t>tsükkel (12h), s</t>
  </si>
  <si>
    <t>m3 mahuti = m3 graniiti</t>
  </si>
  <si>
    <t>graniiti m3 kokku</t>
  </si>
  <si>
    <t>graniitkillustik 15-25 eur/t (https://www.arterega.ee/kalkulaator/harku-karjaar/)</t>
  </si>
  <si>
    <t>Kadu (nt saare ehitus)</t>
  </si>
  <si>
    <t>h aastas</t>
  </si>
  <si>
    <t>Taastuvenergia tasu</t>
  </si>
  <si>
    <t>Aktsiis</t>
  </si>
  <si>
    <t>Võrgutasu, 330kV</t>
  </si>
  <si>
    <t>Võrgutasu, 110kV</t>
  </si>
  <si>
    <t>TEGEVUSKULUD</t>
  </si>
  <si>
    <t>TEGEVUSNÄITAJAD</t>
  </si>
  <si>
    <t>POTENTSIAAL EESTIS</t>
  </si>
  <si>
    <t>Päikese-soojuse kollektor</t>
  </si>
  <si>
    <t>Vesiniku elekter</t>
  </si>
  <si>
    <t>EUR/kg</t>
  </si>
  <si>
    <t>Vesiniku tootmine</t>
  </si>
  <si>
    <t>Neto (1) v bruto (2)</t>
  </si>
  <si>
    <t>Päikese-paneelid - elekter</t>
  </si>
  <si>
    <t>Tundlikkus, vesinik: diskonto</t>
  </si>
  <si>
    <t>SALVESTUSTEHNOLOOGIATE ANALÜÜS</t>
  </si>
  <si>
    <t>SALVESTUS</t>
  </si>
  <si>
    <t>MUUD SISENDID</t>
  </si>
  <si>
    <t>Vali võrgutasu (330kV = 1; 110kV = 2)</t>
  </si>
  <si>
    <t>Li-ion akud - suured akud [2]</t>
  </si>
  <si>
    <t>Li-ion akud - väiketarbija [1;2]</t>
  </si>
  <si>
    <t>Marginaal, €/MWh</t>
  </si>
  <si>
    <t>Graniidi müügihind (PHEJ)</t>
  </si>
  <si>
    <t>Elektrihinna ostusoodustus (-) / müügipreemia (+)</t>
  </si>
  <si>
    <t>Aktsiis - soodusmäär</t>
  </si>
  <si>
    <t>Täiskoormusel töötunnid</t>
  </si>
  <si>
    <t>Investeeringu maksumus (ilma käibemaksuta)</t>
  </si>
  <si>
    <t>Investeeringute eluiga</t>
  </si>
  <si>
    <t>sh. seadmed (import)</t>
  </si>
  <si>
    <t>finantseerimine</t>
  </si>
  <si>
    <t>Likvideerimise kulud</t>
  </si>
  <si>
    <t>Tegevuskulud</t>
  </si>
  <si>
    <t>tegevuskulud % investeeringusse</t>
  </si>
  <si>
    <t>Keskmine palk</t>
  </si>
  <si>
    <t>Töötajate arv</t>
  </si>
  <si>
    <t>Soojussalvesti alternatiivkulu</t>
  </si>
  <si>
    <t>Muud tulud</t>
  </si>
  <si>
    <t>Tööjõukulu</t>
  </si>
  <si>
    <t>TOOTMISE PV (MWh)</t>
  </si>
  <si>
    <t>Investeeringu kulu (ilma käibemaksuta)</t>
  </si>
  <si>
    <t>Likvideerimise kulu</t>
  </si>
  <si>
    <t>Soojusalvesti alternatiivkulu  [3]</t>
  </si>
  <si>
    <t>Läbivoolu akupank (Redox)</t>
  </si>
  <si>
    <t>Soojuse hind (salvestisse)</t>
  </si>
  <si>
    <t>Soojussalvesti  [3]</t>
  </si>
  <si>
    <t>PHJ</t>
  </si>
  <si>
    <t>Potentsiaal Eestis 2030a, MW</t>
  </si>
  <si>
    <t>Tootlus (reaal):</t>
  </si>
  <si>
    <t>M€</t>
  </si>
  <si>
    <t>Toetus kokku</t>
  </si>
  <si>
    <t>Toetuse alus1</t>
  </si>
  <si>
    <t>Toetuse alus2</t>
  </si>
  <si>
    <t>Toetuse määr</t>
  </si>
  <si>
    <t>M€ kokku</t>
  </si>
  <si>
    <t>Toetuse saajaid</t>
  </si>
  <si>
    <t>Toetatavaid tunde</t>
  </si>
  <si>
    <t>Soojussalvestid</t>
  </si>
  <si>
    <t>Seotud soojatarbimine (Tallinn, Tartu, Pärnu), GWh</t>
  </si>
  <si>
    <t>Kulu tarbimisühiku kohta (kui üle kanda tarbijatele)</t>
  </si>
  <si>
    <t>Investeering kokku</t>
  </si>
  <si>
    <t>Efektiivsus (energia välja / energia sisse)</t>
  </si>
  <si>
    <t>KULUD KOKKU (NÜÜDISVÄÄRTUS)</t>
  </si>
  <si>
    <t>Muud kulud</t>
  </si>
  <si>
    <t>Börsihind (keskmine)</t>
  </si>
  <si>
    <t>Li-ion akud - suured akud</t>
  </si>
  <si>
    <t>Ostukulu (NB! müüdud energia kohta)</t>
  </si>
  <si>
    <t>Investeerimisperiood</t>
  </si>
  <si>
    <t>Li-ion ja läbivooliu akud - väikeakud</t>
  </si>
  <si>
    <t>Soojussalvesti</t>
  </si>
  <si>
    <t>Tehnoloogia</t>
  </si>
  <si>
    <t>Maht (MW)</t>
  </si>
  <si>
    <t>TURUMAHUD - TABEL VAHEARUANDESSE 2</t>
  </si>
  <si>
    <t>1.</t>
  </si>
  <si>
    <t>INVESTEERINGUD, KULUD JA TEGEVUSNÄITAJAD</t>
  </si>
  <si>
    <t>2.</t>
  </si>
  <si>
    <t>3.</t>
  </si>
  <si>
    <t>5.</t>
  </si>
  <si>
    <t>KÜTUSTE HINNAD, ÜLEKANDETASUD JA AKTSIISIMÄÄRAD</t>
  </si>
  <si>
    <t>LISANDVÄÄRTUSE KOEFITSIENDID</t>
  </si>
  <si>
    <t>ABIARVUTUSED JA TABELID</t>
  </si>
  <si>
    <t>7.</t>
  </si>
  <si>
    <t>8.</t>
  </si>
  <si>
    <t>9.</t>
  </si>
  <si>
    <t>Li-ion akupank - väike</t>
  </si>
  <si>
    <t>Li-ion akupank - suur</t>
  </si>
  <si>
    <t>elektri (soojuse) kogutarbimine (laadimine)</t>
  </si>
  <si>
    <t>energiakadu (netotarbimine)</t>
  </si>
  <si>
    <t>Allikas: Sisend-väljund tabel, Statisitikaamet, analüüsi koostajate arvutused;</t>
  </si>
  <si>
    <t>Kulu liik / toode (teenus)</t>
  </si>
  <si>
    <t>Maagaas - lokaalne</t>
  </si>
  <si>
    <t>Maagaas - DH</t>
  </si>
  <si>
    <t>Põlevkiviõli</t>
  </si>
  <si>
    <t>Küttepuud</t>
  </si>
  <si>
    <t>Puiduhake</t>
  </si>
  <si>
    <t>Pelletid</t>
  </si>
  <si>
    <t>Kütuseelement</t>
  </si>
  <si>
    <t>Põlevkivi</t>
  </si>
  <si>
    <t>Biogaas (metaan)</t>
  </si>
  <si>
    <t>Muud tegevuskulud</t>
  </si>
  <si>
    <t>Ehitus</t>
  </si>
  <si>
    <t>Finantsteenused</t>
  </si>
  <si>
    <t>Bensiin ja diisel</t>
  </si>
  <si>
    <t>Soojusenergia</t>
  </si>
  <si>
    <t>Lisandväärtus kokku</t>
  </si>
  <si>
    <t>sh tööjõu kulud</t>
  </si>
  <si>
    <t>sh tegevuse ülejääk</t>
  </si>
  <si>
    <t>SISENDID: ELEKTRI HIND JA VÕRGUTASUD</t>
  </si>
  <si>
    <t>Eesti elektritarbimine aastas, GWh</t>
  </si>
  <si>
    <t>Energiateekaart, 2021</t>
  </si>
  <si>
    <t>Energiatalgud</t>
  </si>
  <si>
    <t>Stat / Energiabilanss</t>
  </si>
  <si>
    <t>sh kodumajapidamised, GWh</t>
  </si>
  <si>
    <t>Tootlus, % aastas</t>
  </si>
  <si>
    <t>Kodumajapidamiste ostujõu muutus</t>
  </si>
  <si>
    <t>Otsene väärtus</t>
  </si>
  <si>
    <t>Otsene lisandväärtus kokku</t>
  </si>
  <si>
    <t>Otsesed tööjõukulud</t>
  </si>
  <si>
    <t>Kaudne lisandväärtus</t>
  </si>
  <si>
    <t>Kaudne lisandväärtus kokku</t>
  </si>
  <si>
    <t>Kaudne lisandväärtus / MWh</t>
  </si>
  <si>
    <t>Kaudsed tööjõukulud</t>
  </si>
  <si>
    <t>Kaudne tegevusülejääk</t>
  </si>
  <si>
    <t>Kaudsete töökohtade arv</t>
  </si>
  <si>
    <t>Indutseeritud lisandväärtus</t>
  </si>
  <si>
    <t>Lõpptarbimine</t>
  </si>
  <si>
    <t>Leibkonnad</t>
  </si>
  <si>
    <t>Kapitali kogumahutus</t>
  </si>
  <si>
    <t>Indutseeritud lisandväärtus / MWh</t>
  </si>
  <si>
    <t>Indutseeritud tööjõukulud</t>
  </si>
  <si>
    <t>Loodud töökohtade arv</t>
  </si>
  <si>
    <t>Otsene tegevuse ülejääk</t>
  </si>
  <si>
    <t>€ / MWh</t>
  </si>
  <si>
    <t>Indeks kaudsete ja kaasnevate töökohtade arvutuseks</t>
  </si>
  <si>
    <t>inimest</t>
  </si>
  <si>
    <t>Nordpool EE elektri hind (turu keskmine</t>
  </si>
  <si>
    <t>Ärikasum kokku</t>
  </si>
  <si>
    <t>sh kaoenergia</t>
  </si>
  <si>
    <t>Ärikasum energiaühiku kohta</t>
  </si>
  <si>
    <t>Otsene lisandväärtus müüdud energiaühiku kohta</t>
  </si>
  <si>
    <t>2021.a</t>
  </si>
  <si>
    <t>Arvestuse alus võrgutasul</t>
  </si>
  <si>
    <t>LCOE JA ÄRIKASUMI ARVUTUS</t>
  </si>
  <si>
    <t>LCOE ARVUTUS</t>
  </si>
  <si>
    <t>ÄRIKASUMI ARVUTUS</t>
  </si>
  <si>
    <t>sh. töötajate hüvitis</t>
  </si>
  <si>
    <t>Lisandväärtus MWh kohta</t>
  </si>
  <si>
    <t>sh. otsene</t>
  </si>
  <si>
    <t>kaudne</t>
  </si>
  <si>
    <t>Lisandväärtus töötaja kohta</t>
  </si>
  <si>
    <t>sh. tegevusülejääk</t>
  </si>
  <si>
    <t>sh. hüvitised töötajate</t>
  </si>
  <si>
    <t>tegevuse ülejääk</t>
  </si>
  <si>
    <t>indutseeritud/kaasnev</t>
  </si>
  <si>
    <t>sh tegevuse ülejäägi kohta</t>
  </si>
  <si>
    <t>sh hüvitised töötajatele kohta</t>
  </si>
  <si>
    <t>€lv/€inv</t>
  </si>
  <si>
    <t>Lisandväärtus (lv) investeeringu (inv) kohta</t>
  </si>
  <si>
    <t xml:space="preserve">Päikeseelektri tootmine </t>
  </si>
  <si>
    <t>Investeeringute LV kokku</t>
  </si>
  <si>
    <t>INVESTEERINGUTE LISANDVÄÄRTUS (LV)</t>
  </si>
  <si>
    <t>Vahetarbimise lisandväärtuse koefitsiendid</t>
  </si>
  <si>
    <t>ENERGIA SALVESTAMISE LISANDVÄÄRTUS KOKKU</t>
  </si>
  <si>
    <t>Elekter - kodumaine, fossiil</t>
  </si>
  <si>
    <t>Elekter - kodumaine, taastuv</t>
  </si>
  <si>
    <t>LISANDVÄÄRTUS KOHALIKU FOSSIILENERGIA TOOTMISE VÄHENEMISEST</t>
  </si>
  <si>
    <t>Otsene ja kaudne LV MWh kohta</t>
  </si>
  <si>
    <t xml:space="preserve">€ </t>
  </si>
  <si>
    <t>Otsene ja kaudne lisandväärtus</t>
  </si>
  <si>
    <t>… hüvitised töötajate</t>
  </si>
  <si>
    <t>… tegevuse ülejääk</t>
  </si>
  <si>
    <t>Avalik sektor</t>
  </si>
  <si>
    <t>Lõpptarbimise (indutseeritud) lisandväärtuse arvutamiseks</t>
  </si>
  <si>
    <t>Lisandväärtus</t>
  </si>
  <si>
    <t>Hüvitised töötajatele</t>
  </si>
  <si>
    <t>Tegevuse ülejääk</t>
  </si>
  <si>
    <t>Abikoefitsiendid</t>
  </si>
  <si>
    <t>Maksud (% tööjõukuludest)</t>
  </si>
  <si>
    <t>Avaliku sektori lõpptarbimine (% maksutulust)</t>
  </si>
  <si>
    <t>EV investeeringud / (amortisatsioon + ärikasum)</t>
  </si>
  <si>
    <t>Tulumaks / (amortisatsioon + ärikasum)</t>
  </si>
  <si>
    <t>Sotsiaalmaksud (% brutopalgast)</t>
  </si>
  <si>
    <t>Leibkonnad: tarbimine / sissetulek</t>
  </si>
  <si>
    <t>Toote(kaudsed)maksud / lisandväärtus</t>
  </si>
  <si>
    <t>Indutseeritud/kaasnev LV</t>
  </si>
  <si>
    <t>Kaasnev LV MWh kohta</t>
  </si>
  <si>
    <t>Kokku LV vähenemine</t>
  </si>
  <si>
    <t>Tekitatud tegevuse ülejääk</t>
  </si>
  <si>
    <t>Töökohtade vähenemine</t>
  </si>
  <si>
    <t>in</t>
  </si>
  <si>
    <t>Töökohtade arvu kasv</t>
  </si>
  <si>
    <t>Toodetud (müük võrku, omatarve) elekter</t>
  </si>
  <si>
    <t>Palkade reaalkasvu indeks</t>
  </si>
  <si>
    <t>Vajalik müügihind või omahind (= LCOE)</t>
  </si>
  <si>
    <t>Võrgukadude vähenemine</t>
  </si>
  <si>
    <t>% punkti</t>
  </si>
  <si>
    <t>TOETUSTE MÕJU (ENERGIA HINDADELE, OSTUJÕULE) ARVUTUSED</t>
  </si>
  <si>
    <t>€/MWh aastas</t>
  </si>
  <si>
    <t>M€ aastas</t>
  </si>
  <si>
    <t>Eeldatav investeeringutoetus</t>
  </si>
  <si>
    <t>Ettevõtete kulud</t>
  </si>
  <si>
    <t>Stat / Energiabilanss (ca 50% äri- ja avaliku sektori teenindus)</t>
  </si>
  <si>
    <t>sh avalik sektor</t>
  </si>
  <si>
    <t>Akud - väikesed</t>
  </si>
  <si>
    <t>Soojus-salvesti</t>
  </si>
  <si>
    <t>Tabel 4 Investeeringutoetus salvestustehnoloogiatele</t>
  </si>
  <si>
    <t>Akud - suured</t>
  </si>
  <si>
    <t>KOKKU</t>
  </si>
  <si>
    <t>Li-ion väikeakud</t>
  </si>
  <si>
    <t>Kaoelekter</t>
  </si>
  <si>
    <t>Kaoelektri võrgutasu</t>
  </si>
  <si>
    <t>GWh aastas</t>
  </si>
  <si>
    <t>AA 2021</t>
  </si>
  <si>
    <t>AA 2020</t>
  </si>
  <si>
    <t>eeldusel, et salvestitega seoses ei teki võrguettevõtetel lisakulusid</t>
  </si>
  <si>
    <t>Eesti elektritarbimise kohta enne salvesteid</t>
  </si>
  <si>
    <t>Eesti elektritarbimise kohta pärast salvesteid</t>
  </si>
  <si>
    <t>Kodumajapidamised</t>
  </si>
  <si>
    <t>Ettevõtted</t>
  </si>
  <si>
    <r>
      <t>Läbivoolu aku (</t>
    </r>
    <r>
      <rPr>
        <b/>
        <sz val="10"/>
        <rFont val="Arial"/>
        <family val="2"/>
      </rPr>
      <t>Redox</t>
    </r>
    <r>
      <rPr>
        <b/>
        <sz val="10"/>
        <color theme="1"/>
        <rFont val="Arial"/>
        <family val="2"/>
      </rPr>
      <t>) - suured akud</t>
    </r>
  </si>
  <si>
    <t>Võrgutasud Elering (2021.a andmed)</t>
  </si>
  <si>
    <t>Võrgutasud Elektrilevi (2020.a andmed)</t>
  </si>
  <si>
    <t>Kokku</t>
  </si>
  <si>
    <t>Võrgutasude (tariifi) keskmine muutus</t>
  </si>
  <si>
    <t>Mõju tarbijatele (kulude muutus)</t>
  </si>
  <si>
    <t>Tabel 5 Võrguteenuste tariifi ja kulude muutus elektrienergia tarbimise (kaoelekter) kasvu tulemusena</t>
  </si>
  <si>
    <t>LISANDVÄÄRTUSE ALUSARVUTUSED</t>
  </si>
  <si>
    <t>NB! Siin peab arvestama ostetud energiat</t>
  </si>
  <si>
    <t>NB! Siin peab arvestama müüdud/toodetud energiat</t>
  </si>
  <si>
    <t>Ostuhind, müügihind turul ja vajalik müügihind</t>
  </si>
  <si>
    <t>KASVUHOONEGAASIDE EMISSIOONI MUUTUS</t>
  </si>
  <si>
    <t>Efektiivne kasutusmaht (kogumaht miinus sisse jääv osa)</t>
  </si>
  <si>
    <t>Potentsiaal Eestis 2030a (võimsuse järgi)</t>
  </si>
  <si>
    <t>Energia (sisend) ostuhind</t>
  </si>
  <si>
    <t>Arvestuse alus taastuvenergia tasul ja aktsiisil</t>
  </si>
  <si>
    <t>in / MWh</t>
  </si>
  <si>
    <t>… töökohti energiaühiku kohta</t>
  </si>
  <si>
    <t>€ / inimene</t>
  </si>
  <si>
    <t>Energia (elektri/soojuse/kütuse) ostukulu</t>
  </si>
  <si>
    <t>Tegelik/võimalik müügihind (turuhind)</t>
  </si>
  <si>
    <t>Võrgutasu, 0,4kV</t>
  </si>
  <si>
    <t>Elektrienergia/soojuse kulu = börsihind-soodustus</t>
  </si>
  <si>
    <t>Kaasnev lisandväärtus</t>
  </si>
  <si>
    <t>Installeeritud võimsus (salvestid)</t>
  </si>
  <si>
    <t>Salvestite toodetud energia</t>
  </si>
  <si>
    <t>Investeeringute lisandväärtus</t>
  </si>
  <si>
    <t>ehitus (kohalik)</t>
  </si>
  <si>
    <t>M€ /a</t>
  </si>
  <si>
    <t>Salvestite tootmisprotsessist</t>
  </si>
  <si>
    <t>Fossiilenergia tootmisest muutusest</t>
  </si>
  <si>
    <t>energiaühiku kohta</t>
  </si>
  <si>
    <t>Võrgutasud</t>
  </si>
  <si>
    <t>Läbivoolu akud suured</t>
  </si>
  <si>
    <t>Maht-soojussalvesti</t>
  </si>
  <si>
    <t>tootmisvõimsuse kohta</t>
  </si>
  <si>
    <t>tuh €/MW</t>
  </si>
  <si>
    <t>Üldandmed</t>
  </si>
  <si>
    <t>GWh/a</t>
  </si>
  <si>
    <t>Toodetud energia maksumsu (LCOE)</t>
  </si>
  <si>
    <t>Investeeringud tootmisse</t>
  </si>
  <si>
    <t>ELEKTER</t>
  </si>
  <si>
    <t>Nordpool EE</t>
  </si>
  <si>
    <t>Aktsiisimäärad</t>
  </si>
  <si>
    <t>Madalpinge lõpptarbijad</t>
  </si>
  <si>
    <t>Elering, pinge 110kV</t>
  </si>
  <si>
    <t>Elering, pinge 330kV</t>
  </si>
  <si>
    <t>TÄISHIND (ILMA KM)</t>
  </si>
  <si>
    <t>Majapidamised</t>
  </si>
  <si>
    <t>Ärikliendid</t>
  </si>
  <si>
    <t>Tavaline</t>
  </si>
  <si>
    <t>Soodus</t>
  </si>
  <si>
    <t>kasv</t>
  </si>
  <si>
    <t>Ülekandetasud</t>
  </si>
  <si>
    <t>Majapidamised/Äri</t>
  </si>
  <si>
    <t>Allikas: Eurostat</t>
  </si>
  <si>
    <t>Eesti keskmine brutokuupalk (€, 2021)</t>
  </si>
  <si>
    <t>LISANDVÄÄRTUS KOHALIKU TAASTUVENERGIA TOOTMISEST</t>
  </si>
  <si>
    <t>Lisandväärtus energiaühiku kohta</t>
  </si>
  <si>
    <t>Otseseid töökohti tootmisvõimsuse kohta</t>
  </si>
  <si>
    <t>VAHE</t>
  </si>
  <si>
    <t>LCOE (müüdud soojuse kohta) - infoks</t>
  </si>
  <si>
    <t>LISANDVÄÄRTRUS</t>
  </si>
  <si>
    <t>TÖÖHÕIVE</t>
  </si>
  <si>
    <t>Töötajaid energiaühiku kohta</t>
  </si>
  <si>
    <t>töökohta</t>
  </si>
  <si>
    <t>Töökohta</t>
  </si>
  <si>
    <t>töökohta investeeritud euro kohta</t>
  </si>
  <si>
    <t>in/€inv</t>
  </si>
  <si>
    <t>Töökohti investeeringute perioodil</t>
  </si>
  <si>
    <t>Kokku töökohtade arvu muutus</t>
  </si>
  <si>
    <t>sh salvestuse tootmisprotsessis</t>
  </si>
  <si>
    <t>sh fossiilenergia tootmises</t>
  </si>
  <si>
    <t>SOTSIAALMAJANDUSLIKUD MÕJUD (TABELID JA JOONISED)</t>
  </si>
  <si>
    <t>MAKSUTULUD</t>
  </si>
  <si>
    <t>Tarbimismaksud lisandväärtuselt</t>
  </si>
  <si>
    <t>Tarbimismaksud / SKP</t>
  </si>
  <si>
    <t>Tööjõumaksud</t>
  </si>
  <si>
    <t>Saastetasu ja kaevandamisõiguse (põlevkivi) tasu</t>
  </si>
  <si>
    <t>€/MWh (Energiateekaarti andmete alusel)</t>
  </si>
  <si>
    <t>Elektriaktsiis (kaoelektrilt)</t>
  </si>
  <si>
    <t>Elektriaktsiisi soodusmäär, €/MWh</t>
  </si>
  <si>
    <t>Maksutulud kokku</t>
  </si>
  <si>
    <t>Tööjõumaksud investeerimisperioodil</t>
  </si>
  <si>
    <t xml:space="preserve">Soojussalvesti </t>
  </si>
  <si>
    <t>Li-ion akud - väiketarbija</t>
  </si>
  <si>
    <t>Läbivoolu aku - suured akud</t>
  </si>
  <si>
    <t>ENERGIATÕHUSUS</t>
  </si>
  <si>
    <t>Salvestistes toodetud energia</t>
  </si>
  <si>
    <t>Kaoenergia</t>
  </si>
  <si>
    <t>Fossiilenergia kasutuse muutus</t>
  </si>
  <si>
    <t>Põlevkivielektri kasutegur</t>
  </si>
  <si>
    <t>Biokatelde kasutegur</t>
  </si>
  <si>
    <t>Primaarenergia koguse vähenemine</t>
  </si>
  <si>
    <t>… maagaas</t>
  </si>
  <si>
    <t>Katelde efektiivsus</t>
  </si>
  <si>
    <t>… põlevkiviõli (soojus) /põlevkivi (elekter)</t>
  </si>
  <si>
    <t>… maagaas soojus/elekter)</t>
  </si>
  <si>
    <t>tuh t CO2ekv</t>
  </si>
  <si>
    <t>Fossiilkütusega toodetud energia</t>
  </si>
  <si>
    <t>… põlevkiviõli (soojus) v põlevkivi (elekter)</t>
  </si>
  <si>
    <t>KHG vähenemine</t>
  </si>
  <si>
    <t>… maagaasi kasutamisel</t>
  </si>
  <si>
    <t>… põlevkivi/-õli kasutamisel</t>
  </si>
  <si>
    <t>Maagaas</t>
  </si>
  <si>
    <t>Emissioonikoefitsiendid (t/GWh)</t>
  </si>
  <si>
    <t>www.riigiteataja.ee/aktilisa/1291/2201/6063/KKM_m86_lisa2.pdf#</t>
  </si>
  <si>
    <t>10.</t>
  </si>
  <si>
    <t>11.</t>
  </si>
  <si>
    <t>12.</t>
  </si>
  <si>
    <t>Vajalik müügihind (LCOE)</t>
  </si>
  <si>
    <t>Ostuhind</t>
  </si>
  <si>
    <t>Li-ion akud - suured akud, €/MWh</t>
  </si>
  <si>
    <t>Vesinik, €/MWh</t>
  </si>
  <si>
    <t>PHJ, €/MWh</t>
  </si>
  <si>
    <t>VAJALIKUD MARGINAALID ERINEVATE OSTUHINDADE KORRAL</t>
  </si>
  <si>
    <t>Maagaas (eelda), €/MWh</t>
  </si>
  <si>
    <t>Vajalik müügihind (= LCOE) – toetuseta</t>
  </si>
  <si>
    <t>Vajalik müügihind – investeeringutoetus 30%</t>
  </si>
  <si>
    <t>Soojussalvesti (30 000m3)</t>
  </si>
  <si>
    <t>Aasta</t>
  </si>
  <si>
    <t>Fossiilse primaarenergia kasutuse muutus</t>
  </si>
  <si>
    <t>% inv</t>
  </si>
  <si>
    <t>Investeeringutoetuse määr</t>
  </si>
  <si>
    <t>Vastav marginaal</t>
  </si>
  <si>
    <t>Vajalik marginaal – toetuseta</t>
  </si>
  <si>
    <t>Vajalik marginaal – investeeringutoetus 30%</t>
  </si>
  <si>
    <t>Tegelik/võimalik marginaal turul</t>
  </si>
  <si>
    <t>Graniit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</si>
</sst>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0.0"/>
    <numFmt numFmtId="166" formatCode="#,##0.000"/>
    <numFmt numFmtId="167" formatCode="0.0%"/>
    <numFmt numFmtId="168" formatCode="#,##0.00_ ;\-#,##0.00\ "/>
    <numFmt numFmtId="169" formatCode="_-* #,##0.0_-;\-* #,##0.0_-;_-* &quot;-&quot;??_-;_-@_-"/>
    <numFmt numFmtId="170" formatCode="_-* #,##0_-;\-* #,##0_-;_-* &quot;-&quot;??_-;_-@_-"/>
    <numFmt numFmtId="171" formatCode="#,##0.0_ ;\-#,##0.0\ "/>
    <numFmt numFmtId="172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rgb="FF3F3F76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3F3F76"/>
      <name val="Arial"/>
      <family val="2"/>
    </font>
    <font>
      <sz val="10"/>
      <name val="Arial"/>
      <family val="2"/>
    </font>
    <font>
      <b/>
      <sz val="10"/>
      <color rgb="FF3F3F76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3" tint="-0.499984740745262"/>
      <name val="Arial"/>
      <family val="2"/>
    </font>
    <font>
      <i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charset val="1"/>
    </font>
    <font>
      <b/>
      <i/>
      <sz val="10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</cellStyleXfs>
  <cellXfs count="267">
    <xf numFmtId="0" fontId="0" fillId="0" borderId="0" xfId="0"/>
    <xf numFmtId="0" fontId="9" fillId="0" borderId="3" xfId="0" applyFont="1" applyBorder="1" applyAlignment="1">
      <alignment horizontal="left" indent="2"/>
    </xf>
    <xf numFmtId="0" fontId="9" fillId="0" borderId="3" xfId="0" applyFont="1" applyBorder="1" applyAlignment="1">
      <alignment horizontal="left"/>
    </xf>
    <xf numFmtId="171" fontId="10" fillId="0" borderId="2" xfId="1" applyNumberFormat="1" applyFont="1" applyFill="1" applyBorder="1" applyAlignment="1">
      <alignment horizontal="center"/>
    </xf>
    <xf numFmtId="168" fontId="10" fillId="0" borderId="2" xfId="1" applyNumberFormat="1" applyFont="1" applyFill="1" applyBorder="1" applyAlignment="1">
      <alignment horizontal="center"/>
    </xf>
    <xf numFmtId="0" fontId="9" fillId="0" borderId="0" xfId="0" applyFont="1"/>
    <xf numFmtId="0" fontId="11" fillId="0" borderId="9" xfId="5" applyFont="1"/>
    <xf numFmtId="0" fontId="12" fillId="0" borderId="0" xfId="0" applyFont="1"/>
    <xf numFmtId="0" fontId="13" fillId="5" borderId="0" xfId="0" applyFont="1" applyFill="1" applyAlignment="1">
      <alignment horizontal="center"/>
    </xf>
    <xf numFmtId="0" fontId="13" fillId="5" borderId="0" xfId="0" applyFont="1" applyFill="1"/>
    <xf numFmtId="0" fontId="14" fillId="5" borderId="0" xfId="0" applyFont="1" applyFill="1"/>
    <xf numFmtId="0" fontId="12" fillId="0" borderId="0" xfId="0" applyFont="1" applyAlignment="1">
      <alignment horizontal="center"/>
    </xf>
    <xf numFmtId="0" fontId="15" fillId="0" borderId="0" xfId="0" applyFont="1"/>
    <xf numFmtId="0" fontId="15" fillId="6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3" fontId="17" fillId="4" borderId="2" xfId="3" applyNumberFormat="1" applyFont="1" applyFill="1" applyBorder="1" applyAlignment="1">
      <alignment horizontal="center"/>
    </xf>
    <xf numFmtId="9" fontId="17" fillId="0" borderId="2" xfId="2" applyFont="1" applyFill="1" applyBorder="1" applyAlignment="1">
      <alignment horizontal="center"/>
    </xf>
    <xf numFmtId="0" fontId="12" fillId="0" borderId="3" xfId="0" applyFont="1" applyBorder="1" applyAlignment="1">
      <alignment horizontal="left" indent="1"/>
    </xf>
    <xf numFmtId="9" fontId="17" fillId="4" borderId="2" xfId="2" applyFont="1" applyFill="1" applyBorder="1" applyAlignment="1">
      <alignment horizontal="center"/>
    </xf>
    <xf numFmtId="0" fontId="18" fillId="0" borderId="3" xfId="0" applyFont="1" applyBorder="1" applyAlignment="1">
      <alignment horizontal="left"/>
    </xf>
    <xf numFmtId="164" fontId="17" fillId="4" borderId="2" xfId="3" applyNumberFormat="1" applyFont="1" applyFill="1" applyBorder="1" applyAlignment="1">
      <alignment horizontal="center"/>
    </xf>
    <xf numFmtId="164" fontId="17" fillId="0" borderId="2" xfId="3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70" fontId="12" fillId="0" borderId="0" xfId="1" applyNumberFormat="1" applyFont="1"/>
    <xf numFmtId="167" fontId="17" fillId="4" borderId="2" xfId="2" applyNumberFormat="1" applyFont="1" applyFill="1" applyBorder="1" applyAlignment="1">
      <alignment horizontal="center"/>
    </xf>
    <xf numFmtId="172" fontId="17" fillId="0" borderId="2" xfId="3" applyNumberFormat="1" applyFont="1" applyFill="1" applyBorder="1" applyAlignment="1">
      <alignment horizontal="center"/>
    </xf>
    <xf numFmtId="168" fontId="17" fillId="0" borderId="2" xfId="1" applyNumberFormat="1" applyFont="1" applyFill="1" applyBorder="1" applyAlignment="1">
      <alignment horizontal="center"/>
    </xf>
    <xf numFmtId="0" fontId="12" fillId="0" borderId="2" xfId="0" applyFont="1" applyBorder="1"/>
    <xf numFmtId="0" fontId="12" fillId="0" borderId="7" xfId="0" applyFont="1" applyFill="1" applyBorder="1" applyAlignment="1">
      <alignment horizontal="left"/>
    </xf>
    <xf numFmtId="164" fontId="17" fillId="0" borderId="8" xfId="3" applyNumberFormat="1" applyFont="1" applyFill="1" applyBorder="1" applyAlignment="1">
      <alignment horizontal="center"/>
    </xf>
    <xf numFmtId="9" fontId="17" fillId="0" borderId="8" xfId="2" applyFont="1" applyFill="1" applyBorder="1" applyAlignment="1">
      <alignment horizontal="right"/>
    </xf>
    <xf numFmtId="164" fontId="17" fillId="0" borderId="0" xfId="3" applyNumberFormat="1" applyFont="1" applyFill="1" applyBorder="1" applyAlignment="1">
      <alignment horizontal="center"/>
    </xf>
    <xf numFmtId="0" fontId="12" fillId="0" borderId="0" xfId="0" applyFont="1" applyFill="1" applyBorder="1"/>
    <xf numFmtId="9" fontId="17" fillId="0" borderId="8" xfId="2" applyFont="1" applyFill="1" applyBorder="1" applyAlignment="1">
      <alignment horizontal="center"/>
    </xf>
    <xf numFmtId="9" fontId="12" fillId="0" borderId="0" xfId="2" applyFont="1"/>
    <xf numFmtId="10" fontId="17" fillId="4" borderId="2" xfId="2" applyNumberFormat="1" applyFont="1" applyFill="1" applyBorder="1" applyAlignment="1">
      <alignment horizontal="center"/>
    </xf>
    <xf numFmtId="4" fontId="17" fillId="4" borderId="2" xfId="3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67" fontId="9" fillId="0" borderId="0" xfId="2" applyNumberFormat="1" applyFont="1" applyFill="1" applyAlignment="1"/>
    <xf numFmtId="172" fontId="17" fillId="0" borderId="2" xfId="1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/>
    </xf>
    <xf numFmtId="172" fontId="19" fillId="0" borderId="14" xfId="1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1" fontId="17" fillId="0" borderId="2" xfId="1" applyNumberFormat="1" applyFont="1" applyFill="1" applyBorder="1" applyAlignment="1">
      <alignment horizontal="center"/>
    </xf>
    <xf numFmtId="172" fontId="17" fillId="0" borderId="0" xfId="1" applyNumberFormat="1" applyFont="1" applyFill="1" applyBorder="1" applyAlignment="1">
      <alignment horizontal="center"/>
    </xf>
    <xf numFmtId="168" fontId="17" fillId="0" borderId="0" xfId="1" applyNumberFormat="1" applyFont="1" applyFill="1" applyBorder="1" applyAlignment="1">
      <alignment horizontal="center"/>
    </xf>
    <xf numFmtId="167" fontId="20" fillId="0" borderId="0" xfId="2" applyNumberFormat="1" applyFont="1" applyAlignment="1">
      <alignment horizontal="center"/>
    </xf>
    <xf numFmtId="0" fontId="15" fillId="0" borderId="3" xfId="0" applyFont="1" applyBorder="1" applyAlignment="1">
      <alignment horizontal="left"/>
    </xf>
    <xf numFmtId="167" fontId="9" fillId="0" borderId="0" xfId="2" applyNumberFormat="1" applyFont="1" applyFill="1" applyAlignment="1">
      <alignment horizontal="right"/>
    </xf>
    <xf numFmtId="0" fontId="21" fillId="0" borderId="0" xfId="0" applyFont="1" applyAlignment="1">
      <alignment horizontal="left"/>
    </xf>
    <xf numFmtId="0" fontId="20" fillId="0" borderId="0" xfId="0" applyFont="1"/>
    <xf numFmtId="165" fontId="12" fillId="0" borderId="2" xfId="0" applyNumberFormat="1" applyFont="1" applyBorder="1"/>
    <xf numFmtId="0" fontId="15" fillId="0" borderId="2" xfId="0" applyFont="1" applyBorder="1"/>
    <xf numFmtId="165" fontId="15" fillId="0" borderId="2" xfId="0" applyNumberFormat="1" applyFont="1" applyBorder="1"/>
    <xf numFmtId="2" fontId="15" fillId="0" borderId="2" xfId="0" applyNumberFormat="1" applyFont="1" applyBorder="1"/>
    <xf numFmtId="0" fontId="12" fillId="0" borderId="2" xfId="0" applyFont="1" applyBorder="1" applyAlignment="1">
      <alignment horizontal="left" indent="1"/>
    </xf>
    <xf numFmtId="0" fontId="15" fillId="0" borderId="0" xfId="0" applyFont="1" applyBorder="1"/>
    <xf numFmtId="0" fontId="12" fillId="0" borderId="0" xfId="0" applyFont="1" applyBorder="1"/>
    <xf numFmtId="2" fontId="15" fillId="0" borderId="0" xfId="0" applyNumberFormat="1" applyFont="1" applyBorder="1"/>
    <xf numFmtId="0" fontId="12" fillId="5" borderId="0" xfId="0" applyFont="1" applyFill="1"/>
    <xf numFmtId="0" fontId="15" fillId="0" borderId="0" xfId="0" applyFont="1" applyAlignment="1">
      <alignment horizontal="right"/>
    </xf>
    <xf numFmtId="167" fontId="12" fillId="4" borderId="0" xfId="0" applyNumberFormat="1" applyFont="1" applyFill="1" applyAlignment="1">
      <alignment horizontal="center"/>
    </xf>
    <xf numFmtId="0" fontId="22" fillId="12" borderId="0" xfId="0" applyFont="1" applyFill="1" applyAlignment="1">
      <alignment vertical="center"/>
    </xf>
    <xf numFmtId="0" fontId="23" fillId="12" borderId="0" xfId="0" applyFont="1" applyFill="1" applyAlignment="1">
      <alignment vertical="center"/>
    </xf>
    <xf numFmtId="0" fontId="24" fillId="12" borderId="0" xfId="0" applyFont="1" applyFill="1"/>
    <xf numFmtId="0" fontId="21" fillId="6" borderId="2" xfId="0" applyFont="1" applyFill="1" applyBorder="1" applyAlignment="1">
      <alignment horizontal="right" wrapText="1"/>
    </xf>
    <xf numFmtId="0" fontId="15" fillId="6" borderId="2" xfId="0" applyFont="1" applyFill="1" applyBorder="1" applyAlignment="1">
      <alignment wrapText="1"/>
    </xf>
    <xf numFmtId="0" fontId="16" fillId="6" borderId="2" xfId="0" applyFont="1" applyFill="1" applyBorder="1" applyAlignment="1">
      <alignment horizontal="center" wrapText="1"/>
    </xf>
    <xf numFmtId="0" fontId="12" fillId="0" borderId="3" xfId="0" applyFont="1" applyBorder="1"/>
    <xf numFmtId="3" fontId="12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3" xfId="0" applyNumberFormat="1" applyFont="1" applyBorder="1" applyAlignment="1">
      <alignment horizontal="center"/>
    </xf>
    <xf numFmtId="0" fontId="15" fillId="3" borderId="3" xfId="0" applyFont="1" applyFill="1" applyBorder="1" applyAlignment="1">
      <alignment horizontal="left"/>
    </xf>
    <xf numFmtId="164" fontId="15" fillId="3" borderId="3" xfId="0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3" fontId="12" fillId="0" borderId="2" xfId="0" applyNumberFormat="1" applyFont="1" applyBorder="1" applyAlignment="1">
      <alignment horizontal="center"/>
    </xf>
    <xf numFmtId="0" fontId="15" fillId="3" borderId="2" xfId="0" applyFont="1" applyFill="1" applyBorder="1"/>
    <xf numFmtId="3" fontId="15" fillId="3" borderId="2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5" fillId="0" borderId="2" xfId="0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right" vertical="center"/>
    </xf>
    <xf numFmtId="165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9" fillId="8" borderId="2" xfId="0" applyFont="1" applyFill="1" applyBorder="1" applyAlignment="1">
      <alignment vertical="center"/>
    </xf>
    <xf numFmtId="0" fontId="9" fillId="8" borderId="2" xfId="0" applyFont="1" applyFill="1" applyBorder="1" applyAlignment="1">
      <alignment horizontal="right" vertical="center"/>
    </xf>
    <xf numFmtId="165" fontId="9" fillId="8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2" xfId="0" applyFont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27" fillId="0" borderId="0" xfId="0" applyFont="1"/>
    <xf numFmtId="0" fontId="27" fillId="0" borderId="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66" fontId="12" fillId="0" borderId="12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66" fontId="12" fillId="0" borderId="4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167" fontId="12" fillId="0" borderId="4" xfId="2" applyNumberFormat="1" applyFont="1" applyFill="1" applyBorder="1" applyAlignment="1">
      <alignment horizontal="center"/>
    </xf>
    <xf numFmtId="0" fontId="15" fillId="3" borderId="0" xfId="0" applyFont="1" applyFill="1"/>
    <xf numFmtId="0" fontId="12" fillId="3" borderId="0" xfId="0" applyFont="1" applyFill="1"/>
    <xf numFmtId="0" fontId="15" fillId="0" borderId="3" xfId="0" applyFont="1" applyBorder="1"/>
    <xf numFmtId="0" fontId="9" fillId="0" borderId="3" xfId="0" applyFont="1" applyBorder="1"/>
    <xf numFmtId="3" fontId="15" fillId="0" borderId="3" xfId="0" applyNumberFormat="1" applyFont="1" applyBorder="1"/>
    <xf numFmtId="164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/>
    <xf numFmtId="3" fontId="12" fillId="0" borderId="3" xfId="0" applyNumberFormat="1" applyFont="1" applyBorder="1"/>
    <xf numFmtId="164" fontId="12" fillId="0" borderId="3" xfId="0" applyNumberFormat="1" applyFont="1" applyBorder="1"/>
    <xf numFmtId="0" fontId="21" fillId="3" borderId="0" xfId="0" applyFont="1" applyFill="1"/>
    <xf numFmtId="0" fontId="12" fillId="3" borderId="0" xfId="0" applyFont="1" applyFill="1" applyAlignment="1">
      <alignment horizontal="center"/>
    </xf>
    <xf numFmtId="3" fontId="9" fillId="0" borderId="3" xfId="0" applyNumberFormat="1" applyFont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0" fontId="21" fillId="0" borderId="3" xfId="0" applyFont="1" applyBorder="1"/>
    <xf numFmtId="3" fontId="21" fillId="0" borderId="3" xfId="0" applyNumberFormat="1" applyFont="1" applyBorder="1" applyAlignment="1">
      <alignment horizontal="center"/>
    </xf>
    <xf numFmtId="164" fontId="21" fillId="0" borderId="3" xfId="0" applyNumberFormat="1" applyFont="1" applyBorder="1"/>
    <xf numFmtId="0" fontId="9" fillId="0" borderId="3" xfId="0" applyFont="1" applyBorder="1" applyAlignment="1">
      <alignment horizontal="left" indent="3"/>
    </xf>
    <xf numFmtId="4" fontId="12" fillId="0" borderId="3" xfId="0" applyNumberFormat="1" applyFont="1" applyBorder="1" applyAlignment="1">
      <alignment horizontal="center"/>
    </xf>
    <xf numFmtId="4" fontId="12" fillId="0" borderId="3" xfId="0" applyNumberFormat="1" applyFont="1" applyBorder="1"/>
    <xf numFmtId="0" fontId="9" fillId="0" borderId="0" xfId="0" applyFont="1" applyBorder="1"/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/>
    </xf>
    <xf numFmtId="0" fontId="12" fillId="0" borderId="6" xfId="0" applyFont="1" applyBorder="1"/>
    <xf numFmtId="0" fontId="15" fillId="7" borderId="0" xfId="0" applyFont="1" applyFill="1" applyAlignment="1">
      <alignment horizontal="left" vertical="top" wrapText="1"/>
    </xf>
    <xf numFmtId="0" fontId="15" fillId="7" borderId="0" xfId="0" applyFont="1" applyFill="1" applyAlignment="1">
      <alignment horizontal="left" vertical="top" wrapText="1" indent="2"/>
    </xf>
    <xf numFmtId="0" fontId="15" fillId="7" borderId="0" xfId="0" applyFont="1" applyFill="1"/>
    <xf numFmtId="0" fontId="15" fillId="8" borderId="0" xfId="0" applyFont="1" applyFill="1" applyAlignment="1">
      <alignment horizontal="left" vertical="top" wrapText="1"/>
    </xf>
    <xf numFmtId="0" fontId="12" fillId="8" borderId="0" xfId="0" applyFont="1" applyFill="1" applyAlignment="1">
      <alignment horizontal="left" vertical="top" wrapText="1" indent="2"/>
    </xf>
    <xf numFmtId="0" fontId="12" fillId="8" borderId="0" xfId="0" applyFont="1" applyFill="1"/>
    <xf numFmtId="2" fontId="12" fillId="0" borderId="0" xfId="0" applyNumberFormat="1" applyFont="1"/>
    <xf numFmtId="164" fontId="12" fillId="3" borderId="0" xfId="2" applyNumberFormat="1" applyFont="1" applyFill="1" applyAlignment="1"/>
    <xf numFmtId="165" fontId="12" fillId="0" borderId="0" xfId="0" applyNumberFormat="1" applyFont="1"/>
    <xf numFmtId="0" fontId="9" fillId="0" borderId="0" xfId="0" applyFont="1" applyAlignment="1">
      <alignment horizontal="left" indent="3"/>
    </xf>
    <xf numFmtId="167" fontId="9" fillId="0" borderId="0" xfId="2" applyNumberFormat="1" applyFont="1" applyAlignment="1"/>
    <xf numFmtId="167" fontId="9" fillId="9" borderId="0" xfId="2" applyNumberFormat="1" applyFont="1" applyFill="1" applyAlignment="1"/>
    <xf numFmtId="167" fontId="9" fillId="3" borderId="0" xfId="2" applyNumberFormat="1" applyFont="1" applyFill="1" applyAlignment="1"/>
    <xf numFmtId="0" fontId="12" fillId="0" borderId="0" xfId="0" applyFont="1" applyAlignment="1">
      <alignment horizontal="left" indent="2"/>
    </xf>
    <xf numFmtId="4" fontId="12" fillId="3" borderId="0" xfId="2" applyNumberFormat="1" applyFont="1" applyFill="1" applyAlignment="1"/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indent="2"/>
    </xf>
    <xf numFmtId="0" fontId="28" fillId="0" borderId="0" xfId="0" applyFont="1"/>
    <xf numFmtId="0" fontId="12" fillId="0" borderId="0" xfId="0" applyFont="1" applyAlignment="1">
      <alignment horizontal="left" indent="1"/>
    </xf>
    <xf numFmtId="164" fontId="15" fillId="3" borderId="0" xfId="2" applyNumberFormat="1" applyFont="1" applyFill="1" applyAlignment="1"/>
    <xf numFmtId="165" fontId="15" fillId="0" borderId="0" xfId="0" applyNumberFormat="1" applyFont="1"/>
    <xf numFmtId="0" fontId="29" fillId="0" borderId="0" xfId="4" applyFont="1"/>
    <xf numFmtId="169" fontId="12" fillId="0" borderId="0" xfId="1" applyNumberFormat="1" applyFont="1"/>
    <xf numFmtId="9" fontId="12" fillId="0" borderId="0" xfId="0" applyNumberFormat="1" applyFont="1"/>
    <xf numFmtId="170" fontId="15" fillId="0" borderId="0" xfId="1" applyNumberFormat="1" applyFont="1"/>
    <xf numFmtId="0" fontId="15" fillId="0" borderId="2" xfId="0" applyFont="1" applyBorder="1" applyAlignment="1">
      <alignment horizontal="center"/>
    </xf>
    <xf numFmtId="0" fontId="15" fillId="11" borderId="2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Border="1"/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indent="2"/>
    </xf>
    <xf numFmtId="2" fontId="12" fillId="0" borderId="0" xfId="0" applyNumberFormat="1" applyFont="1" applyAlignment="1">
      <alignment horizontal="center"/>
    </xf>
    <xf numFmtId="9" fontId="12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 vertical="center"/>
    </xf>
    <xf numFmtId="0" fontId="11" fillId="0" borderId="9" xfId="5" applyFont="1" applyAlignment="1">
      <alignment horizontal="left" indent="1"/>
    </xf>
    <xf numFmtId="171" fontId="17" fillId="0" borderId="2" xfId="3" applyNumberFormat="1" applyFont="1" applyFill="1" applyBorder="1" applyAlignment="1">
      <alignment horizontal="center"/>
    </xf>
    <xf numFmtId="3" fontId="12" fillId="13" borderId="3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9" fillId="0" borderId="2" xfId="0" applyFont="1" applyBorder="1" applyAlignment="1">
      <alignment horizontal="left" indent="2"/>
    </xf>
    <xf numFmtId="172" fontId="12" fillId="0" borderId="2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2" fontId="9" fillId="0" borderId="0" xfId="0" applyNumberFormat="1" applyFont="1"/>
    <xf numFmtId="165" fontId="21" fillId="0" borderId="0" xfId="0" applyNumberFormat="1" applyFont="1"/>
    <xf numFmtId="3" fontId="15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/>
    <xf numFmtId="3" fontId="21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 applyAlignment="1">
      <alignment horizontal="left" indent="3"/>
    </xf>
    <xf numFmtId="166" fontId="15" fillId="0" borderId="2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164" fontId="12" fillId="0" borderId="14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164" fontId="15" fillId="0" borderId="2" xfId="0" applyNumberFormat="1" applyFont="1" applyBorder="1" applyAlignment="1">
      <alignment horizontal="center"/>
    </xf>
    <xf numFmtId="0" fontId="31" fillId="0" borderId="3" xfId="0" applyFont="1" applyBorder="1"/>
    <xf numFmtId="164" fontId="31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 indent="1"/>
    </xf>
    <xf numFmtId="172" fontId="15" fillId="0" borderId="2" xfId="0" applyNumberFormat="1" applyFont="1" applyBorder="1" applyAlignment="1">
      <alignment horizontal="center"/>
    </xf>
    <xf numFmtId="0" fontId="9" fillId="6" borderId="2" xfId="0" applyFont="1" applyFill="1" applyBorder="1" applyAlignment="1">
      <alignment horizontal="right" wrapText="1"/>
    </xf>
    <xf numFmtId="172" fontId="19" fillId="0" borderId="2" xfId="1" applyNumberFormat="1" applyFont="1" applyFill="1" applyBorder="1" applyAlignment="1">
      <alignment horizontal="center"/>
    </xf>
    <xf numFmtId="3" fontId="19" fillId="4" borderId="2" xfId="3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9" fontId="12" fillId="4" borderId="2" xfId="0" applyNumberFormat="1" applyFont="1" applyFill="1" applyBorder="1" applyAlignment="1">
      <alignment horizontal="center"/>
    </xf>
    <xf numFmtId="3" fontId="12" fillId="4" borderId="2" xfId="0" applyNumberFormat="1" applyFont="1" applyFill="1" applyBorder="1" applyAlignment="1">
      <alignment horizontal="center"/>
    </xf>
    <xf numFmtId="0" fontId="12" fillId="0" borderId="15" xfId="0" applyFont="1" applyBorder="1"/>
    <xf numFmtId="165" fontId="12" fillId="4" borderId="2" xfId="0" applyNumberFormat="1" applyFon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9" fontId="12" fillId="4" borderId="2" xfId="2" applyFont="1" applyFill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2" fillId="0" borderId="8" xfId="0" applyFont="1" applyBorder="1"/>
    <xf numFmtId="0" fontId="15" fillId="0" borderId="8" xfId="0" applyFont="1" applyBorder="1"/>
    <xf numFmtId="165" fontId="15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5" fillId="0" borderId="0" xfId="4"/>
    <xf numFmtId="1" fontId="15" fillId="14" borderId="0" xfId="0" applyNumberFormat="1" applyFont="1" applyFill="1"/>
    <xf numFmtId="1" fontId="12" fillId="14" borderId="0" xfId="0" applyNumberFormat="1" applyFont="1" applyFill="1"/>
    <xf numFmtId="1" fontId="12" fillId="14" borderId="0" xfId="2" applyNumberFormat="1" applyFont="1" applyFill="1"/>
    <xf numFmtId="165" fontId="12" fillId="0" borderId="0" xfId="0" applyNumberFormat="1" applyFont="1" applyAlignment="1">
      <alignment horizontal="center"/>
    </xf>
    <xf numFmtId="3" fontId="17" fillId="11" borderId="2" xfId="3" applyNumberFormat="1" applyFont="1" applyFill="1" applyBorder="1" applyAlignment="1">
      <alignment horizontal="center"/>
    </xf>
    <xf numFmtId="167" fontId="9" fillId="11" borderId="0" xfId="2" applyNumberFormat="1" applyFont="1" applyFill="1" applyAlignment="1"/>
    <xf numFmtId="1" fontId="12" fillId="0" borderId="3" xfId="0" applyNumberFormat="1" applyFont="1" applyBorder="1" applyAlignment="1">
      <alignment horizontal="center"/>
    </xf>
    <xf numFmtId="0" fontId="15" fillId="6" borderId="10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 wrapText="1"/>
    </xf>
    <xf numFmtId="164" fontId="17" fillId="11" borderId="0" xfId="3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72" fontId="19" fillId="15" borderId="2" xfId="1" applyNumberFormat="1" applyFont="1" applyFill="1" applyBorder="1" applyAlignment="1">
      <alignment horizontal="center"/>
    </xf>
    <xf numFmtId="171" fontId="19" fillId="15" borderId="2" xfId="1" applyNumberFormat="1" applyFont="1" applyFill="1" applyBorder="1" applyAlignment="1">
      <alignment horizontal="center"/>
    </xf>
    <xf numFmtId="172" fontId="15" fillId="15" borderId="2" xfId="0" applyNumberFormat="1" applyFont="1" applyFill="1" applyBorder="1" applyAlignment="1">
      <alignment horizontal="center"/>
    </xf>
    <xf numFmtId="167" fontId="17" fillId="4" borderId="15" xfId="2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172" fontId="17" fillId="0" borderId="2" xfId="0" applyNumberFormat="1" applyFont="1" applyBorder="1" applyAlignment="1">
      <alignment horizontal="center" vertical="center"/>
    </xf>
    <xf numFmtId="172" fontId="19" fillId="0" borderId="2" xfId="0" applyNumberFormat="1" applyFont="1" applyBorder="1" applyAlignment="1">
      <alignment horizontal="center" vertical="center"/>
    </xf>
    <xf numFmtId="0" fontId="25" fillId="15" borderId="2" xfId="0" applyFont="1" applyFill="1" applyBorder="1" applyAlignment="1">
      <alignment horizontal="left" vertical="center"/>
    </xf>
    <xf numFmtId="172" fontId="19" fillId="15" borderId="2" xfId="0" applyNumberFormat="1" applyFont="1" applyFill="1" applyBorder="1" applyAlignment="1">
      <alignment horizontal="center" vertical="center"/>
    </xf>
  </cellXfs>
  <cellStyles count="6">
    <cellStyle name="Comma" xfId="1" builtinId="3"/>
    <cellStyle name="Heading 1" xfId="5" builtinId="16" customBuiltin="1"/>
    <cellStyle name="Hyperlink" xfId="4" builtinId="8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MUDEL!$K$116</c:f>
              <c:strCache>
                <c:ptCount val="1"/>
                <c:pt idx="0">
                  <c:v>Kodumajapidamiste ostujõu muutus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MUDEL!$L$116:$M$116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MUDEL!$L$115:$M$115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D57-42BD-858C-EA9726EA4E3C}"/>
            </c:ext>
          </c:extLst>
        </c:ser>
        <c:ser>
          <c:idx val="1"/>
          <c:order val="1"/>
          <c:tx>
            <c:strRef>
              <c:f>MUDEL!$K$117</c:f>
              <c:strCache>
                <c:ptCount val="1"/>
                <c:pt idx="0">
                  <c:v>Ettevõtete kulud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MUDEL!$L$117:$M$117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MUDEL!$L$115:$M$115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D57-42BD-858C-EA9726EA4E3C}"/>
            </c:ext>
          </c:extLst>
        </c:ser>
        <c:ser>
          <c:idx val="2"/>
          <c:order val="2"/>
          <c:tx>
            <c:strRef>
              <c:f>MUDEL!$K$118</c:f>
              <c:strCache>
                <c:ptCount val="1"/>
                <c:pt idx="0">
                  <c:v>Avalik sektor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MUDEL!$L$118:$M$118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MUDEL!$L$115:$M$115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8D57-42BD-858C-EA9726EA4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8811503"/>
        <c:axId val="578799023"/>
      </c:barChart>
      <c:catAx>
        <c:axId val="578811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78799023"/>
        <c:crosses val="autoZero"/>
        <c:auto val="1"/>
        <c:lblAlgn val="ctr"/>
        <c:lblOffset val="100"/>
        <c:noMultiLvlLbl val="0"/>
      </c:catAx>
      <c:valAx>
        <c:axId val="578799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78811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MUDEL!$B$284:$C$284</c:f>
              <c:strCache>
                <c:ptCount val="2"/>
                <c:pt idx="0">
                  <c:v>Vajalik müügihind või omahind (= LCOE)</c:v>
                </c:pt>
                <c:pt idx="1">
                  <c:v>EUR/MWh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MUDEL!$D$284:$H$284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MUDEL!$D$283:$H$283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1D8-4D95-A6B0-5AE0F097224B}"/>
            </c:ext>
          </c:extLst>
        </c:ser>
        <c:ser>
          <c:idx val="1"/>
          <c:order val="1"/>
          <c:tx>
            <c:strRef>
              <c:f>MUDEL!$B$285:$C$285</c:f>
              <c:strCache>
                <c:ptCount val="2"/>
                <c:pt idx="0">
                  <c:v>Tegelik/võimalik müügihind (turuhind)</c:v>
                </c:pt>
                <c:pt idx="1">
                  <c:v>EUR/MWh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MUDEL!$D$285:$H$285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MUDEL!$D$283:$H$283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1D8-4D95-A6B0-5AE0F097224B}"/>
            </c:ext>
          </c:extLst>
        </c:ser>
        <c:ser>
          <c:idx val="2"/>
          <c:order val="2"/>
          <c:tx>
            <c:strRef>
              <c:f>MUDEL!$B$286:$C$286</c:f>
              <c:strCache>
                <c:ptCount val="2"/>
                <c:pt idx="0">
                  <c:v>VAHE</c:v>
                </c:pt>
                <c:pt idx="1">
                  <c:v>EUR/MWh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MUDEL!$D$286:$H$286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MUDEL!$D$283:$H$283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91D8-4D95-A6B0-5AE0F0972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1861087"/>
        <c:axId val="1541859423"/>
      </c:barChart>
      <c:catAx>
        <c:axId val="15418610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41859423"/>
        <c:crosses val="autoZero"/>
        <c:auto val="1"/>
        <c:lblAlgn val="ctr"/>
        <c:lblOffset val="100"/>
        <c:noMultiLvlLbl val="0"/>
      </c:catAx>
      <c:valAx>
        <c:axId val="1541859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41861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MUDEL!$B$291:$C$291</c:f>
              <c:strCache>
                <c:ptCount val="2"/>
                <c:pt idx="0">
                  <c:v>sh salvestuse tootmisprotsessis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MUDEL!$D$291:$I$291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MUDEL!$D$290:$I$290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EA3-4F63-BF16-0397E5DD1718}"/>
            </c:ext>
          </c:extLst>
        </c:ser>
        <c:ser>
          <c:idx val="1"/>
          <c:order val="1"/>
          <c:tx>
            <c:strRef>
              <c:f>MUDEL!$B$292:$C$292</c:f>
              <c:strCache>
                <c:ptCount val="2"/>
                <c:pt idx="0">
                  <c:v>sh fossiilenergia tootmises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MUDEL!$D$292:$I$292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MUDEL!$D$290:$I$290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EA3-4F63-BF16-0397E5DD1718}"/>
            </c:ext>
          </c:extLst>
        </c:ser>
        <c:ser>
          <c:idx val="2"/>
          <c:order val="2"/>
          <c:tx>
            <c:strRef>
              <c:f>MUDEL!$B$293:$C$293</c:f>
              <c:strCache>
                <c:ptCount val="2"/>
                <c:pt idx="0">
                  <c:v>Kokku töökohtade arvu muutus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MUDEL!$D$293:$I$293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MUDEL!$D$290:$I$290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EA3-4F63-BF16-0397E5DD1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3387583"/>
        <c:axId val="1063396319"/>
      </c:barChart>
      <c:catAx>
        <c:axId val="1063387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63396319"/>
        <c:crosses val="autoZero"/>
        <c:auto val="1"/>
        <c:lblAlgn val="ctr"/>
        <c:lblOffset val="100"/>
        <c:noMultiLvlLbl val="0"/>
      </c:catAx>
      <c:valAx>
        <c:axId val="1063396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töökohta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6338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MUDEL!$D$295:$I$295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MUDEL!$D$290:$I$290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C17-478D-9208-54A1A0AC34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33380432"/>
        <c:axId val="1233383760"/>
      </c:barChart>
      <c:catAx>
        <c:axId val="123338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33383760"/>
        <c:crosses val="autoZero"/>
        <c:auto val="1"/>
        <c:lblAlgn val="ctr"/>
        <c:lblOffset val="100"/>
        <c:noMultiLvlLbl val="0"/>
      </c:catAx>
      <c:valAx>
        <c:axId val="12333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3338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Magaasi kasutamisel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MUDEL!$D$370:$I$370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MUDEL!$D$364:$I$364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138-4C69-A5D4-3975FA1889DC}"/>
            </c:ext>
          </c:extLst>
        </c:ser>
        <c:ser>
          <c:idx val="1"/>
          <c:order val="1"/>
          <c:tx>
            <c:v>Põlevkivi/-õli kasutamisel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MUDEL!$D$371:$I$371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MUDEL!$D$364:$I$364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138-4C69-A5D4-3975FA188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2503376"/>
        <c:axId val="1552504624"/>
      </c:barChart>
      <c:catAx>
        <c:axId val="1552503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52504624"/>
        <c:crosses val="autoZero"/>
        <c:auto val="1"/>
        <c:lblAlgn val="ctr"/>
        <c:lblOffset val="100"/>
        <c:noMultiLvlLbl val="0"/>
      </c:catAx>
      <c:valAx>
        <c:axId val="155250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tuh t CO2ekv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5250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MUDEL!$M$133</c:f>
              <c:strCache>
                <c:ptCount val="1"/>
                <c:pt idx="0">
                  <c:v>Vajalik müügihind (LCOE)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MUDEL!$M$137:$M$143</c:f>
            </c:numRef>
          </c:val>
          <c:smooth val="0"/>
          <c:extLst>
            <c:ext xmlns:c16="http://schemas.microsoft.com/office/drawing/2014/chart" uri="{C3380CC4-5D6E-409C-BE32-E72D297353CC}">
              <c16:uniqueId val="{00000000-179F-4D4E-8D30-6D6D81AFE3B3}"/>
            </c:ext>
          </c:extLst>
        </c:ser>
        <c:ser>
          <c:idx val="1"/>
          <c:order val="1"/>
          <c:tx>
            <c:strRef>
              <c:f>MUDEL!$N$133</c:f>
              <c:strCache>
                <c:ptCount val="1"/>
                <c:pt idx="0">
                  <c:v>Ostuhind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MUDEL!$N$137:$N$143</c:f>
            </c:numRef>
          </c:val>
          <c:smooth val="0"/>
          <c:extLst>
            <c:ext xmlns:c16="http://schemas.microsoft.com/office/drawing/2014/chart" uri="{C3380CC4-5D6E-409C-BE32-E72D297353CC}">
              <c16:uniqueId val="{00000001-179F-4D4E-8D30-6D6D81AF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054943"/>
        <c:axId val="1254053695"/>
      </c:lineChart>
      <c:catAx>
        <c:axId val="1254054943"/>
        <c:scaling>
          <c:orientation val="minMax"/>
        </c:scaling>
        <c:delete val="1"/>
        <c:axPos val="b"/>
        <c:majorTickMark val="none"/>
        <c:minorTickMark val="none"/>
        <c:tickLblPos val="nextTo"/>
        <c:crossAx val="1254053695"/>
        <c:crosses val="autoZero"/>
        <c:auto val="1"/>
        <c:lblAlgn val="ctr"/>
        <c:lblOffset val="100"/>
        <c:noMultiLvlLbl val="0"/>
      </c:catAx>
      <c:valAx>
        <c:axId val="125405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€/MWh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t-E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t-EE"/>
          </a:p>
        </c:txPr>
        <c:crossAx val="12540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MUDEL!$C$133</c:f>
              <c:strCache>
                <c:ptCount val="1"/>
                <c:pt idx="0">
                  <c:v>Vajalik müügihind (LCOE)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MUDEL!$C$137:$C$143</c:f>
            </c:numRef>
          </c:val>
          <c:smooth val="0"/>
          <c:extLst>
            <c:ext xmlns:c16="http://schemas.microsoft.com/office/drawing/2014/chart" uri="{C3380CC4-5D6E-409C-BE32-E72D297353CC}">
              <c16:uniqueId val="{00000000-3269-47D0-BB6D-405651CDA026}"/>
            </c:ext>
          </c:extLst>
        </c:ser>
        <c:ser>
          <c:idx val="1"/>
          <c:order val="1"/>
          <c:tx>
            <c:strRef>
              <c:f>MUDEL!$D$133</c:f>
              <c:strCache>
                <c:ptCount val="1"/>
                <c:pt idx="0">
                  <c:v>Ostuhind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MUDEL!$D$137:$D$143</c:f>
            </c:numRef>
          </c:val>
          <c:smooth val="0"/>
          <c:extLst>
            <c:ext xmlns:c16="http://schemas.microsoft.com/office/drawing/2014/chart" uri="{C3380CC4-5D6E-409C-BE32-E72D297353CC}">
              <c16:uniqueId val="{00000001-3269-47D0-BB6D-405651CDA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054943"/>
        <c:axId val="1254053695"/>
      </c:lineChart>
      <c:catAx>
        <c:axId val="1254054943"/>
        <c:scaling>
          <c:orientation val="minMax"/>
        </c:scaling>
        <c:delete val="1"/>
        <c:axPos val="b"/>
        <c:majorTickMark val="none"/>
        <c:minorTickMark val="none"/>
        <c:tickLblPos val="nextTo"/>
        <c:crossAx val="1254053695"/>
        <c:crosses val="autoZero"/>
        <c:auto val="1"/>
        <c:lblAlgn val="ctr"/>
        <c:lblOffset val="100"/>
        <c:noMultiLvlLbl val="0"/>
      </c:catAx>
      <c:valAx>
        <c:axId val="125405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€/MWh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t-E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t-EE"/>
          </a:p>
        </c:txPr>
        <c:crossAx val="12540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MUDEL!$H$133</c:f>
              <c:strCache>
                <c:ptCount val="1"/>
                <c:pt idx="0">
                  <c:v>Vajalik müügihind (LCOE)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MUDEL!$H$137:$H$143</c:f>
            </c:numRef>
          </c:val>
          <c:smooth val="0"/>
          <c:extLst>
            <c:ext xmlns:c16="http://schemas.microsoft.com/office/drawing/2014/chart" uri="{C3380CC4-5D6E-409C-BE32-E72D297353CC}">
              <c16:uniqueId val="{00000000-7D8A-4509-920C-4E60CBA2EAE5}"/>
            </c:ext>
          </c:extLst>
        </c:ser>
        <c:ser>
          <c:idx val="1"/>
          <c:order val="1"/>
          <c:tx>
            <c:strRef>
              <c:f>MUDEL!$I$133</c:f>
              <c:strCache>
                <c:ptCount val="1"/>
                <c:pt idx="0">
                  <c:v>Ostuhind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MUDEL!$I$137:$I$143</c:f>
            </c:numRef>
          </c:val>
          <c:smooth val="0"/>
          <c:extLst>
            <c:ext xmlns:c16="http://schemas.microsoft.com/office/drawing/2014/chart" uri="{C3380CC4-5D6E-409C-BE32-E72D297353CC}">
              <c16:uniqueId val="{00000001-7D8A-4509-920C-4E60CBA2E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054943"/>
        <c:axId val="1254053695"/>
      </c:lineChart>
      <c:catAx>
        <c:axId val="1254054943"/>
        <c:scaling>
          <c:orientation val="minMax"/>
        </c:scaling>
        <c:delete val="1"/>
        <c:axPos val="b"/>
        <c:majorTickMark val="none"/>
        <c:minorTickMark val="none"/>
        <c:tickLblPos val="nextTo"/>
        <c:crossAx val="1254053695"/>
        <c:crosses val="autoZero"/>
        <c:auto val="1"/>
        <c:lblAlgn val="ctr"/>
        <c:lblOffset val="100"/>
        <c:noMultiLvlLbl val="0"/>
      </c:catAx>
      <c:valAx>
        <c:axId val="125405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€/MWh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t-E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t-EE"/>
          </a:p>
        </c:txPr>
        <c:crossAx val="12540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90487</xdr:colOff>
      <xdr:row>113</xdr:row>
      <xdr:rowOff>138112</xdr:rowOff>
    </xdr:from>
    <xdr:to>
      <xdr:col>14</xdr:col>
      <xdr:colOff>71437</xdr:colOff>
      <xdr:row>128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1B614F-7B52-3967-13EE-73DEDE17DF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80962</xdr:colOff>
      <xdr:row>269</xdr:row>
      <xdr:rowOff>138112</xdr:rowOff>
    </xdr:from>
    <xdr:to>
      <xdr:col>15</xdr:col>
      <xdr:colOff>147637</xdr:colOff>
      <xdr:row>284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DBC6E1-2F10-5CF4-C383-AAFDA6369C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233362</xdr:colOff>
      <xdr:row>281</xdr:row>
      <xdr:rowOff>42862</xdr:rowOff>
    </xdr:from>
    <xdr:to>
      <xdr:col>15</xdr:col>
      <xdr:colOff>300037</xdr:colOff>
      <xdr:row>295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20A737-9469-A0A6-6657-4A2B1BB3D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523874</xdr:colOff>
      <xdr:row>282</xdr:row>
      <xdr:rowOff>195262</xdr:rowOff>
    </xdr:from>
    <xdr:to>
      <xdr:col>23</xdr:col>
      <xdr:colOff>128586</xdr:colOff>
      <xdr:row>297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39AFE7-497D-8B85-43E0-8C79FB959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471487</xdr:colOff>
      <xdr:row>363</xdr:row>
      <xdr:rowOff>4762</xdr:rowOff>
    </xdr:from>
    <xdr:to>
      <xdr:col>14</xdr:col>
      <xdr:colOff>452437</xdr:colOff>
      <xdr:row>377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99A326F-C732-475D-18A1-0B3E57302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1</xdr:colOff>
      <xdr:row>130</xdr:row>
      <xdr:rowOff>28575</xdr:rowOff>
    </xdr:from>
    <xdr:to>
      <xdr:col>34</xdr:col>
      <xdr:colOff>247651</xdr:colOff>
      <xdr:row>143</xdr:row>
      <xdr:rowOff>71438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2578F86-D6DA-4CF6-B40D-B69ECF16E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</xdr:colOff>
      <xdr:row>130</xdr:row>
      <xdr:rowOff>0</xdr:rowOff>
    </xdr:from>
    <xdr:to>
      <xdr:col>21</xdr:col>
      <xdr:colOff>552451</xdr:colOff>
      <xdr:row>143</xdr:row>
      <xdr:rowOff>42863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5D60CD7-FFFA-465F-8996-68BB0E65E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28575</xdr:colOff>
      <xdr:row>130</xdr:row>
      <xdr:rowOff>38100</xdr:rowOff>
    </xdr:from>
    <xdr:to>
      <xdr:col>28</xdr:col>
      <xdr:colOff>0</xdr:colOff>
      <xdr:row>143</xdr:row>
      <xdr:rowOff>80963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CB320DD-8791-45EF-91D0-0E84FDA01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iigiteataja.ee/aktilisa/1291/2201/6063/KKM_m86_lisa2.pdf" TargetMode="External"/><Relationship Id="rId1" Type="http://schemas.openxmlformats.org/officeDocument/2006/relationships/hyperlink" Target="https://energiasalv.ee/projec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FD0B-97D2-412A-AFAA-C81434944ED7}">
  <dimension ref="A1:BA388"/>
  <sheetViews>
    <sheetView showGridLines="0" tabSelected="1" workbookViewId="0">
      <selection activeCell="B394" sqref="B394"/>
    </sheetView>
  </sheetViews>
  <sheetFormatPr defaultRowHeight="12.75" outlineLevelRow="3" x14ac:dyDescent="0.2"/>
  <cols>
    <col min="1" max="1" width="4.7109375" style="7" customWidth="1"/>
    <col min="2" max="2" width="48.42578125" style="7" customWidth="1"/>
    <col min="3" max="3" width="17.5703125" style="7" customWidth="1"/>
    <col min="4" max="4" width="14.28515625" style="7" customWidth="1"/>
    <col min="5" max="5" width="14.7109375" style="7" customWidth="1"/>
    <col min="6" max="6" width="13.7109375" style="7" customWidth="1"/>
    <col min="7" max="7" width="13.85546875" style="7" customWidth="1"/>
    <col min="8" max="8" width="13.5703125" style="7" customWidth="1"/>
    <col min="9" max="10" width="13.85546875" style="7" customWidth="1"/>
    <col min="11" max="11" width="13.140625" style="7" customWidth="1"/>
    <col min="12" max="12" width="14.7109375" style="7" customWidth="1"/>
    <col min="13" max="13" width="12.28515625" style="7" customWidth="1"/>
    <col min="14" max="14" width="14.85546875" style="7" customWidth="1"/>
    <col min="15" max="15" width="12.5703125" style="7" customWidth="1"/>
    <col min="16" max="16" width="10.42578125" style="7" customWidth="1"/>
    <col min="17" max="16384" width="9.140625" style="7"/>
  </cols>
  <sheetData>
    <row r="1" spans="1:18" ht="25.5" customHeight="1" thickBot="1" x14ac:dyDescent="0.25">
      <c r="A1" s="191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 ht="13.5" thickTop="1" x14ac:dyDescent="0.2"/>
    <row r="3" spans="1:18" x14ac:dyDescent="0.2">
      <c r="A3" s="8" t="s">
        <v>122</v>
      </c>
      <c r="B3" s="9" t="s">
        <v>123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8" ht="17.25" hidden="1" customHeight="1" outlineLevel="1" x14ac:dyDescent="0.2">
      <c r="A4" s="11"/>
      <c r="D4" s="197" t="s">
        <v>66</v>
      </c>
      <c r="K4" s="197" t="s">
        <v>67</v>
      </c>
    </row>
    <row r="5" spans="1:18" ht="51" hidden="1" outlineLevel="1" x14ac:dyDescent="0.2">
      <c r="A5" s="11"/>
      <c r="B5" s="13"/>
      <c r="C5" s="14"/>
      <c r="D5" s="13" t="s">
        <v>34</v>
      </c>
      <c r="E5" s="13" t="s">
        <v>59</v>
      </c>
      <c r="F5" s="13" t="s">
        <v>70</v>
      </c>
      <c r="G5" s="13" t="s">
        <v>69</v>
      </c>
      <c r="H5" s="13" t="s">
        <v>268</v>
      </c>
      <c r="I5" s="13" t="s">
        <v>94</v>
      </c>
      <c r="K5" s="13" t="s">
        <v>58</v>
      </c>
      <c r="L5" s="13" t="s">
        <v>63</v>
      </c>
      <c r="M5" s="13" t="s">
        <v>61</v>
      </c>
      <c r="N5" s="13" t="s">
        <v>91</v>
      </c>
      <c r="Q5" s="15" t="s">
        <v>64</v>
      </c>
      <c r="R5" s="12"/>
    </row>
    <row r="6" spans="1:18" hidden="1" outlineLevel="1" x14ac:dyDescent="0.2">
      <c r="A6" s="11"/>
      <c r="B6" s="16" t="s">
        <v>76</v>
      </c>
      <c r="C6" s="16" t="s">
        <v>14</v>
      </c>
      <c r="D6" s="17">
        <v>1250</v>
      </c>
      <c r="E6" s="17">
        <v>1600</v>
      </c>
      <c r="F6" s="17">
        <v>1000</v>
      </c>
      <c r="G6" s="17">
        <f>500/0.75</f>
        <v>666.66666666666663</v>
      </c>
      <c r="H6" s="17">
        <v>1500</v>
      </c>
      <c r="I6" s="17">
        <f>111</f>
        <v>111</v>
      </c>
      <c r="K6" s="17">
        <v>500</v>
      </c>
      <c r="L6" s="17">
        <v>1036</v>
      </c>
      <c r="M6" s="17">
        <f>1500*(1-Q6)</f>
        <v>1500</v>
      </c>
      <c r="N6" s="17">
        <v>50</v>
      </c>
      <c r="Q6" s="20">
        <v>0</v>
      </c>
    </row>
    <row r="7" spans="1:18" hidden="1" outlineLevel="1" x14ac:dyDescent="0.2">
      <c r="A7" s="11"/>
      <c r="B7" s="19" t="s">
        <v>78</v>
      </c>
      <c r="C7" s="16" t="s">
        <v>15</v>
      </c>
      <c r="D7" s="20">
        <v>0.5</v>
      </c>
      <c r="E7" s="20">
        <v>0.75</v>
      </c>
      <c r="F7" s="20">
        <v>0.85</v>
      </c>
      <c r="G7" s="20">
        <v>0.85</v>
      </c>
      <c r="H7" s="20">
        <v>0.85</v>
      </c>
      <c r="I7" s="20">
        <v>0.3</v>
      </c>
      <c r="K7" s="20">
        <v>0.75</v>
      </c>
      <c r="L7" s="20">
        <v>0.75</v>
      </c>
      <c r="M7" s="20">
        <v>0.75</v>
      </c>
      <c r="N7" s="20">
        <v>0.75</v>
      </c>
    </row>
    <row r="8" spans="1:18" hidden="1" outlineLevel="1" x14ac:dyDescent="0.2">
      <c r="A8" s="11"/>
      <c r="B8" s="19" t="s">
        <v>295</v>
      </c>
      <c r="C8" s="16" t="s">
        <v>15</v>
      </c>
      <c r="D8" s="20">
        <v>0.4</v>
      </c>
      <c r="E8" s="20">
        <v>0.2</v>
      </c>
      <c r="F8" s="20">
        <v>0.1</v>
      </c>
      <c r="G8" s="20">
        <v>0.1</v>
      </c>
      <c r="H8" s="20">
        <v>0.1</v>
      </c>
      <c r="I8" s="20">
        <v>0.65</v>
      </c>
      <c r="K8" s="20">
        <v>0.2</v>
      </c>
      <c r="L8" s="20">
        <v>0.2</v>
      </c>
      <c r="M8" s="20">
        <v>0.2</v>
      </c>
      <c r="N8" s="20">
        <v>0.2</v>
      </c>
    </row>
    <row r="9" spans="1:18" hidden="1" outlineLevel="1" x14ac:dyDescent="0.2">
      <c r="A9" s="11"/>
      <c r="B9" s="19" t="s">
        <v>79</v>
      </c>
      <c r="C9" s="16" t="s">
        <v>15</v>
      </c>
      <c r="D9" s="18">
        <f t="shared" ref="D9:I9" si="0">1-D8-D7</f>
        <v>9.9999999999999978E-2</v>
      </c>
      <c r="E9" s="18">
        <f t="shared" si="0"/>
        <v>5.0000000000000044E-2</v>
      </c>
      <c r="F9" s="18">
        <f t="shared" si="0"/>
        <v>5.0000000000000044E-2</v>
      </c>
      <c r="G9" s="18">
        <f t="shared" si="0"/>
        <v>5.0000000000000044E-2</v>
      </c>
      <c r="H9" s="18">
        <f>1-H8-H7</f>
        <v>5.0000000000000044E-2</v>
      </c>
      <c r="I9" s="18">
        <f t="shared" si="0"/>
        <v>4.9999999999999989E-2</v>
      </c>
      <c r="K9" s="18">
        <f>1-K8-K7</f>
        <v>5.0000000000000044E-2</v>
      </c>
      <c r="L9" s="18">
        <f>1-L8-L7</f>
        <v>5.0000000000000044E-2</v>
      </c>
      <c r="M9" s="18">
        <f>1-M8-M7</f>
        <v>5.0000000000000044E-2</v>
      </c>
      <c r="N9" s="18">
        <f>1-N8-N7</f>
        <v>5.0000000000000044E-2</v>
      </c>
    </row>
    <row r="10" spans="1:18" hidden="1" outlineLevel="1" x14ac:dyDescent="0.2">
      <c r="A10" s="11"/>
      <c r="B10" s="16" t="s">
        <v>72</v>
      </c>
      <c r="C10" s="21" t="s">
        <v>33</v>
      </c>
      <c r="D10" s="22">
        <f>13/4</f>
        <v>3.25</v>
      </c>
      <c r="E10" s="23"/>
      <c r="F10" s="23"/>
      <c r="G10" s="23"/>
      <c r="H10" s="23"/>
      <c r="I10" s="23"/>
      <c r="K10" s="23"/>
      <c r="L10" s="23"/>
      <c r="M10" s="23"/>
      <c r="N10" s="23"/>
    </row>
    <row r="11" spans="1:18" hidden="1" outlineLevel="1" x14ac:dyDescent="0.2">
      <c r="A11" s="11"/>
      <c r="B11" s="16" t="s">
        <v>116</v>
      </c>
      <c r="C11" s="21" t="s">
        <v>38</v>
      </c>
      <c r="D11" s="17">
        <v>7</v>
      </c>
      <c r="E11" s="17">
        <v>1</v>
      </c>
      <c r="F11" s="17">
        <v>1</v>
      </c>
      <c r="G11" s="17">
        <v>1</v>
      </c>
      <c r="H11" s="17">
        <v>1</v>
      </c>
      <c r="I11" s="17">
        <v>2</v>
      </c>
      <c r="K11" s="17">
        <v>1</v>
      </c>
      <c r="L11" s="17">
        <v>1</v>
      </c>
      <c r="M11" s="17">
        <v>1</v>
      </c>
      <c r="N11" s="17">
        <v>1</v>
      </c>
    </row>
    <row r="12" spans="1:18" hidden="1" outlineLevel="1" x14ac:dyDescent="0.2">
      <c r="A12" s="11"/>
      <c r="B12" s="16" t="s">
        <v>77</v>
      </c>
      <c r="C12" s="21" t="s">
        <v>38</v>
      </c>
      <c r="D12" s="17">
        <v>50</v>
      </c>
      <c r="E12" s="17">
        <v>30</v>
      </c>
      <c r="F12" s="17">
        <v>10</v>
      </c>
      <c r="G12" s="17">
        <v>10</v>
      </c>
      <c r="H12" s="17">
        <v>30</v>
      </c>
      <c r="I12" s="17">
        <v>25</v>
      </c>
      <c r="K12" s="17">
        <v>20</v>
      </c>
      <c r="L12" s="17">
        <v>25</v>
      </c>
      <c r="M12" s="17">
        <v>30</v>
      </c>
      <c r="N12" s="17">
        <v>25</v>
      </c>
    </row>
    <row r="13" spans="1:18" hidden="1" outlineLevel="1" x14ac:dyDescent="0.2">
      <c r="A13" s="11"/>
      <c r="B13" s="16" t="s">
        <v>80</v>
      </c>
      <c r="C13" s="16" t="s">
        <v>39</v>
      </c>
      <c r="D13" s="20">
        <v>0.05</v>
      </c>
      <c r="E13" s="20">
        <v>0.05</v>
      </c>
      <c r="F13" s="20">
        <v>0.05</v>
      </c>
      <c r="G13" s="20">
        <v>0.05</v>
      </c>
      <c r="H13" s="20">
        <v>0.05</v>
      </c>
      <c r="I13" s="20">
        <v>0.05</v>
      </c>
      <c r="K13" s="20">
        <v>0.05</v>
      </c>
      <c r="L13" s="20">
        <v>0.05</v>
      </c>
      <c r="M13" s="20">
        <v>0.05</v>
      </c>
      <c r="N13" s="20">
        <v>0.05</v>
      </c>
    </row>
    <row r="14" spans="1:18" hidden="1" outlineLevel="1" x14ac:dyDescent="0.2">
      <c r="A14" s="11"/>
      <c r="B14" s="16" t="s">
        <v>391</v>
      </c>
      <c r="C14" s="16" t="s">
        <v>390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K14" s="20"/>
      <c r="L14" s="20"/>
      <c r="M14" s="20"/>
      <c r="N14" s="20"/>
    </row>
    <row r="15" spans="1:18" ht="16.5" hidden="1" customHeight="1" outlineLevel="1" x14ac:dyDescent="0.2">
      <c r="A15" s="11"/>
      <c r="B15" s="196" t="s">
        <v>56</v>
      </c>
      <c r="C15" s="24"/>
      <c r="D15" s="11"/>
      <c r="E15" s="11"/>
      <c r="F15" s="11"/>
      <c r="G15" s="11"/>
      <c r="H15" s="11"/>
      <c r="I15" s="11"/>
      <c r="K15" s="11"/>
      <c r="L15" s="11"/>
      <c r="M15" s="11"/>
      <c r="N15" s="11"/>
      <c r="Q15" s="25"/>
    </row>
    <row r="16" spans="1:18" hidden="1" outlineLevel="1" x14ac:dyDescent="0.2">
      <c r="A16" s="11"/>
      <c r="B16" s="16" t="s">
        <v>110</v>
      </c>
      <c r="C16" s="16" t="s">
        <v>15</v>
      </c>
      <c r="D16" s="20">
        <v>0.76</v>
      </c>
      <c r="E16" s="20">
        <f>60%*(1-0.15)*E17</f>
        <v>0.30599999999999999</v>
      </c>
      <c r="F16" s="26">
        <v>0.85</v>
      </c>
      <c r="G16" s="26">
        <v>0.85</v>
      </c>
      <c r="H16" s="26">
        <v>0.8</v>
      </c>
      <c r="I16" s="26">
        <v>0.98</v>
      </c>
      <c r="K16" s="20">
        <v>0.6</v>
      </c>
      <c r="L16" s="23"/>
      <c r="M16" s="20">
        <f>60%*(1-0.15)*Q16</f>
        <v>0.51</v>
      </c>
      <c r="N16" s="20">
        <v>0.9</v>
      </c>
      <c r="Q16" s="22">
        <v>1</v>
      </c>
    </row>
    <row r="17" spans="1:17" hidden="1" outlineLevel="1" x14ac:dyDescent="0.2">
      <c r="A17" s="11"/>
      <c r="B17" s="19" t="s">
        <v>31</v>
      </c>
      <c r="C17" s="16"/>
      <c r="D17" s="23"/>
      <c r="E17" s="20">
        <v>0.6</v>
      </c>
      <c r="F17" s="23"/>
      <c r="G17" s="23"/>
      <c r="H17" s="23"/>
      <c r="I17" s="23"/>
      <c r="K17" s="23"/>
      <c r="L17" s="23"/>
      <c r="M17" s="23"/>
      <c r="N17" s="23"/>
    </row>
    <row r="18" spans="1:17" hidden="1" outlineLevel="1" x14ac:dyDescent="0.2">
      <c r="A18" s="11"/>
      <c r="B18" s="16" t="s">
        <v>280</v>
      </c>
      <c r="C18" s="16" t="s">
        <v>15</v>
      </c>
      <c r="D18" s="20">
        <v>1</v>
      </c>
      <c r="E18" s="20">
        <v>1</v>
      </c>
      <c r="F18" s="20">
        <v>0.8</v>
      </c>
      <c r="G18" s="20">
        <v>0.8</v>
      </c>
      <c r="H18" s="20">
        <v>0.8</v>
      </c>
      <c r="I18" s="20">
        <v>1</v>
      </c>
      <c r="K18" s="23"/>
      <c r="L18" s="23"/>
      <c r="M18" s="23"/>
      <c r="N18" s="23"/>
    </row>
    <row r="19" spans="1:17" hidden="1" outlineLevel="1" x14ac:dyDescent="0.2">
      <c r="A19" s="11"/>
      <c r="B19" s="16" t="s">
        <v>75</v>
      </c>
      <c r="C19" s="16" t="s">
        <v>50</v>
      </c>
      <c r="D19" s="17">
        <v>2400</v>
      </c>
      <c r="E19" s="17">
        <v>2400</v>
      </c>
      <c r="F19" s="17">
        <v>2400</v>
      </c>
      <c r="G19" s="17">
        <v>2400</v>
      </c>
      <c r="H19" s="17">
        <v>2400</v>
      </c>
      <c r="I19" s="17">
        <v>62.5</v>
      </c>
      <c r="K19" s="17">
        <v>1000</v>
      </c>
      <c r="L19" s="17">
        <v>1100</v>
      </c>
      <c r="M19" s="17">
        <v>4300</v>
      </c>
      <c r="N19" s="17">
        <v>63</v>
      </c>
    </row>
    <row r="20" spans="1:17" hidden="1" outlineLevel="1" x14ac:dyDescent="0.2">
      <c r="A20" s="11"/>
      <c r="B20" s="16" t="s">
        <v>73</v>
      </c>
      <c r="C20" s="16" t="s">
        <v>18</v>
      </c>
      <c r="D20" s="22">
        <v>32</v>
      </c>
      <c r="E20" s="22">
        <v>45</v>
      </c>
      <c r="F20" s="22">
        <v>32</v>
      </c>
      <c r="G20" s="22">
        <v>32</v>
      </c>
      <c r="H20" s="22">
        <v>32</v>
      </c>
      <c r="I20" s="22">
        <v>4</v>
      </c>
      <c r="K20" s="29"/>
      <c r="L20" s="29"/>
      <c r="M20" s="22">
        <v>10</v>
      </c>
      <c r="N20" s="22"/>
    </row>
    <row r="21" spans="1:17" hidden="1" outlineLevel="1" x14ac:dyDescent="0.2">
      <c r="A21" s="11"/>
      <c r="B21" s="196" t="s">
        <v>55</v>
      </c>
      <c r="C21" s="30"/>
      <c r="D21" s="31"/>
      <c r="E21" s="32"/>
      <c r="F21" s="33"/>
      <c r="G21" s="31"/>
      <c r="H21" s="33"/>
      <c r="I21" s="33"/>
      <c r="J21" s="34"/>
      <c r="K21" s="35"/>
      <c r="L21" s="35"/>
      <c r="M21" s="35"/>
      <c r="N21" s="35"/>
      <c r="O21" s="7" t="s">
        <v>384</v>
      </c>
    </row>
    <row r="22" spans="1:17" hidden="1" outlineLevel="1" x14ac:dyDescent="0.2">
      <c r="A22" s="11"/>
      <c r="B22" s="16" t="s">
        <v>290</v>
      </c>
      <c r="C22" s="16" t="s">
        <v>28</v>
      </c>
      <c r="D22" s="192">
        <f>D23*($D$62-D20)</f>
        <v>173.68421052631578</v>
      </c>
      <c r="E22" s="192">
        <f>E23*($D$62-E20)</f>
        <v>329.41176470588232</v>
      </c>
      <c r="F22" s="23">
        <f>F23*($D$62-F20)</f>
        <v>124.23529411764706</v>
      </c>
      <c r="G22" s="23">
        <f>G23*($D$62-G20)</f>
        <v>124.23529411764706</v>
      </c>
      <c r="H22" s="23">
        <f>H23*($D$62-H20)</f>
        <v>132</v>
      </c>
      <c r="I22" s="23">
        <f>I23*($D$61-I20)</f>
        <v>2.9336734693877551</v>
      </c>
      <c r="K22" s="23"/>
      <c r="L22" s="23"/>
      <c r="M22" s="23">
        <f>M23*($D$62-M20)*(1-Q22)</f>
        <v>649.21568627450984</v>
      </c>
      <c r="N22" s="23">
        <f>N23*O22</f>
        <v>8.4</v>
      </c>
      <c r="O22" s="17">
        <v>120</v>
      </c>
      <c r="Q22" s="20">
        <v>0</v>
      </c>
    </row>
    <row r="23" spans="1:17" hidden="1" outlineLevel="1" x14ac:dyDescent="0.2">
      <c r="A23" s="11"/>
      <c r="B23" s="1" t="s">
        <v>135</v>
      </c>
      <c r="C23" s="2" t="s">
        <v>17</v>
      </c>
      <c r="D23" s="3">
        <f>(1)*D19*D18/D16/1000</f>
        <v>3.1578947368421053</v>
      </c>
      <c r="E23" s="3">
        <f t="shared" ref="E23:I23" si="1">(1)*E19*E18/E16/1000</f>
        <v>7.8431372549019605</v>
      </c>
      <c r="F23" s="3">
        <f t="shared" si="1"/>
        <v>2.2588235294117647</v>
      </c>
      <c r="G23" s="3">
        <f t="shared" si="1"/>
        <v>2.2588235294117647</v>
      </c>
      <c r="H23" s="3">
        <f t="shared" si="1"/>
        <v>2.4</v>
      </c>
      <c r="I23" s="4">
        <f t="shared" si="1"/>
        <v>6.3775510204081634E-2</v>
      </c>
      <c r="J23" s="5"/>
      <c r="K23" s="4">
        <f>(1)*K19/K16/1000</f>
        <v>1.6666666666666667</v>
      </c>
      <c r="L23" s="4"/>
      <c r="M23" s="4">
        <f>(1)*M19/M16/1000</f>
        <v>8.4313725490196081</v>
      </c>
      <c r="N23" s="4">
        <f>(1)*N19/N16/1000</f>
        <v>7.0000000000000007E-2</v>
      </c>
    </row>
    <row r="24" spans="1:17" hidden="1" outlineLevel="1" x14ac:dyDescent="0.2">
      <c r="A24" s="11"/>
      <c r="B24" s="1" t="s">
        <v>136</v>
      </c>
      <c r="C24" s="2" t="s">
        <v>17</v>
      </c>
      <c r="D24" s="3">
        <f>D23-(1)*D19*D18/1000</f>
        <v>0.7578947368421054</v>
      </c>
      <c r="E24" s="3">
        <f t="shared" ref="E24:I24" si="2">E23-(1)*E19*E18/1000</f>
        <v>5.443137254901961</v>
      </c>
      <c r="F24" s="3">
        <f>F23-(1)*F19*F18/1000</f>
        <v>0.33882352941176475</v>
      </c>
      <c r="G24" s="3">
        <f t="shared" si="2"/>
        <v>0.33882352941176475</v>
      </c>
      <c r="H24" s="3">
        <f t="shared" si="2"/>
        <v>0.48</v>
      </c>
      <c r="I24" s="3">
        <f t="shared" si="2"/>
        <v>1.2755102040816341E-3</v>
      </c>
      <c r="J24" s="5"/>
      <c r="K24" s="4">
        <f>K23-(1)*K19/1000</f>
        <v>0.66666666666666674</v>
      </c>
      <c r="L24" s="4"/>
      <c r="M24" s="4">
        <f>M23-(1)*M19/1000</f>
        <v>4.1313725490196083</v>
      </c>
      <c r="N24" s="4"/>
    </row>
    <row r="25" spans="1:17" hidden="1" outlineLevel="1" x14ac:dyDescent="0.2">
      <c r="A25" s="11"/>
      <c r="B25" s="16" t="s">
        <v>300</v>
      </c>
      <c r="C25" s="16" t="s">
        <v>28</v>
      </c>
      <c r="D25" s="23">
        <f>IF($G$63=2,D23,D24)*IF(D59=1,$D$63,$D$64)</f>
        <v>15.789473684210527</v>
      </c>
      <c r="E25" s="23">
        <f>IF($G$63=2,E23,E24)*IF(E59=1,$D$63,$D$64)</f>
        <v>39.2156862745098</v>
      </c>
      <c r="F25" s="23">
        <f>IF($G$63=2,F23,F24)*$D$65</f>
        <v>112.94117647058823</v>
      </c>
      <c r="G25" s="23">
        <f>IF($G$63=2,G23,G24)*IF(G59=1,$D$63,$D$64)</f>
        <v>22.588235294117645</v>
      </c>
      <c r="H25" s="23">
        <f>IF($G$63=2,H23,H24)*IF(H59=1,$D$63,$D$64)</f>
        <v>24</v>
      </c>
      <c r="I25" s="23"/>
      <c r="K25" s="23"/>
      <c r="L25" s="23"/>
      <c r="M25" s="23">
        <f>IF($G$63=2,M23,M24)*IF(M59=1,$D$63,$D$64)</f>
        <v>84.313725490196077</v>
      </c>
      <c r="N25" s="23"/>
    </row>
    <row r="26" spans="1:17" hidden="1" outlineLevel="1" x14ac:dyDescent="0.2">
      <c r="A26" s="11"/>
      <c r="B26" s="16" t="s">
        <v>51</v>
      </c>
      <c r="C26" s="16" t="s">
        <v>28</v>
      </c>
      <c r="D26" s="23">
        <f>IF($G$66=2,D23,D24)*$D$66</f>
        <v>35.684210526315795</v>
      </c>
      <c r="E26" s="23">
        <f>IF($G$66=2,E23,E24)*$D$66</f>
        <v>88.627450980392155</v>
      </c>
      <c r="F26" s="23">
        <f>IF($G$66=2,F23,F24)*$D$66</f>
        <v>25.524705882352944</v>
      </c>
      <c r="G26" s="23">
        <f>IF($G$66=2,G23,G24)*$D$66</f>
        <v>25.524705882352944</v>
      </c>
      <c r="H26" s="23">
        <f>IF($G$66=2,H23,H24)*$D$66</f>
        <v>27.12</v>
      </c>
      <c r="I26" s="23"/>
      <c r="K26" s="23"/>
      <c r="L26" s="23"/>
      <c r="M26" s="23">
        <f>IF($G$66=2,M23,M24)*$D$66</f>
        <v>95.274509803921575</v>
      </c>
      <c r="N26" s="23"/>
    </row>
    <row r="27" spans="1:17" hidden="1" outlineLevel="1" x14ac:dyDescent="0.2">
      <c r="A27" s="11"/>
      <c r="B27" s="16" t="s">
        <v>52</v>
      </c>
      <c r="C27" s="16" t="s">
        <v>28</v>
      </c>
      <c r="D27" s="23">
        <f>IF($G$66=2,D23,D24)*$D$67</f>
        <v>1.5789473684210527</v>
      </c>
      <c r="E27" s="23">
        <f>IF($G$66=2,E23,E24)*$D$67</f>
        <v>3.9215686274509802</v>
      </c>
      <c r="F27" s="23">
        <f>IF($G$66=2,F23,F24)*$D$67</f>
        <v>1.1294117647058823</v>
      </c>
      <c r="G27" s="192">
        <f>IF($G$66=2,G23,G24)*$D$67</f>
        <v>1.1294117647058823</v>
      </c>
      <c r="H27" s="192">
        <f>IF($G$66=2,H23,H24)*$D$67</f>
        <v>1.2</v>
      </c>
      <c r="I27" s="27"/>
      <c r="K27" s="23"/>
      <c r="L27" s="23"/>
      <c r="M27" s="23">
        <f>M23*$D$67</f>
        <v>4.215686274509804</v>
      </c>
      <c r="N27" s="23"/>
    </row>
    <row r="28" spans="1:17" hidden="1" outlineLevel="1" x14ac:dyDescent="0.2">
      <c r="A28" s="11"/>
      <c r="B28" s="16" t="s">
        <v>81</v>
      </c>
      <c r="C28" s="16" t="s">
        <v>28</v>
      </c>
      <c r="D28" s="23">
        <f t="shared" ref="D28:I28" si="3">D29*D6</f>
        <v>10.625</v>
      </c>
      <c r="E28" s="23">
        <f t="shared" si="3"/>
        <v>128</v>
      </c>
      <c r="F28" s="23">
        <f t="shared" si="3"/>
        <v>20</v>
      </c>
      <c r="G28" s="23">
        <f t="shared" si="3"/>
        <v>13.333333333333332</v>
      </c>
      <c r="H28" s="23">
        <f t="shared" si="3"/>
        <v>30</v>
      </c>
      <c r="I28" s="23">
        <f t="shared" si="3"/>
        <v>1.1100000000000001</v>
      </c>
      <c r="K28" s="23">
        <f>K29*K6</f>
        <v>10</v>
      </c>
      <c r="L28" s="23">
        <f>L29*L6</f>
        <v>20.72</v>
      </c>
      <c r="M28" s="23">
        <f>M29*M6</f>
        <v>90</v>
      </c>
      <c r="N28" s="23">
        <f>N29*N6</f>
        <v>1</v>
      </c>
      <c r="O28" s="36"/>
      <c r="Q28" s="25"/>
    </row>
    <row r="29" spans="1:17" hidden="1" outlineLevel="1" x14ac:dyDescent="0.2">
      <c r="A29" s="11"/>
      <c r="B29" s="19" t="s">
        <v>82</v>
      </c>
      <c r="C29" s="16" t="s">
        <v>39</v>
      </c>
      <c r="D29" s="37">
        <v>8.5000000000000006E-3</v>
      </c>
      <c r="E29" s="37">
        <v>0.08</v>
      </c>
      <c r="F29" s="37">
        <v>0.02</v>
      </c>
      <c r="G29" s="37">
        <v>0.02</v>
      </c>
      <c r="H29" s="37">
        <v>0.02</v>
      </c>
      <c r="I29" s="37">
        <v>0.01</v>
      </c>
      <c r="K29" s="26">
        <v>0.02</v>
      </c>
      <c r="L29" s="26">
        <v>0.02</v>
      </c>
      <c r="M29" s="26">
        <v>0.06</v>
      </c>
      <c r="N29" s="37">
        <v>0.02</v>
      </c>
    </row>
    <row r="30" spans="1:17" hidden="1" outlineLevel="1" x14ac:dyDescent="0.2">
      <c r="A30" s="11"/>
      <c r="B30" s="16" t="s">
        <v>83</v>
      </c>
      <c r="C30" s="16" t="s">
        <v>19</v>
      </c>
      <c r="D30" s="17">
        <v>2200</v>
      </c>
      <c r="E30" s="17">
        <v>2200</v>
      </c>
      <c r="F30" s="23"/>
      <c r="G30" s="17">
        <v>2200</v>
      </c>
      <c r="H30" s="17">
        <v>2200</v>
      </c>
      <c r="I30" s="17">
        <v>2200</v>
      </c>
      <c r="K30" s="17">
        <v>2200</v>
      </c>
      <c r="L30" s="17">
        <v>2200</v>
      </c>
      <c r="M30" s="17">
        <v>2200</v>
      </c>
      <c r="N30" s="17">
        <v>2200</v>
      </c>
    </row>
    <row r="31" spans="1:17" hidden="1" outlineLevel="1" x14ac:dyDescent="0.2">
      <c r="A31" s="11"/>
      <c r="B31" s="16" t="s">
        <v>84</v>
      </c>
      <c r="C31" s="16" t="s">
        <v>20</v>
      </c>
      <c r="D31" s="38">
        <v>0.05</v>
      </c>
      <c r="E31" s="38">
        <v>0.6</v>
      </c>
      <c r="F31" s="23"/>
      <c r="G31" s="38">
        <v>0.05</v>
      </c>
      <c r="H31" s="38">
        <v>0.05</v>
      </c>
      <c r="I31" s="38">
        <v>5.0000000000000001E-3</v>
      </c>
      <c r="K31" s="22">
        <v>0.2</v>
      </c>
      <c r="L31" s="22">
        <v>0.2</v>
      </c>
      <c r="M31" s="38">
        <v>0.6</v>
      </c>
      <c r="N31" s="38">
        <v>5.0000000000000001E-3</v>
      </c>
    </row>
    <row r="32" spans="1:17" ht="18.75" hidden="1" customHeight="1" outlineLevel="1" x14ac:dyDescent="0.2">
      <c r="A32" s="11"/>
      <c r="B32" s="198" t="s">
        <v>57</v>
      </c>
      <c r="H32" s="40"/>
      <c r="M32" s="40"/>
    </row>
    <row r="33" spans="1:41" hidden="1" outlineLevel="1" x14ac:dyDescent="0.2">
      <c r="A33" s="11"/>
      <c r="B33" s="50" t="s">
        <v>281</v>
      </c>
      <c r="C33" s="50" t="s">
        <v>35</v>
      </c>
      <c r="D33" s="227">
        <v>550</v>
      </c>
      <c r="E33" s="227">
        <f>2000/E23</f>
        <v>255</v>
      </c>
      <c r="F33" s="227">
        <v>120</v>
      </c>
      <c r="G33" s="227">
        <v>120</v>
      </c>
      <c r="H33" s="227">
        <v>10</v>
      </c>
      <c r="I33" s="227">
        <f>2*160</f>
        <v>320</v>
      </c>
      <c r="J33" s="254" t="s">
        <v>256</v>
      </c>
      <c r="K33" s="11"/>
    </row>
    <row r="34" spans="1:41" hidden="1" outlineLevel="1" x14ac:dyDescent="0.2">
      <c r="A34" s="11"/>
      <c r="B34" s="50" t="s">
        <v>240</v>
      </c>
      <c r="C34" s="50" t="s">
        <v>36</v>
      </c>
      <c r="D34" s="226">
        <f>(D23-D24)*D33</f>
        <v>1320</v>
      </c>
      <c r="E34" s="226">
        <f t="shared" ref="E34:I34" si="4">(E23-E24)*E33</f>
        <v>611.99999999999989</v>
      </c>
      <c r="F34" s="226">
        <f t="shared" si="4"/>
        <v>230.39999999999998</v>
      </c>
      <c r="G34" s="226">
        <f t="shared" si="4"/>
        <v>230.39999999999998</v>
      </c>
      <c r="H34" s="226">
        <f t="shared" si="4"/>
        <v>19.2</v>
      </c>
      <c r="I34" s="226">
        <f t="shared" si="4"/>
        <v>20</v>
      </c>
      <c r="J34" s="255">
        <f>SUM(D34:I34)</f>
        <v>2432</v>
      </c>
      <c r="K34" s="11"/>
      <c r="L34" s="11"/>
    </row>
    <row r="35" spans="1:41" hidden="1" outlineLevel="1" x14ac:dyDescent="0.2">
      <c r="A35" s="11"/>
      <c r="B35" s="216" t="s">
        <v>258</v>
      </c>
      <c r="C35" s="16" t="s">
        <v>36</v>
      </c>
      <c r="D35" s="41">
        <f>D24*D33</f>
        <v>416.84210526315798</v>
      </c>
      <c r="E35" s="41">
        <f t="shared" ref="E35:I35" si="5">E24*E33</f>
        <v>1388</v>
      </c>
      <c r="F35" s="41">
        <f t="shared" si="5"/>
        <v>40.658823529411769</v>
      </c>
      <c r="G35" s="41">
        <f t="shared" si="5"/>
        <v>40.658823529411769</v>
      </c>
      <c r="H35" s="41">
        <f t="shared" si="5"/>
        <v>4.8</v>
      </c>
      <c r="I35" s="41">
        <f t="shared" si="5"/>
        <v>0.4081632653061229</v>
      </c>
      <c r="J35" s="255">
        <f>SUM(D35:I35)</f>
        <v>1891.3679155872876</v>
      </c>
      <c r="K35" s="11"/>
      <c r="L35" s="11"/>
    </row>
    <row r="36" spans="1:41" hidden="1" outlineLevel="1" x14ac:dyDescent="0.2">
      <c r="A36" s="11"/>
      <c r="B36" s="42" t="s">
        <v>109</v>
      </c>
      <c r="C36" s="42" t="s">
        <v>98</v>
      </c>
      <c r="D36" s="43">
        <f t="shared" ref="D36:I36" si="6">D33*D6/1000</f>
        <v>687.5</v>
      </c>
      <c r="E36" s="43">
        <f t="shared" si="6"/>
        <v>408</v>
      </c>
      <c r="F36" s="43">
        <f t="shared" si="6"/>
        <v>120</v>
      </c>
      <c r="G36" s="43">
        <f t="shared" si="6"/>
        <v>80</v>
      </c>
      <c r="H36" s="43">
        <f t="shared" si="6"/>
        <v>15</v>
      </c>
      <c r="I36" s="43">
        <f t="shared" si="6"/>
        <v>35.520000000000003</v>
      </c>
      <c r="J36" s="255">
        <f>SUM(D36:I36)</f>
        <v>1346.02</v>
      </c>
      <c r="K36" s="188"/>
      <c r="L36" s="188"/>
      <c r="M36" s="40"/>
    </row>
    <row r="37" spans="1:41" hidden="1" outlineLevel="1" x14ac:dyDescent="0.2">
      <c r="A37" s="11"/>
      <c r="B37" s="44" t="s">
        <v>248</v>
      </c>
      <c r="C37" s="44" t="s">
        <v>98</v>
      </c>
      <c r="D37" s="41">
        <f t="shared" ref="D37:I37" si="7">D36*D14</f>
        <v>0</v>
      </c>
      <c r="E37" s="41">
        <f t="shared" si="7"/>
        <v>0</v>
      </c>
      <c r="F37" s="41">
        <f t="shared" si="7"/>
        <v>0</v>
      </c>
      <c r="G37" s="41">
        <f t="shared" si="7"/>
        <v>0</v>
      </c>
      <c r="H37" s="41">
        <f t="shared" si="7"/>
        <v>0</v>
      </c>
      <c r="I37" s="41">
        <f t="shared" si="7"/>
        <v>0</v>
      </c>
      <c r="K37" s="188"/>
      <c r="L37" s="188"/>
      <c r="M37" s="40"/>
    </row>
    <row r="38" spans="1:41" s="45" customFormat="1" hidden="1" outlineLevel="1" x14ac:dyDescent="0.2"/>
    <row r="39" spans="1:41" hidden="1" outlineLevel="1" x14ac:dyDescent="0.2">
      <c r="A39" s="11"/>
      <c r="B39" s="44" t="s">
        <v>258</v>
      </c>
      <c r="C39" s="44" t="s">
        <v>260</v>
      </c>
      <c r="D39" s="41">
        <f>D24*D33</f>
        <v>416.84210526315798</v>
      </c>
      <c r="E39" s="41">
        <f>E24*E33</f>
        <v>1388</v>
      </c>
      <c r="F39" s="41">
        <f>F24*F33</f>
        <v>40.658823529411769</v>
      </c>
      <c r="G39" s="41">
        <f>G24*G33</f>
        <v>40.658823529411769</v>
      </c>
      <c r="H39" s="41">
        <f>H24*H33</f>
        <v>4.8</v>
      </c>
      <c r="I39" s="28"/>
      <c r="J39" s="255">
        <f>SUM(D39:I39)</f>
        <v>1890.9597523219816</v>
      </c>
      <c r="K39" s="11"/>
      <c r="M39" s="40"/>
    </row>
    <row r="40" spans="1:41" hidden="1" outlineLevel="1" x14ac:dyDescent="0.2">
      <c r="A40" s="11"/>
      <c r="B40" s="44" t="s">
        <v>259</v>
      </c>
      <c r="C40" s="44" t="s">
        <v>247</v>
      </c>
      <c r="D40" s="46">
        <f>D39*IF(D59=1,$D$63,$D$64)/1000</f>
        <v>2.0842105263157902</v>
      </c>
      <c r="E40" s="41"/>
      <c r="F40" s="41"/>
      <c r="G40" s="46">
        <f>G39*IF(G59=1,$D$63,$D$64)/1000</f>
        <v>0.40658823529411769</v>
      </c>
      <c r="H40" s="46">
        <f>H39*IF(H59=1,$D$63,$D$64)/1000</f>
        <v>4.8000000000000001E-2</v>
      </c>
      <c r="I40" s="28"/>
      <c r="J40" s="256">
        <f>SUM(D40:I40)</f>
        <v>2.5387987616099079</v>
      </c>
      <c r="K40" s="11"/>
      <c r="M40" s="40"/>
    </row>
    <row r="41" spans="1:41" hidden="1" outlineLevel="1" x14ac:dyDescent="0.2">
      <c r="B41" s="29" t="s">
        <v>389</v>
      </c>
      <c r="C41" s="44" t="s">
        <v>260</v>
      </c>
      <c r="D41" s="200">
        <f t="shared" ref="D41:G41" si="8">D34/$L$41</f>
        <v>4400</v>
      </c>
      <c r="E41" s="200">
        <f t="shared" si="8"/>
        <v>2039.9999999999998</v>
      </c>
      <c r="F41" s="200">
        <f t="shared" si="8"/>
        <v>768</v>
      </c>
      <c r="G41" s="200">
        <f t="shared" si="8"/>
        <v>768</v>
      </c>
      <c r="H41" s="200">
        <f>H34/$L$41</f>
        <v>64</v>
      </c>
      <c r="I41" s="200">
        <f>I35/$L$42</f>
        <v>0.48019207683073284</v>
      </c>
      <c r="J41" s="257">
        <f t="shared" ref="J41" si="9">SUM(D41:I41)</f>
        <v>8040.4801920768305</v>
      </c>
      <c r="L41" s="235">
        <v>0.3</v>
      </c>
      <c r="M41" s="7" t="s">
        <v>359</v>
      </c>
    </row>
    <row r="42" spans="1:41" hidden="1" outlineLevel="1" x14ac:dyDescent="0.2">
      <c r="L42" s="235">
        <v>0.85</v>
      </c>
      <c r="M42" s="7" t="s">
        <v>360</v>
      </c>
    </row>
    <row r="43" spans="1:41" hidden="1" outlineLevel="1" x14ac:dyDescent="0.2">
      <c r="A43" s="11"/>
      <c r="B43" s="45"/>
      <c r="C43" s="45"/>
      <c r="D43" s="47"/>
      <c r="E43" s="47"/>
      <c r="F43" s="47"/>
      <c r="G43" s="47"/>
      <c r="H43" s="47"/>
      <c r="I43" s="48"/>
      <c r="K43" s="11"/>
      <c r="M43" s="40"/>
    </row>
    <row r="44" spans="1:41" ht="18" hidden="1" customHeight="1" outlineLevel="1" x14ac:dyDescent="0.2">
      <c r="A44" s="11"/>
      <c r="B44" s="198" t="s">
        <v>278</v>
      </c>
      <c r="C44" s="24"/>
      <c r="D44" s="11"/>
      <c r="E44" s="11"/>
      <c r="F44" s="11"/>
      <c r="G44" s="11"/>
      <c r="H44" s="11"/>
      <c r="I44" s="11"/>
      <c r="K44" s="11"/>
      <c r="M44" s="40"/>
    </row>
    <row r="45" spans="1:41" ht="38.25" hidden="1" outlineLevel="1" x14ac:dyDescent="0.2">
      <c r="A45" s="11"/>
      <c r="B45" s="13"/>
      <c r="C45" s="13"/>
      <c r="D45" s="13" t="s">
        <v>29</v>
      </c>
      <c r="E45" s="13" t="s">
        <v>30</v>
      </c>
      <c r="F45" s="13" t="s">
        <v>133</v>
      </c>
      <c r="G45" s="13" t="s">
        <v>134</v>
      </c>
      <c r="H45" s="70" t="s">
        <v>92</v>
      </c>
      <c r="I45" s="13" t="s">
        <v>118</v>
      </c>
      <c r="K45" s="11"/>
      <c r="M45" s="40"/>
    </row>
    <row r="46" spans="1:41" hidden="1" outlineLevel="1" x14ac:dyDescent="0.2">
      <c r="A46" s="11"/>
      <c r="B46" s="16" t="s">
        <v>282</v>
      </c>
      <c r="C46" s="16" t="s">
        <v>23</v>
      </c>
      <c r="D46" s="248">
        <f>$D$62-D20</f>
        <v>55</v>
      </c>
      <c r="E46" s="248">
        <f>$D$62-E20</f>
        <v>42</v>
      </c>
      <c r="F46" s="248">
        <f>L98</f>
        <v>94.10120481164796</v>
      </c>
      <c r="G46" s="248">
        <f>$D$62-G20</f>
        <v>55</v>
      </c>
      <c r="H46" s="248">
        <f>$D$62-H20</f>
        <v>55</v>
      </c>
      <c r="I46" s="248">
        <f>$D$61</f>
        <v>50</v>
      </c>
      <c r="J46" s="249"/>
      <c r="K46" s="253"/>
      <c r="L46" s="253"/>
      <c r="M46" s="253"/>
      <c r="N46" s="253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idden="1" outlineLevel="1" x14ac:dyDescent="0.2">
      <c r="A47" s="11"/>
      <c r="B47" s="16" t="s">
        <v>385</v>
      </c>
      <c r="C47" s="16" t="s">
        <v>23</v>
      </c>
      <c r="D47" s="248">
        <f>D98</f>
        <v>130.73973632163379</v>
      </c>
      <c r="E47" s="248">
        <f t="shared" ref="E47:F47" si="10">E98</f>
        <v>302.20369726515372</v>
      </c>
      <c r="F47" s="248">
        <f t="shared" si="10"/>
        <v>220.72167744650864</v>
      </c>
      <c r="G47" s="248">
        <f>G98</f>
        <v>146.90429626215521</v>
      </c>
      <c r="H47" s="248">
        <f>H98</f>
        <v>166.68751266043071</v>
      </c>
      <c r="I47" s="248">
        <f>I98</f>
        <v>208.74509335988154</v>
      </c>
      <c r="J47" s="249"/>
      <c r="K47" s="253"/>
      <c r="L47" s="253"/>
      <c r="M47" s="253"/>
      <c r="N47" s="253"/>
      <c r="O47" s="4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hidden="1" outlineLevel="1" x14ac:dyDescent="0.2">
      <c r="A48" s="11"/>
      <c r="B48" s="16" t="s">
        <v>386</v>
      </c>
      <c r="C48" s="16" t="s">
        <v>23</v>
      </c>
      <c r="D48" s="248">
        <v>120.784543389503</v>
      </c>
      <c r="E48" s="248">
        <v>288.54289589829563</v>
      </c>
      <c r="F48" s="248">
        <v>199.47483311623839</v>
      </c>
      <c r="G48" s="248">
        <v>132.73973337530839</v>
      </c>
      <c r="H48" s="248">
        <v>150.67876105864391</v>
      </c>
      <c r="I48" s="248">
        <v>167.06676851282646</v>
      </c>
      <c r="J48" s="249"/>
      <c r="K48" s="253"/>
      <c r="L48" s="253"/>
      <c r="M48" s="253"/>
      <c r="N48" s="253"/>
      <c r="O48" s="4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hidden="1" outlineLevel="1" x14ac:dyDescent="0.2">
      <c r="A49" s="11"/>
      <c r="B49" s="16" t="s">
        <v>288</v>
      </c>
      <c r="C49" s="16" t="s">
        <v>23</v>
      </c>
      <c r="D49" s="248">
        <f>$D$62+D20</f>
        <v>119</v>
      </c>
      <c r="E49" s="248">
        <f>$D$62+E20</f>
        <v>132</v>
      </c>
      <c r="F49" s="248">
        <f>($D$62+50+11.3+4)*1.2</f>
        <v>182.76000000000002</v>
      </c>
      <c r="G49" s="248">
        <f>$D$62+G20</f>
        <v>119</v>
      </c>
      <c r="H49" s="248">
        <f>$D$62+H20</f>
        <v>119</v>
      </c>
      <c r="I49" s="248"/>
      <c r="J49" s="249"/>
      <c r="K49" s="253"/>
      <c r="L49" s="253"/>
      <c r="M49" s="253"/>
      <c r="N49" s="253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1:41" hidden="1" outlineLevel="1" x14ac:dyDescent="0.2">
      <c r="A50" s="11"/>
      <c r="B50" s="228" t="s">
        <v>392</v>
      </c>
      <c r="C50" s="45"/>
      <c r="H50" s="40"/>
      <c r="K50" s="11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1" hidden="1" outlineLevel="1" x14ac:dyDescent="0.2">
      <c r="A51" s="11"/>
      <c r="B51" s="16" t="s">
        <v>393</v>
      </c>
      <c r="C51" s="16" t="s">
        <v>23</v>
      </c>
      <c r="D51" s="250">
        <f>D47-D$46</f>
        <v>75.739736321633785</v>
      </c>
      <c r="E51" s="250">
        <f t="shared" ref="E51:I51" si="11">E47-E$46</f>
        <v>260.20369726515372</v>
      </c>
      <c r="F51" s="250">
        <f t="shared" si="11"/>
        <v>126.62047263486068</v>
      </c>
      <c r="G51" s="250">
        <f t="shared" si="11"/>
        <v>91.904296262155214</v>
      </c>
      <c r="H51" s="250">
        <f t="shared" si="11"/>
        <v>111.68751266043071</v>
      </c>
      <c r="I51" s="250">
        <f t="shared" si="11"/>
        <v>158.74509335988154</v>
      </c>
      <c r="K51" s="1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</row>
    <row r="52" spans="1:41" hidden="1" outlineLevel="1" x14ac:dyDescent="0.2">
      <c r="A52" s="11"/>
      <c r="B52" s="16" t="s">
        <v>394</v>
      </c>
      <c r="C52" s="16" t="s">
        <v>23</v>
      </c>
      <c r="D52" s="250">
        <v>65.784543389503</v>
      </c>
      <c r="E52" s="250">
        <v>246.54289589829563</v>
      </c>
      <c r="F52" s="250">
        <v>105.37362830459043</v>
      </c>
      <c r="G52" s="250">
        <v>77.73973337530839</v>
      </c>
      <c r="H52" s="250">
        <v>95.678761058643914</v>
      </c>
      <c r="I52" s="250">
        <v>117.06676851282646</v>
      </c>
      <c r="K52" s="11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1:41" hidden="1" outlineLevel="1" x14ac:dyDescent="0.2">
      <c r="A53" s="11"/>
      <c r="B53" s="16" t="s">
        <v>395</v>
      </c>
      <c r="C53" s="16" t="s">
        <v>23</v>
      </c>
      <c r="D53" s="250">
        <f t="shared" ref="D53:I53" si="12">D49-D$46</f>
        <v>64</v>
      </c>
      <c r="E53" s="250">
        <f t="shared" si="12"/>
        <v>90</v>
      </c>
      <c r="F53" s="250">
        <f t="shared" si="12"/>
        <v>88.658795188352059</v>
      </c>
      <c r="G53" s="250">
        <f t="shared" si="12"/>
        <v>64</v>
      </c>
      <c r="H53" s="250">
        <f t="shared" si="12"/>
        <v>64</v>
      </c>
      <c r="I53" s="250">
        <f t="shared" si="12"/>
        <v>-50</v>
      </c>
      <c r="K53" s="11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1:41" hidden="1" outlineLevel="1" x14ac:dyDescent="0.2">
      <c r="A54" s="11"/>
      <c r="B54" s="45"/>
      <c r="C54" s="45"/>
      <c r="H54" s="40"/>
      <c r="K54" s="11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collapsed="1" x14ac:dyDescent="0.2">
      <c r="A55" s="11"/>
      <c r="B55" s="45"/>
      <c r="C55" s="45"/>
      <c r="H55" s="40"/>
      <c r="K55" s="11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spans="1:41" x14ac:dyDescent="0.2">
      <c r="A56" s="8" t="s">
        <v>124</v>
      </c>
      <c r="B56" s="9" t="s">
        <v>156</v>
      </c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41" ht="11.25" hidden="1" customHeight="1" outlineLevel="1" x14ac:dyDescent="0.2">
      <c r="A57" s="11"/>
      <c r="B57" s="39"/>
      <c r="E57" s="40"/>
      <c r="F57" s="40"/>
      <c r="G57" s="40"/>
      <c r="H57" s="40"/>
      <c r="I57" s="40"/>
      <c r="J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spans="1:41" ht="38.25" hidden="1" outlineLevel="1" x14ac:dyDescent="0.2">
      <c r="A58" s="11"/>
      <c r="B58" s="13"/>
      <c r="C58" s="13"/>
      <c r="D58" s="13" t="s">
        <v>29</v>
      </c>
      <c r="E58" s="13" t="s">
        <v>30</v>
      </c>
      <c r="F58" s="13" t="s">
        <v>133</v>
      </c>
      <c r="G58" s="13" t="s">
        <v>134</v>
      </c>
      <c r="H58" s="70" t="s">
        <v>92</v>
      </c>
      <c r="I58" s="13" t="s">
        <v>118</v>
      </c>
      <c r="K58" s="11"/>
      <c r="M58" s="40"/>
    </row>
    <row r="59" spans="1:41" hidden="1" outlineLevel="1" x14ac:dyDescent="0.2">
      <c r="A59" s="11"/>
      <c r="B59" s="16" t="s">
        <v>68</v>
      </c>
      <c r="C59" s="16" t="s">
        <v>37</v>
      </c>
      <c r="D59" s="17">
        <v>1</v>
      </c>
      <c r="E59" s="17">
        <v>1</v>
      </c>
      <c r="F59" s="28"/>
      <c r="G59" s="17">
        <v>2</v>
      </c>
      <c r="H59" s="17">
        <v>2</v>
      </c>
      <c r="I59" s="29"/>
      <c r="K59" s="11"/>
      <c r="M59" s="40"/>
    </row>
    <row r="60" spans="1:41" hidden="1" outlineLevel="1" x14ac:dyDescent="0.2">
      <c r="A60" s="11"/>
      <c r="B60" s="39"/>
      <c r="E60" s="40"/>
      <c r="F60" s="40"/>
      <c r="G60" s="40"/>
      <c r="H60" s="40"/>
      <c r="I60" s="40"/>
      <c r="J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spans="1:41" hidden="1" outlineLevel="1" x14ac:dyDescent="0.2">
      <c r="A61" s="11"/>
      <c r="B61" s="16" t="s">
        <v>93</v>
      </c>
      <c r="C61" s="16" t="s">
        <v>23</v>
      </c>
      <c r="D61" s="22">
        <v>50</v>
      </c>
      <c r="E61" s="40"/>
      <c r="F61" s="40"/>
      <c r="G61" s="40"/>
      <c r="H61" s="40"/>
      <c r="I61" s="40"/>
      <c r="J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hidden="1" outlineLevel="1" x14ac:dyDescent="0.2">
      <c r="A62" s="11"/>
      <c r="B62" s="50" t="s">
        <v>184</v>
      </c>
      <c r="C62" s="16" t="s">
        <v>23</v>
      </c>
      <c r="D62" s="22">
        <v>87</v>
      </c>
      <c r="E62" s="7" t="s">
        <v>189</v>
      </c>
      <c r="H62" s="40"/>
      <c r="I62" s="40"/>
    </row>
    <row r="63" spans="1:41" hidden="1" outlineLevel="1" x14ac:dyDescent="0.2">
      <c r="A63" s="11"/>
      <c r="B63" s="16" t="s">
        <v>53</v>
      </c>
      <c r="C63" s="16" t="s">
        <v>23</v>
      </c>
      <c r="D63" s="22">
        <v>5</v>
      </c>
      <c r="F63" s="51" t="s">
        <v>62</v>
      </c>
      <c r="G63" s="17">
        <v>2</v>
      </c>
      <c r="H63" s="52" t="s">
        <v>190</v>
      </c>
      <c r="I63" s="40"/>
      <c r="J63" s="53"/>
    </row>
    <row r="64" spans="1:41" hidden="1" outlineLevel="1" x14ac:dyDescent="0.2">
      <c r="A64" s="11"/>
      <c r="B64" s="16" t="s">
        <v>54</v>
      </c>
      <c r="C64" s="16" t="s">
        <v>23</v>
      </c>
      <c r="D64" s="22">
        <v>10</v>
      </c>
      <c r="H64" s="40"/>
      <c r="I64" s="40"/>
    </row>
    <row r="65" spans="1:41" hidden="1" outlineLevel="1" x14ac:dyDescent="0.2">
      <c r="A65" s="11"/>
      <c r="B65" s="16" t="s">
        <v>289</v>
      </c>
      <c r="C65" s="16" t="s">
        <v>23</v>
      </c>
      <c r="D65" s="22">
        <v>50</v>
      </c>
      <c r="H65" s="40"/>
      <c r="I65" s="40"/>
    </row>
    <row r="66" spans="1:41" hidden="1" outlineLevel="1" x14ac:dyDescent="0.2">
      <c r="A66" s="11"/>
      <c r="B66" s="16" t="s">
        <v>51</v>
      </c>
      <c r="C66" s="16" t="s">
        <v>23</v>
      </c>
      <c r="D66" s="22">
        <f>11.3</f>
        <v>11.3</v>
      </c>
      <c r="F66" s="51" t="s">
        <v>62</v>
      </c>
      <c r="G66" s="17">
        <v>2</v>
      </c>
      <c r="H66" s="52" t="s">
        <v>283</v>
      </c>
      <c r="I66" s="40"/>
      <c r="J66" s="53"/>
      <c r="K66" s="40"/>
      <c r="L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</row>
    <row r="67" spans="1:41" hidden="1" outlineLevel="1" x14ac:dyDescent="0.2">
      <c r="A67" s="11"/>
      <c r="B67" s="16" t="s">
        <v>74</v>
      </c>
      <c r="C67" s="16" t="s">
        <v>23</v>
      </c>
      <c r="D67" s="22">
        <f>0.5</f>
        <v>0.5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</row>
    <row r="68" spans="1:41" hidden="1" outlineLevel="1" x14ac:dyDescent="0.2">
      <c r="A68" s="11"/>
      <c r="B68" s="12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ht="15" hidden="1" customHeight="1" outlineLevel="1" x14ac:dyDescent="0.2">
      <c r="A69" s="11"/>
      <c r="B69" s="113" t="s">
        <v>274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hidden="1" outlineLevel="1" x14ac:dyDescent="0.2">
      <c r="A70" s="11"/>
      <c r="B70" s="186" t="s">
        <v>269</v>
      </c>
      <c r="C70" s="184" t="s">
        <v>98</v>
      </c>
      <c r="D70" s="29">
        <v>83.9</v>
      </c>
      <c r="E70" s="40" t="s">
        <v>261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hidden="1" outlineLevel="1" x14ac:dyDescent="0.2">
      <c r="A71" s="11"/>
      <c r="B71" s="186" t="s">
        <v>270</v>
      </c>
      <c r="C71" s="184" t="s">
        <v>98</v>
      </c>
      <c r="D71" s="54">
        <v>210</v>
      </c>
      <c r="E71" s="40" t="s">
        <v>262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</row>
    <row r="72" spans="1:41" hidden="1" outlineLevel="1" x14ac:dyDescent="0.2">
      <c r="A72" s="11"/>
      <c r="B72" s="95" t="s">
        <v>271</v>
      </c>
      <c r="C72" s="184" t="s">
        <v>98</v>
      </c>
      <c r="D72" s="56">
        <f>D71+D70</f>
        <v>293.89999999999998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</row>
    <row r="73" spans="1:41" hidden="1" outlineLevel="1" x14ac:dyDescent="0.2">
      <c r="A73" s="11"/>
      <c r="B73" s="186" t="s">
        <v>264</v>
      </c>
      <c r="C73" s="185" t="s">
        <v>18</v>
      </c>
      <c r="D73" s="54">
        <f>D72*1000/$C$124</f>
        <v>34.174418604651166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74" spans="1:41" hidden="1" outlineLevel="1" x14ac:dyDescent="0.2">
      <c r="A74" s="11"/>
      <c r="B74" s="186" t="s">
        <v>265</v>
      </c>
      <c r="C74" s="185" t="s">
        <v>18</v>
      </c>
      <c r="D74" s="54">
        <f>(D72-D40-G40)*1000/$C$124</f>
        <v>33.884790841673265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</row>
    <row r="75" spans="1:41" hidden="1" outlineLevel="1" x14ac:dyDescent="0.2">
      <c r="A75" s="11"/>
      <c r="B75" s="95" t="s">
        <v>272</v>
      </c>
      <c r="C75" s="185" t="s">
        <v>18</v>
      </c>
      <c r="D75" s="57">
        <f>D74-D73</f>
        <v>-0.28962776297790072</v>
      </c>
      <c r="E75" s="40" t="s">
        <v>263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</row>
    <row r="76" spans="1:41" hidden="1" outlineLevel="1" x14ac:dyDescent="0.2">
      <c r="A76" s="11"/>
      <c r="B76" s="95" t="s">
        <v>273</v>
      </c>
      <c r="C76" s="185"/>
      <c r="D76" s="2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</row>
    <row r="77" spans="1:41" hidden="1" outlineLevel="1" x14ac:dyDescent="0.2">
      <c r="A77" s="11"/>
      <c r="B77" s="187" t="s">
        <v>266</v>
      </c>
      <c r="C77" s="184" t="s">
        <v>98</v>
      </c>
      <c r="D77" s="54">
        <f>D75*C125/1000</f>
        <v>-0.72406940744475168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1:41" hidden="1" outlineLevel="1" x14ac:dyDescent="0.2">
      <c r="A78" s="11"/>
      <c r="B78" s="187" t="s">
        <v>267</v>
      </c>
      <c r="C78" s="184" t="s">
        <v>98</v>
      </c>
      <c r="D78" s="54">
        <f>D75*(C124-C125-C126)/1000</f>
        <v>-1.3902132622939234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</row>
    <row r="79" spans="1:41" hidden="1" outlineLevel="1" x14ac:dyDescent="0.2">
      <c r="A79" s="11"/>
      <c r="B79" s="187" t="s">
        <v>220</v>
      </c>
      <c r="C79" s="184" t="s">
        <v>98</v>
      </c>
      <c r="D79" s="54">
        <f>D75*C126/1000</f>
        <v>-0.37651609187127094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</row>
    <row r="80" spans="1:41" hidden="1" outlineLevel="1" x14ac:dyDescent="0.2">
      <c r="A80" s="11"/>
      <c r="B80" s="59"/>
      <c r="C80" s="60"/>
      <c r="D80" s="6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</row>
    <row r="81" spans="1:41" collapsed="1" x14ac:dyDescent="0.2">
      <c r="A81" s="11"/>
      <c r="B81" s="12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</row>
    <row r="82" spans="1:41" x14ac:dyDescent="0.2">
      <c r="A82" s="8" t="s">
        <v>125</v>
      </c>
      <c r="B82" s="9" t="s">
        <v>191</v>
      </c>
      <c r="C82" s="62"/>
      <c r="D82" s="62"/>
      <c r="E82" s="62"/>
      <c r="F82" s="62"/>
      <c r="G82" s="62"/>
      <c r="H82" s="62"/>
      <c r="I82" s="62"/>
      <c r="J82" s="9"/>
      <c r="K82" s="9"/>
      <c r="L82" s="9"/>
      <c r="M82" s="9"/>
      <c r="N82" s="9"/>
    </row>
    <row r="83" spans="1:41" ht="5.25" hidden="1" customHeight="1" outlineLevel="1" x14ac:dyDescent="0.2">
      <c r="A83" s="11"/>
    </row>
    <row r="84" spans="1:41" hidden="1" outlineLevel="1" x14ac:dyDescent="0.2">
      <c r="A84" s="11"/>
      <c r="B84" s="63" t="s">
        <v>97</v>
      </c>
      <c r="C84" s="64">
        <v>0.05</v>
      </c>
    </row>
    <row r="85" spans="1:41" ht="3.75" hidden="1" customHeight="1" outlineLevel="1" x14ac:dyDescent="0.2">
      <c r="A85" s="11"/>
      <c r="B85" s="63"/>
      <c r="C85" s="63"/>
    </row>
    <row r="86" spans="1:41" hidden="1" outlineLevel="1" x14ac:dyDescent="0.2">
      <c r="A86" s="11"/>
      <c r="B86" s="65" t="s">
        <v>192</v>
      </c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41" ht="7.5" hidden="1" customHeight="1" outlineLevel="1" x14ac:dyDescent="0.2">
      <c r="A87" s="11"/>
    </row>
    <row r="88" spans="1:41" ht="38.25" hidden="1" outlineLevel="1" x14ac:dyDescent="0.2">
      <c r="A88" s="11"/>
      <c r="B88" s="68"/>
      <c r="C88" s="69" t="s">
        <v>21</v>
      </c>
      <c r="D88" s="13" t="s">
        <v>29</v>
      </c>
      <c r="E88" s="13" t="s">
        <v>30</v>
      </c>
      <c r="F88" s="13" t="s">
        <v>133</v>
      </c>
      <c r="G88" s="13" t="s">
        <v>134</v>
      </c>
      <c r="H88" s="70" t="s">
        <v>92</v>
      </c>
      <c r="I88" s="13" t="s">
        <v>387</v>
      </c>
      <c r="L88" s="13" t="s">
        <v>63</v>
      </c>
      <c r="M88" s="13" t="s">
        <v>30</v>
      </c>
      <c r="N88" s="13" t="s">
        <v>85</v>
      </c>
    </row>
    <row r="89" spans="1:41" hidden="1" outlineLevel="1" x14ac:dyDescent="0.2">
      <c r="A89" s="11"/>
      <c r="B89" s="16" t="s">
        <v>89</v>
      </c>
      <c r="C89" s="71" t="s">
        <v>22</v>
      </c>
      <c r="D89" s="72">
        <f t="shared" ref="D89:I89" si="13">-PV(C84,D11,D6/D11)*(1-D14)</f>
        <v>1033.2809638209949</v>
      </c>
      <c r="E89" s="72">
        <f t="shared" si="13"/>
        <v>1600</v>
      </c>
      <c r="F89" s="72">
        <f t="shared" si="13"/>
        <v>1000</v>
      </c>
      <c r="G89" s="72">
        <f t="shared" si="13"/>
        <v>666.66666666666663</v>
      </c>
      <c r="H89" s="72">
        <f t="shared" si="13"/>
        <v>1500</v>
      </c>
      <c r="I89" s="72">
        <f t="shared" si="13"/>
        <v>111</v>
      </c>
      <c r="L89" s="72">
        <f>-PV(C84,L11,L6/L11)</f>
        <v>986.66666666666754</v>
      </c>
      <c r="M89" s="72">
        <f>-PV(C84,M11,M6/M11)</f>
        <v>1428.5714285714298</v>
      </c>
      <c r="N89" s="72">
        <f>-PV(C84,N11,N6/N11)</f>
        <v>47.619047619047656</v>
      </c>
    </row>
    <row r="90" spans="1:41" hidden="1" outlineLevel="1" x14ac:dyDescent="0.2">
      <c r="A90" s="11"/>
      <c r="B90" s="16" t="s">
        <v>86</v>
      </c>
      <c r="C90" s="71" t="s">
        <v>22</v>
      </c>
      <c r="D90" s="72">
        <f>C344/500000</f>
        <v>80.870400000000004</v>
      </c>
      <c r="E90" s="72"/>
      <c r="F90" s="72"/>
      <c r="G90" s="72"/>
      <c r="H90" s="72"/>
      <c r="I90" s="72"/>
      <c r="L90" s="72"/>
      <c r="M90" s="72"/>
      <c r="N90" s="72"/>
    </row>
    <row r="91" spans="1:41" hidden="1" outlineLevel="1" x14ac:dyDescent="0.2">
      <c r="A91" s="11"/>
      <c r="B91" s="16" t="s">
        <v>90</v>
      </c>
      <c r="C91" s="71" t="s">
        <v>22</v>
      </c>
      <c r="D91" s="72">
        <f>D6*D13/(1+C84)^(D12+D11)</f>
        <v>3.8733787923147123</v>
      </c>
      <c r="E91" s="72">
        <f>E6*E13/(1+C84)^(E12+E11)</f>
        <v>17.628757992827278</v>
      </c>
      <c r="F91" s="72">
        <f>F6*F13/(1+C84)^(F12+F11)</f>
        <v>29.233964454321871</v>
      </c>
      <c r="G91" s="72">
        <f>G6*G13/(1+C84)^(G12+G11)</f>
        <v>19.489309636214582</v>
      </c>
      <c r="H91" s="72">
        <f>H6*H13/(1+C84)^(H12+H11)</f>
        <v>16.526960618275574</v>
      </c>
      <c r="I91" s="72">
        <f>I6*I13/(1+C84)^(I12+I11)</f>
        <v>1.4865581704513193</v>
      </c>
      <c r="L91" s="72">
        <f>L6*L13/(1+C84)^L12</f>
        <v>15.296683573944078</v>
      </c>
      <c r="M91" s="72">
        <f>M6*M13/(1+C84)^(M12+M11)</f>
        <v>16.526960618275574</v>
      </c>
      <c r="N91" s="72">
        <f>N6*N13/(1+C84)^(N12+N11)</f>
        <v>0.70310183737562404</v>
      </c>
    </row>
    <row r="92" spans="1:41" hidden="1" outlineLevel="1" x14ac:dyDescent="0.2">
      <c r="A92" s="11"/>
      <c r="B92" s="16" t="s">
        <v>287</v>
      </c>
      <c r="C92" s="71" t="s">
        <v>22</v>
      </c>
      <c r="D92" s="72">
        <f>-PV(C84,D12,D22+D25+D26+D27)/(1+C84)^D11</f>
        <v>2941.7167545304151</v>
      </c>
      <c r="E92" s="72">
        <f>-PV(C84,E12,E22+E25+E26+E27)/(1+C84)^E11</f>
        <v>6751.8216274936376</v>
      </c>
      <c r="F92" s="72">
        <f>-PV(C84,F12,F22+F25+F26+F27)/(1+C84)^F11</f>
        <v>1940.2189224417584</v>
      </c>
      <c r="G92" s="72">
        <f>-PV(C84,G12,G22+G25+G26+G27)/(1+C84)^G11</f>
        <v>1275.7603873589644</v>
      </c>
      <c r="H92" s="72">
        <f>-PV(C84,H12,H22+H25+H26+H27)/(1+C84)^H11</f>
        <v>2698.5239745476615</v>
      </c>
      <c r="I92" s="72">
        <f>-PV(C84,I12,I22+I25+I26+I27)/(1+C84)^I11</f>
        <v>37.50297619267775</v>
      </c>
      <c r="L92" s="72">
        <f>-PV(C84,L12,L22)/(1+C84)^L11</f>
        <v>0</v>
      </c>
      <c r="M92" s="72">
        <f>-PV(C84,M12,M22+M25+M26+M27)/(1+C84)^M11</f>
        <v>12195.764881906451</v>
      </c>
      <c r="N92" s="72">
        <f>-PV(C84,N12,N22+N25+N26+N27)/(1+C84)^N11</f>
        <v>112.75155652835807</v>
      </c>
    </row>
    <row r="93" spans="1:41" hidden="1" outlineLevel="1" x14ac:dyDescent="0.2">
      <c r="A93" s="11"/>
      <c r="B93" s="16" t="s">
        <v>16</v>
      </c>
      <c r="C93" s="71" t="s">
        <v>22</v>
      </c>
      <c r="D93" s="72">
        <f>-PV(C84,D12,D28)/(1+C84)^D11</f>
        <v>137.85029475878079</v>
      </c>
      <c r="E93" s="72">
        <f>-PV(C84,E12,E28)/(1+C84)^E11</f>
        <v>1873.9749823247648</v>
      </c>
      <c r="F93" s="72">
        <f>-PV(C84,F12,F28)/(1+C84)^F11</f>
        <v>147.08066531780594</v>
      </c>
      <c r="G93" s="72">
        <f>-PV(C84,G12,G28)/(1+C84)^G11</f>
        <v>98.053776878537292</v>
      </c>
      <c r="H93" s="72">
        <f>-PV(C84,H12,H28)/(1+C84)^H11</f>
        <v>439.2128864823668</v>
      </c>
      <c r="I93" s="72">
        <f>-PV(C84,I12,I28)/(1+C84)^I11</f>
        <v>14.189821739963431</v>
      </c>
      <c r="L93" s="72">
        <f>-PV(C84,L12,L28)/(1+C84)^L11</f>
        <v>278.12050610328316</v>
      </c>
      <c r="M93" s="72">
        <f>-PV(C84,M12,M28)/(1+C84)^M11</f>
        <v>1317.6386594471003</v>
      </c>
      <c r="N93" s="72">
        <f>-PV(C84,N12,N28)/(1+C84)^N11</f>
        <v>13.422804348614054</v>
      </c>
    </row>
    <row r="94" spans="1:41" hidden="1" outlineLevel="1" x14ac:dyDescent="0.2">
      <c r="A94" s="11"/>
      <c r="B94" s="16" t="s">
        <v>87</v>
      </c>
      <c r="C94" s="71" t="s">
        <v>22</v>
      </c>
      <c r="D94" s="72">
        <f>-PV(C84,D12,D31*D30*12*1.338*HLOOKUP(ROUNDUP(D12/2,0),$C$109:$AZ$110,2,FALSE)/1000)/(1+C84)^D11</f>
        <v>35.116241292222334</v>
      </c>
      <c r="E94" s="72">
        <f>-PV(C84,E12,E31*E30*12*1.338*HLOOKUP(ROUNDUP(E12/2,0),$C$109:$AZ$110,2,FALSE)/1000)/(1+C84)^E11</f>
        <v>375.11528670648988</v>
      </c>
      <c r="F94" s="72">
        <f>-PV(C84,F12,F31*F30*12*1.338*HLOOKUP(ROUNDUP(F12/2,0),$C$109:$AZ$110,2,FALSE)/1000)/(1+C84)^F11</f>
        <v>0</v>
      </c>
      <c r="G94" s="72">
        <f>-PV(C84,G12,G31*G30*12*1.338*HLOOKUP(ROUNDUP(G12/2,0),$C$109:$AZ$110,2,FALSE)/1000)/(1+C84)^G11</f>
        <v>14.28089615867559</v>
      </c>
      <c r="H94" s="72">
        <f>-PV(C84,H12,H31*H30*12*1.338*HLOOKUP(ROUNDUP(H12/2,0),$C$109:$AZ$110,2,FALSE)/1000)/(1+C84)^H11</f>
        <v>31.259607225540819</v>
      </c>
      <c r="I94" s="72">
        <f>-PV(C84,I12,I31*I30*12*1.338*HLOOKUP(ROUNDUP(I12/2,0),$C$109:$AZ$110,2,FALSE)/1000)/(1+C84)^I11</f>
        <v>2.6030574030303901</v>
      </c>
      <c r="L94" s="72">
        <f>-PV(C84,L12,L31*L30*12*1.338*HLOOKUP(ROUNDUP(L12/2,0),$C$109:$AZ$110,2,FALSE)/1000)/(1+C84)^L11</f>
        <v>109.32841092727639</v>
      </c>
      <c r="M94" s="72">
        <f>-PV(C84,M12,M31*M30*12*1.338*HLOOKUP(ROUNDUP(M12/2,0),$C$109:$AZ$110,2,FALSE)/1000)/(1+C84)^M11</f>
        <v>375.11528670648988</v>
      </c>
      <c r="N94" s="72">
        <f>-PV(C84,N12,N31*N30*12*1.338*HLOOKUP(ROUNDUP(N12/2,0),$C$109:$AZ$110,2,FALSE)/1000)/(1+C84)^N11</f>
        <v>2.7332102731819097</v>
      </c>
    </row>
    <row r="95" spans="1:41" hidden="1" outlineLevel="1" x14ac:dyDescent="0.2">
      <c r="A95" s="11"/>
      <c r="B95" s="50" t="s">
        <v>111</v>
      </c>
      <c r="C95" s="71" t="s">
        <v>22</v>
      </c>
      <c r="D95" s="73">
        <f>SUM(D91:D94)-D90+D89</f>
        <v>4070.9672331947277</v>
      </c>
      <c r="E95" s="73">
        <f t="shared" ref="E95:F95" si="14">SUM(E91:E94)-E90+E89</f>
        <v>10618.540654517719</v>
      </c>
      <c r="F95" s="73">
        <f t="shared" si="14"/>
        <v>3116.5335522138862</v>
      </c>
      <c r="G95" s="73">
        <f t="shared" ref="G95:I95" si="15">SUM(G91:G94)-G90+G89</f>
        <v>2074.2510366990587</v>
      </c>
      <c r="H95" s="73">
        <f t="shared" ref="H95" si="16">SUM(H91:H94)-H90+H89</f>
        <v>4685.5234288738448</v>
      </c>
      <c r="I95" s="73">
        <f t="shared" si="15"/>
        <v>166.78241350612291</v>
      </c>
      <c r="L95" s="73">
        <f>SUM(L89:L94)</f>
        <v>1389.412267271171</v>
      </c>
      <c r="M95" s="73">
        <f t="shared" ref="M95:N95" si="17">SUM(M91:M94)-M90+M89</f>
        <v>15333.617217249746</v>
      </c>
      <c r="N95" s="73">
        <f t="shared" si="17"/>
        <v>177.2297206065773</v>
      </c>
    </row>
    <row r="96" spans="1:41" hidden="1" outlineLevel="1" x14ac:dyDescent="0.2">
      <c r="A96" s="11"/>
      <c r="B96" s="74"/>
      <c r="C96" s="75"/>
      <c r="D96" s="74"/>
      <c r="E96" s="74"/>
      <c r="F96" s="74"/>
      <c r="G96" s="74"/>
      <c r="H96" s="74"/>
      <c r="I96" s="74"/>
      <c r="L96" s="74"/>
      <c r="M96" s="74"/>
      <c r="N96" s="74"/>
    </row>
    <row r="97" spans="1:53" hidden="1" outlineLevel="1" x14ac:dyDescent="0.2">
      <c r="A97" s="11"/>
      <c r="B97" s="50" t="s">
        <v>88</v>
      </c>
      <c r="C97" s="50" t="s">
        <v>26</v>
      </c>
      <c r="D97" s="76">
        <f t="shared" ref="D97:I97" si="18">-PV($C$84,D12,D19*D18/1000)/(1+$C$84)^D11</f>
        <v>31.137948933748127</v>
      </c>
      <c r="E97" s="76">
        <f t="shared" si="18"/>
        <v>35.137030918589339</v>
      </c>
      <c r="F97" s="76">
        <f t="shared" si="18"/>
        <v>14.119743870509369</v>
      </c>
      <c r="G97" s="76">
        <f t="shared" si="18"/>
        <v>14.119743870509369</v>
      </c>
      <c r="H97" s="76">
        <f t="shared" si="18"/>
        <v>28.109624734871471</v>
      </c>
      <c r="I97" s="76">
        <f t="shared" si="18"/>
        <v>0.79897644932226519</v>
      </c>
      <c r="L97" s="76">
        <f>-PV($C$84,L12,1*L19/1000)/(1+$C$84)^L11</f>
        <v>14.76508478347546</v>
      </c>
      <c r="M97" s="76">
        <f>-PV($C$84,M12,1*M19/1000)/(1+$C$84)^M11</f>
        <v>62.953847062472576</v>
      </c>
      <c r="N97" s="76">
        <f>-PV($C$84,N12,1*N19/1000)/(1+$C$84)^N11</f>
        <v>0.84563667396268538</v>
      </c>
    </row>
    <row r="98" spans="1:53" hidden="1" outlineLevel="1" x14ac:dyDescent="0.2">
      <c r="A98" s="11"/>
      <c r="B98" s="77" t="s">
        <v>27</v>
      </c>
      <c r="C98" s="77" t="s">
        <v>18</v>
      </c>
      <c r="D98" s="78">
        <f>D95/D97</f>
        <v>130.73973632163379</v>
      </c>
      <c r="E98" s="78">
        <f t="shared" ref="E98:I98" si="19">E95/E97</f>
        <v>302.20369726515372</v>
      </c>
      <c r="F98" s="78">
        <f t="shared" si="19"/>
        <v>220.72167744650864</v>
      </c>
      <c r="G98" s="78">
        <f t="shared" si="19"/>
        <v>146.90429626215521</v>
      </c>
      <c r="H98" s="78">
        <f>H95/H97</f>
        <v>166.68751266043071</v>
      </c>
      <c r="I98" s="78">
        <f t="shared" si="19"/>
        <v>208.74509335988154</v>
      </c>
      <c r="L98" s="78">
        <f t="shared" ref="L98" si="20">L95/L97</f>
        <v>94.10120481164796</v>
      </c>
      <c r="M98" s="78">
        <f>M95/M97</f>
        <v>243.56918493056273</v>
      </c>
      <c r="N98" s="78">
        <f>N95/N97</f>
        <v>209.58140305820956</v>
      </c>
    </row>
    <row r="99" spans="1:53" hidden="1" outlineLevel="1" x14ac:dyDescent="0.2">
      <c r="A99" s="11"/>
      <c r="M99" s="79">
        <f>M98/33</f>
        <v>7.3808843918352345</v>
      </c>
    </row>
    <row r="100" spans="1:53" hidden="1" outlineLevel="1" x14ac:dyDescent="0.2">
      <c r="A100" s="11"/>
      <c r="B100" s="29" t="s">
        <v>115</v>
      </c>
      <c r="C100" s="29" t="s">
        <v>18</v>
      </c>
      <c r="D100" s="80">
        <f>D92/D97</f>
        <v>94.473684210526315</v>
      </c>
      <c r="E100" s="80">
        <f t="shared" ref="E100:I100" si="21">E92/E97</f>
        <v>192.15686274509804</v>
      </c>
      <c r="F100" s="80">
        <f t="shared" si="21"/>
        <v>137.41176470588238</v>
      </c>
      <c r="G100" s="80">
        <f t="shared" si="21"/>
        <v>90.352941176470608</v>
      </c>
      <c r="H100" s="80">
        <f t="shared" si="21"/>
        <v>96.000000000000014</v>
      </c>
      <c r="I100" s="80">
        <f t="shared" si="21"/>
        <v>46.938775510204074</v>
      </c>
      <c r="L100" s="81"/>
      <c r="M100" s="82" t="s">
        <v>60</v>
      </c>
    </row>
    <row r="101" spans="1:53" hidden="1" outlineLevel="1" x14ac:dyDescent="0.2">
      <c r="A101" s="11"/>
      <c r="B101" s="58" t="s">
        <v>186</v>
      </c>
      <c r="C101" s="29" t="s">
        <v>18</v>
      </c>
      <c r="D101" s="80">
        <f t="shared" ref="D101:I101" si="22">D100*(D24/D23)</f>
        <v>22.673684210526321</v>
      </c>
      <c r="E101" s="80">
        <f t="shared" si="22"/>
        <v>133.35686274509806</v>
      </c>
      <c r="F101" s="80">
        <f t="shared" si="22"/>
        <v>20.611764705882358</v>
      </c>
      <c r="G101" s="80">
        <f t="shared" si="22"/>
        <v>13.552941176470593</v>
      </c>
      <c r="H101" s="80">
        <f t="shared" si="22"/>
        <v>19.200000000000003</v>
      </c>
      <c r="I101" s="80">
        <f t="shared" si="22"/>
        <v>0.93877551020408245</v>
      </c>
      <c r="L101" s="81"/>
      <c r="M101" s="5"/>
    </row>
    <row r="102" spans="1:53" hidden="1" outlineLevel="1" x14ac:dyDescent="0.2">
      <c r="A102" s="11"/>
      <c r="B102" s="29" t="s">
        <v>112</v>
      </c>
      <c r="C102" s="29" t="s">
        <v>18</v>
      </c>
      <c r="D102" s="83">
        <f>D98-D100</f>
        <v>36.26605211110747</v>
      </c>
      <c r="E102" s="83">
        <f t="shared" ref="E102:I102" si="23">E98-E100</f>
        <v>110.04683452005568</v>
      </c>
      <c r="F102" s="83">
        <f>F98-F100</f>
        <v>83.30991274062626</v>
      </c>
      <c r="G102" s="83">
        <f t="shared" si="23"/>
        <v>56.551355085684605</v>
      </c>
      <c r="H102" s="83">
        <f t="shared" si="23"/>
        <v>70.687512660430698</v>
      </c>
      <c r="I102" s="83">
        <f t="shared" si="23"/>
        <v>161.80631784967747</v>
      </c>
      <c r="L102" s="81"/>
      <c r="M102" s="5"/>
    </row>
    <row r="103" spans="1:53" hidden="1" outlineLevel="1" x14ac:dyDescent="0.2">
      <c r="A103" s="11"/>
      <c r="B103" s="60"/>
      <c r="C103" s="60"/>
      <c r="D103" s="81"/>
      <c r="E103" s="81"/>
      <c r="F103" s="81"/>
      <c r="G103" s="81"/>
      <c r="H103" s="81"/>
      <c r="I103" s="81"/>
      <c r="L103" s="81"/>
      <c r="M103" s="5"/>
    </row>
    <row r="104" spans="1:53" hidden="1" outlineLevel="1" x14ac:dyDescent="0.2">
      <c r="A104" s="11"/>
      <c r="B104" s="65" t="s">
        <v>193</v>
      </c>
      <c r="C104" s="66"/>
      <c r="D104" s="67"/>
      <c r="E104" s="67"/>
      <c r="F104" s="67"/>
      <c r="G104" s="67"/>
      <c r="H104" s="67"/>
      <c r="I104" s="67"/>
      <c r="L104" s="67"/>
      <c r="M104" s="67"/>
      <c r="N104" s="67"/>
    </row>
    <row r="105" spans="1:53" ht="6.75" hidden="1" customHeight="1" outlineLevel="1" x14ac:dyDescent="0.2">
      <c r="A105" s="11"/>
      <c r="B105" s="60"/>
      <c r="C105" s="60"/>
      <c r="D105" s="81"/>
      <c r="E105" s="81"/>
      <c r="F105" s="81"/>
      <c r="G105" s="81"/>
      <c r="H105" s="81"/>
      <c r="I105" s="81"/>
      <c r="L105" s="81"/>
      <c r="M105" s="5"/>
    </row>
    <row r="106" spans="1:53" hidden="1" outlineLevel="1" x14ac:dyDescent="0.2">
      <c r="A106" s="11"/>
      <c r="B106" s="84" t="s">
        <v>185</v>
      </c>
      <c r="C106" s="84" t="s">
        <v>28</v>
      </c>
      <c r="D106" s="85">
        <f>D49*D97-(D89-D90)-D92-D93-D94</f>
        <v>-361.67793128638613</v>
      </c>
      <c r="E106" s="85">
        <f>E49*E97-(E89-E90)-E92-E93-E94</f>
        <v>-5962.8238152711001</v>
      </c>
      <c r="F106" s="85">
        <f>F49*F97-(F89-F90)-F92-F93-F94</f>
        <v>-506.7751979852718</v>
      </c>
      <c r="G106" s="85">
        <f>G49*G97-(G89-G90)-G92-G93-G94</f>
        <v>-374.51220647222891</v>
      </c>
      <c r="H106" s="85">
        <f>H49*H97-(H89-H90)-H92-H93-H94</f>
        <v>-1323.9511248058641</v>
      </c>
      <c r="I106" s="85">
        <f>($D$61+I20)*I97-(I89-I90)-I92-I93-I94</f>
        <v>-122.15112707226925</v>
      </c>
      <c r="L106" s="81"/>
      <c r="M106" s="5"/>
      <c r="N106" s="85">
        <f>($D$61+N20)*N97-(N89-N90)-N92-N93-N94</f>
        <v>-134.24478507106741</v>
      </c>
    </row>
    <row r="107" spans="1:53" hidden="1" outlineLevel="1" x14ac:dyDescent="0.2">
      <c r="A107" s="11"/>
      <c r="B107" s="86" t="s">
        <v>187</v>
      </c>
      <c r="C107" s="86" t="s">
        <v>18</v>
      </c>
      <c r="D107" s="87">
        <f>D106/D97</f>
        <v>-11.615342168359396</v>
      </c>
      <c r="E107" s="87">
        <f t="shared" ref="E107:I107" si="24">E106/E97</f>
        <v>-169.70198276247788</v>
      </c>
      <c r="F107" s="87">
        <f t="shared" si="24"/>
        <v>-35.891245806783175</v>
      </c>
      <c r="G107" s="87">
        <f t="shared" si="24"/>
        <v>-26.524008502338251</v>
      </c>
      <c r="H107" s="87">
        <f t="shared" si="24"/>
        <v>-47.099565977607412</v>
      </c>
      <c r="I107" s="87">
        <f t="shared" si="24"/>
        <v>-152.88451515170993</v>
      </c>
      <c r="L107" s="81"/>
      <c r="M107" s="5"/>
      <c r="N107" s="87">
        <f>N106/N97</f>
        <v>-158.74995633998614</v>
      </c>
    </row>
    <row r="108" spans="1:53" hidden="1" outlineLevel="3" x14ac:dyDescent="0.2">
      <c r="A108" s="11"/>
      <c r="B108" s="34"/>
      <c r="C108" s="60"/>
      <c r="D108" s="88"/>
      <c r="E108" s="88"/>
      <c r="F108" s="88"/>
      <c r="G108" s="88"/>
      <c r="H108" s="88"/>
      <c r="I108" s="88"/>
      <c r="L108" s="81"/>
      <c r="M108" s="5"/>
    </row>
    <row r="109" spans="1:53" s="90" customFormat="1" ht="19.5" hidden="1" customHeight="1" outlineLevel="3" x14ac:dyDescent="0.2">
      <c r="A109" s="89"/>
      <c r="B109" s="90" t="s">
        <v>388</v>
      </c>
      <c r="C109" s="90">
        <v>1</v>
      </c>
      <c r="D109" s="90">
        <v>2</v>
      </c>
      <c r="E109" s="90">
        <v>3</v>
      </c>
      <c r="F109" s="90">
        <v>4</v>
      </c>
      <c r="G109" s="90">
        <v>5</v>
      </c>
      <c r="H109" s="90">
        <v>6</v>
      </c>
      <c r="I109" s="90">
        <v>7</v>
      </c>
      <c r="J109" s="90">
        <v>8</v>
      </c>
      <c r="K109" s="90">
        <v>9</v>
      </c>
      <c r="L109" s="90">
        <v>10</v>
      </c>
      <c r="M109" s="90">
        <v>11</v>
      </c>
      <c r="N109" s="90">
        <v>12</v>
      </c>
      <c r="O109" s="90">
        <v>13</v>
      </c>
      <c r="P109" s="90">
        <v>14</v>
      </c>
      <c r="Q109" s="90">
        <v>15</v>
      </c>
      <c r="R109" s="90">
        <v>16</v>
      </c>
      <c r="S109" s="90">
        <v>17</v>
      </c>
      <c r="T109" s="90">
        <v>18</v>
      </c>
      <c r="U109" s="90">
        <v>19</v>
      </c>
      <c r="V109" s="90">
        <v>20</v>
      </c>
      <c r="W109" s="90">
        <v>21</v>
      </c>
      <c r="X109" s="90">
        <v>22</v>
      </c>
      <c r="Y109" s="90">
        <v>23</v>
      </c>
      <c r="Z109" s="90">
        <v>24</v>
      </c>
      <c r="AA109" s="90">
        <v>25</v>
      </c>
      <c r="AB109" s="90">
        <v>26</v>
      </c>
      <c r="AC109" s="90">
        <v>27</v>
      </c>
      <c r="AD109" s="90">
        <v>28</v>
      </c>
      <c r="AE109" s="90">
        <v>29</v>
      </c>
      <c r="AF109" s="90">
        <v>30</v>
      </c>
      <c r="AG109" s="90">
        <v>31</v>
      </c>
      <c r="AH109" s="90">
        <v>32</v>
      </c>
      <c r="AI109" s="90">
        <v>33</v>
      </c>
      <c r="AJ109" s="90">
        <v>34</v>
      </c>
      <c r="AK109" s="90">
        <v>35</v>
      </c>
      <c r="AL109" s="90">
        <v>36</v>
      </c>
      <c r="AM109" s="90">
        <v>37</v>
      </c>
      <c r="AN109" s="90">
        <v>38</v>
      </c>
      <c r="AO109" s="90">
        <v>39</v>
      </c>
      <c r="AP109" s="90">
        <v>40</v>
      </c>
      <c r="AQ109" s="90">
        <v>40</v>
      </c>
      <c r="AR109" s="7">
        <v>41</v>
      </c>
      <c r="AS109" s="7">
        <v>42</v>
      </c>
      <c r="AX109" s="90">
        <v>44</v>
      </c>
      <c r="AY109" s="90">
        <v>45</v>
      </c>
      <c r="AZ109" s="90">
        <v>46</v>
      </c>
      <c r="BA109" s="90">
        <v>47</v>
      </c>
    </row>
    <row r="110" spans="1:53" s="92" customFormat="1" ht="19.5" hidden="1" customHeight="1" outlineLevel="3" x14ac:dyDescent="0.2">
      <c r="A110" s="91"/>
      <c r="B110" s="75" t="s">
        <v>241</v>
      </c>
      <c r="C110" s="74">
        <f>1</f>
        <v>1</v>
      </c>
      <c r="D110" s="74">
        <f>C110*1.024</f>
        <v>1.024</v>
      </c>
      <c r="E110" s="74">
        <f>D110*1.024</f>
        <v>1.048576</v>
      </c>
      <c r="F110" s="74">
        <f>E110*1.024</f>
        <v>1.0737418240000001</v>
      </c>
      <c r="G110" s="74">
        <f>F110*1.024</f>
        <v>1.0995116277760002</v>
      </c>
      <c r="H110" s="74">
        <f>G110*1.024</f>
        <v>1.1258999068426243</v>
      </c>
      <c r="I110" s="74">
        <f>1</f>
        <v>1</v>
      </c>
      <c r="J110" s="74">
        <f t="shared" ref="J110:AS110" si="25">I110*1.024</f>
        <v>1.024</v>
      </c>
      <c r="K110" s="74">
        <f t="shared" si="25"/>
        <v>1.048576</v>
      </c>
      <c r="L110" s="74">
        <f t="shared" si="25"/>
        <v>1.0737418240000001</v>
      </c>
      <c r="M110" s="74">
        <f t="shared" si="25"/>
        <v>1.0995116277760002</v>
      </c>
      <c r="N110" s="74">
        <f t="shared" si="25"/>
        <v>1.1258999068426243</v>
      </c>
      <c r="O110" s="74">
        <f t="shared" si="25"/>
        <v>1.1529215046068473</v>
      </c>
      <c r="P110" s="74">
        <f t="shared" si="25"/>
        <v>1.1805916207174116</v>
      </c>
      <c r="Q110" s="74">
        <f t="shared" si="25"/>
        <v>1.2089258196146295</v>
      </c>
      <c r="R110" s="74">
        <f t="shared" si="25"/>
        <v>1.2379400392853808</v>
      </c>
      <c r="S110" s="74">
        <f t="shared" si="25"/>
        <v>1.26765060022823</v>
      </c>
      <c r="T110" s="74">
        <f t="shared" si="25"/>
        <v>1.2980742146337074</v>
      </c>
      <c r="U110" s="74">
        <f t="shared" si="25"/>
        <v>1.3292279957849165</v>
      </c>
      <c r="V110" s="74">
        <f t="shared" si="25"/>
        <v>1.3611294676837544</v>
      </c>
      <c r="W110" s="74">
        <f t="shared" si="25"/>
        <v>1.3937965749081647</v>
      </c>
      <c r="X110" s="74">
        <f t="shared" si="25"/>
        <v>1.4272476927059607</v>
      </c>
      <c r="Y110" s="74">
        <f t="shared" si="25"/>
        <v>1.4615016373309038</v>
      </c>
      <c r="Z110" s="74">
        <f t="shared" si="25"/>
        <v>1.4965776766268455</v>
      </c>
      <c r="AA110" s="74">
        <f t="shared" si="25"/>
        <v>1.5324955408658898</v>
      </c>
      <c r="AB110" s="74">
        <f t="shared" si="25"/>
        <v>1.5692754338466712</v>
      </c>
      <c r="AC110" s="74">
        <f t="shared" si="25"/>
        <v>1.6069380442589913</v>
      </c>
      <c r="AD110" s="74">
        <f t="shared" si="25"/>
        <v>1.6455045573212073</v>
      </c>
      <c r="AE110" s="74">
        <f t="shared" si="25"/>
        <v>1.6849966666969163</v>
      </c>
      <c r="AF110" s="74">
        <f t="shared" si="25"/>
        <v>1.7254365866976422</v>
      </c>
      <c r="AG110" s="74">
        <f t="shared" si="25"/>
        <v>1.7668470647783856</v>
      </c>
      <c r="AH110" s="74">
        <f t="shared" si="25"/>
        <v>1.8092513943330668</v>
      </c>
      <c r="AI110" s="74">
        <f t="shared" si="25"/>
        <v>1.8526734277970605</v>
      </c>
      <c r="AJ110" s="74">
        <f t="shared" si="25"/>
        <v>1.89713759006419</v>
      </c>
      <c r="AK110" s="74">
        <f t="shared" si="25"/>
        <v>1.9426688922257307</v>
      </c>
      <c r="AL110" s="74">
        <f t="shared" si="25"/>
        <v>1.9892929456391484</v>
      </c>
      <c r="AM110" s="74">
        <f t="shared" si="25"/>
        <v>2.0370359763344879</v>
      </c>
      <c r="AN110" s="74">
        <f t="shared" si="25"/>
        <v>2.0859248397665158</v>
      </c>
      <c r="AO110" s="74">
        <f t="shared" si="25"/>
        <v>2.1359870359209121</v>
      </c>
      <c r="AP110" s="74">
        <f t="shared" si="25"/>
        <v>2.1872507247830142</v>
      </c>
      <c r="AQ110" s="74">
        <f t="shared" si="25"/>
        <v>2.2397447421778067</v>
      </c>
      <c r="AR110" s="7">
        <f t="shared" si="25"/>
        <v>2.2934986159900741</v>
      </c>
      <c r="AS110" s="7">
        <f t="shared" si="25"/>
        <v>2.348542582773836</v>
      </c>
      <c r="AW110" s="74"/>
      <c r="AX110" s="74">
        <f t="shared" ref="AX110:AZ110" si="26">AW110*1.024</f>
        <v>0</v>
      </c>
      <c r="AY110" s="74">
        <f t="shared" si="26"/>
        <v>0</v>
      </c>
      <c r="AZ110" s="74">
        <f t="shared" si="26"/>
        <v>0</v>
      </c>
    </row>
    <row r="111" spans="1:53" s="92" customFormat="1" ht="19.5" hidden="1" customHeight="1" outlineLevel="2" collapsed="1" x14ac:dyDescent="0.2">
      <c r="A111" s="91"/>
      <c r="B111" s="75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"/>
      <c r="AS111" s="7"/>
      <c r="AW111" s="74"/>
      <c r="AX111" s="74"/>
      <c r="AY111" s="74"/>
      <c r="AZ111" s="74"/>
    </row>
    <row r="112" spans="1:53" s="92" customFormat="1" collapsed="1" x14ac:dyDescent="0.2">
      <c r="A112" s="91"/>
      <c r="B112" s="75"/>
      <c r="C112" s="75"/>
      <c r="D112" s="75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"/>
      <c r="AV112" s="7"/>
      <c r="AW112" s="74"/>
      <c r="AX112" s="74"/>
      <c r="AY112" s="74"/>
      <c r="AZ112" s="74"/>
    </row>
    <row r="113" spans="1:52" s="92" customFormat="1" x14ac:dyDescent="0.2">
      <c r="A113" s="8" t="s">
        <v>0</v>
      </c>
      <c r="B113" s="9" t="s">
        <v>245</v>
      </c>
      <c r="C113" s="62"/>
      <c r="D113" s="62"/>
      <c r="E113" s="62"/>
      <c r="F113" s="62"/>
      <c r="G113" s="62"/>
      <c r="H113" s="62"/>
      <c r="I113" s="62"/>
      <c r="J113" s="9"/>
      <c r="K113" s="9"/>
      <c r="L113" s="9"/>
      <c r="M113" s="9"/>
      <c r="N113" s="9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"/>
      <c r="AV113" s="7"/>
      <c r="AW113" s="74"/>
      <c r="AX113" s="74"/>
      <c r="AY113" s="74"/>
      <c r="AZ113" s="74"/>
    </row>
    <row r="114" spans="1:52" s="92" customFormat="1" hidden="1" outlineLevel="1" x14ac:dyDescent="0.2">
      <c r="A114" s="91"/>
      <c r="B114" s="75"/>
      <c r="C114" s="75"/>
      <c r="D114" s="75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"/>
      <c r="AV114" s="7"/>
      <c r="AW114" s="74"/>
      <c r="AX114" s="74"/>
      <c r="AY114" s="74"/>
      <c r="AZ114" s="74"/>
    </row>
    <row r="115" spans="1:52" s="92" customFormat="1" hidden="1" outlineLevel="1" x14ac:dyDescent="0.2">
      <c r="A115" s="91"/>
      <c r="B115" s="68"/>
      <c r="C115" s="251" t="s">
        <v>29</v>
      </c>
      <c r="D115" s="252"/>
      <c r="E115" s="251" t="s">
        <v>32</v>
      </c>
      <c r="F115" s="252"/>
      <c r="G115" s="251" t="s">
        <v>106</v>
      </c>
      <c r="H115" s="252"/>
      <c r="J115" s="74"/>
      <c r="K115" s="93"/>
      <c r="L115" s="94" t="s">
        <v>95</v>
      </c>
      <c r="M115" s="95" t="s">
        <v>257</v>
      </c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"/>
      <c r="AV115" s="7"/>
      <c r="AW115" s="74"/>
      <c r="AX115" s="74"/>
      <c r="AY115" s="74"/>
      <c r="AZ115" s="74"/>
    </row>
    <row r="116" spans="1:52" s="92" customFormat="1" hidden="1" outlineLevel="1" x14ac:dyDescent="0.2">
      <c r="A116" s="91"/>
      <c r="B116" s="96" t="s">
        <v>100</v>
      </c>
      <c r="C116" s="97" t="s">
        <v>23</v>
      </c>
      <c r="D116" s="17">
        <v>12</v>
      </c>
      <c r="E116" s="97" t="s">
        <v>102</v>
      </c>
      <c r="F116" s="26">
        <v>0.3</v>
      </c>
      <c r="G116" s="97" t="s">
        <v>102</v>
      </c>
      <c r="H116" s="26">
        <v>0.3</v>
      </c>
      <c r="I116" s="74"/>
      <c r="J116" s="74"/>
      <c r="K116" s="95" t="s">
        <v>163</v>
      </c>
      <c r="L116" s="98">
        <v>4.5999999999999996</v>
      </c>
      <c r="M116" s="98">
        <v>0.5</v>
      </c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"/>
      <c r="AV116" s="7"/>
      <c r="AW116" s="74"/>
      <c r="AX116" s="74"/>
      <c r="AY116" s="74"/>
      <c r="AZ116" s="74"/>
    </row>
    <row r="117" spans="1:52" s="92" customFormat="1" hidden="1" outlineLevel="1" x14ac:dyDescent="0.2">
      <c r="A117" s="91"/>
      <c r="B117" s="96" t="s">
        <v>101</v>
      </c>
      <c r="C117" s="97" t="s">
        <v>105</v>
      </c>
      <c r="D117" s="26">
        <v>1</v>
      </c>
      <c r="E117" s="97" t="s">
        <v>104</v>
      </c>
      <c r="F117" s="26">
        <v>1</v>
      </c>
      <c r="G117" s="97"/>
      <c r="H117" s="99"/>
      <c r="I117" s="74"/>
      <c r="J117" s="74"/>
      <c r="K117" s="95" t="s">
        <v>249</v>
      </c>
      <c r="L117" s="98">
        <v>8.8000000000000007</v>
      </c>
      <c r="M117" s="98">
        <v>1</v>
      </c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"/>
      <c r="AV117" s="7"/>
      <c r="AW117" s="74"/>
      <c r="AX117" s="74"/>
      <c r="AY117" s="74"/>
      <c r="AZ117" s="74"/>
    </row>
    <row r="118" spans="1:52" s="92" customFormat="1" hidden="1" outlineLevel="1" x14ac:dyDescent="0.2">
      <c r="A118" s="91"/>
      <c r="B118" s="100" t="s">
        <v>99</v>
      </c>
      <c r="C118" s="101" t="s">
        <v>247</v>
      </c>
      <c r="D118" s="102">
        <f>D116*D33*D19*D117/1000000</f>
        <v>15.84</v>
      </c>
      <c r="E118" s="101" t="s">
        <v>103</v>
      </c>
      <c r="F118" s="102">
        <f>F36*F116*F117</f>
        <v>36</v>
      </c>
      <c r="G118" s="101" t="s">
        <v>103</v>
      </c>
      <c r="H118" s="103">
        <f>H116*I36</f>
        <v>10.656000000000001</v>
      </c>
      <c r="I118" s="74"/>
      <c r="J118" s="74"/>
      <c r="K118" s="95" t="s">
        <v>220</v>
      </c>
      <c r="L118" s="98">
        <v>2.4</v>
      </c>
      <c r="M118" s="98">
        <v>0.3</v>
      </c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"/>
      <c r="AV118" s="7"/>
      <c r="AW118" s="74"/>
      <c r="AX118" s="74"/>
      <c r="AY118" s="74"/>
      <c r="AZ118" s="74"/>
    </row>
    <row r="119" spans="1:52" s="92" customFormat="1" hidden="1" outlineLevel="1" x14ac:dyDescent="0.2">
      <c r="A119" s="91"/>
      <c r="B119" s="104" t="s">
        <v>108</v>
      </c>
      <c r="C119" s="105" t="s">
        <v>246</v>
      </c>
      <c r="D119" s="106">
        <f>D118*1000/$C$124</f>
        <v>1.8418604651162791</v>
      </c>
      <c r="E119" s="105" t="s">
        <v>246</v>
      </c>
      <c r="F119" s="106">
        <f>(F118*C129+F118/F12)*1000/$C$124</f>
        <v>0.62790697674418605</v>
      </c>
      <c r="G119" s="105" t="s">
        <v>246</v>
      </c>
      <c r="H119" s="106">
        <f>(H118*C129+H118/I12)*1000/$C$127</f>
        <v>0.39144489795918369</v>
      </c>
      <c r="I119" s="74"/>
      <c r="J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"/>
      <c r="AV119" s="7"/>
      <c r="AW119" s="74"/>
      <c r="AX119" s="74"/>
      <c r="AY119" s="74"/>
      <c r="AZ119" s="74"/>
    </row>
    <row r="120" spans="1:52" s="92" customFormat="1" hidden="1" outlineLevel="1" x14ac:dyDescent="0.2">
      <c r="A120" s="91"/>
      <c r="B120" s="107" t="s">
        <v>163</v>
      </c>
      <c r="C120" s="108" t="s">
        <v>247</v>
      </c>
      <c r="D120" s="109">
        <f>D119*C125/1000</f>
        <v>4.6046511627906979</v>
      </c>
      <c r="E120" s="108" t="s">
        <v>247</v>
      </c>
      <c r="F120" s="109">
        <f>F119*C125/1000</f>
        <v>1.5697674418604652</v>
      </c>
      <c r="G120" s="108" t="s">
        <v>247</v>
      </c>
      <c r="H120" s="110">
        <f>H119*C128/1000</f>
        <v>0.67132799999999992</v>
      </c>
      <c r="I120" s="74"/>
      <c r="J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"/>
      <c r="AV120" s="7"/>
      <c r="AW120" s="74"/>
      <c r="AX120" s="74"/>
      <c r="AY120" s="74"/>
      <c r="AZ120" s="74"/>
    </row>
    <row r="121" spans="1:52" s="92" customFormat="1" hidden="1" outlineLevel="1" x14ac:dyDescent="0.2">
      <c r="A121" s="91"/>
      <c r="B121" s="107" t="s">
        <v>249</v>
      </c>
      <c r="C121" s="108" t="s">
        <v>247</v>
      </c>
      <c r="D121" s="109">
        <f>D119*(C124-C125-C126)/1000</f>
        <v>8.84093023255814</v>
      </c>
      <c r="E121" s="108" t="s">
        <v>247</v>
      </c>
      <c r="F121" s="109">
        <f>F119*(C124-C125-C126)/1000</f>
        <v>3.0139534883720929</v>
      </c>
      <c r="G121" s="108" t="s">
        <v>247</v>
      </c>
      <c r="H121" s="110">
        <f>H119*(C127-C128)*0.5/1000</f>
        <v>0.14385599999999998</v>
      </c>
      <c r="I121" s="74"/>
      <c r="J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"/>
      <c r="AV121" s="7"/>
      <c r="AW121" s="74"/>
      <c r="AX121" s="74"/>
      <c r="AY121" s="74"/>
      <c r="AZ121" s="74"/>
    </row>
    <row r="122" spans="1:52" s="92" customFormat="1" hidden="1" outlineLevel="1" x14ac:dyDescent="0.2">
      <c r="A122" s="91"/>
      <c r="B122" s="107" t="s">
        <v>220</v>
      </c>
      <c r="C122" s="108" t="s">
        <v>247</v>
      </c>
      <c r="D122" s="109">
        <f>D118-D120-D121</f>
        <v>2.3944186046511611</v>
      </c>
      <c r="E122" s="108" t="s">
        <v>247</v>
      </c>
      <c r="F122" s="109">
        <f>F119*C126/1000</f>
        <v>0.81627906976744191</v>
      </c>
      <c r="G122" s="108" t="s">
        <v>247</v>
      </c>
      <c r="H122" s="110">
        <f>H118-H120-H121</f>
        <v>9.8408160000000002</v>
      </c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"/>
      <c r="AV122" s="7"/>
      <c r="AW122" s="74"/>
      <c r="AX122" s="74"/>
      <c r="AY122" s="74"/>
      <c r="AZ122" s="74"/>
    </row>
    <row r="123" spans="1:52" s="92" customFormat="1" hidden="1" outlineLevel="1" x14ac:dyDescent="0.2">
      <c r="A123" s="91"/>
      <c r="B123" s="75"/>
      <c r="C123" s="75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"/>
      <c r="AV123" s="7"/>
      <c r="AW123" s="74"/>
      <c r="AX123" s="74"/>
      <c r="AY123" s="74"/>
      <c r="AZ123" s="74"/>
    </row>
    <row r="124" spans="1:52" s="92" customFormat="1" hidden="1" outlineLevel="1" x14ac:dyDescent="0.2">
      <c r="A124" s="91"/>
      <c r="B124" s="107" t="s">
        <v>157</v>
      </c>
      <c r="C124" s="17">
        <v>8600</v>
      </c>
      <c r="D124" s="75" t="s">
        <v>158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"/>
      <c r="AV124" s="7"/>
      <c r="AW124" s="74"/>
      <c r="AX124" s="74"/>
      <c r="AY124" s="74"/>
      <c r="AZ124" s="74"/>
    </row>
    <row r="125" spans="1:52" s="92" customFormat="1" hidden="1" outlineLevel="1" x14ac:dyDescent="0.2">
      <c r="A125" s="91"/>
      <c r="B125" s="111" t="s">
        <v>161</v>
      </c>
      <c r="C125" s="17">
        <v>2500</v>
      </c>
      <c r="D125" s="75" t="s">
        <v>160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"/>
      <c r="AV125" s="7"/>
      <c r="AW125" s="74"/>
      <c r="AX125" s="74"/>
      <c r="AY125" s="74"/>
      <c r="AZ125" s="74"/>
    </row>
    <row r="126" spans="1:52" s="92" customFormat="1" hidden="1" outlineLevel="1" x14ac:dyDescent="0.2">
      <c r="A126" s="91"/>
      <c r="B126" s="111" t="s">
        <v>251</v>
      </c>
      <c r="C126" s="17">
        <v>1300</v>
      </c>
      <c r="D126" s="75" t="s">
        <v>250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"/>
      <c r="AV126" s="7"/>
      <c r="AW126" s="74"/>
      <c r="AX126" s="74"/>
      <c r="AY126" s="74"/>
      <c r="AZ126" s="74"/>
    </row>
    <row r="127" spans="1:52" s="92" customFormat="1" hidden="1" outlineLevel="1" x14ac:dyDescent="0.2">
      <c r="A127" s="91"/>
      <c r="B127" s="107" t="s">
        <v>107</v>
      </c>
      <c r="C127" s="17">
        <f>1800+450+200</f>
        <v>2450</v>
      </c>
      <c r="D127" s="75" t="s">
        <v>159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"/>
      <c r="AV127" s="7"/>
      <c r="AW127" s="74"/>
      <c r="AX127" s="74"/>
      <c r="AY127" s="74"/>
      <c r="AZ127" s="74"/>
    </row>
    <row r="128" spans="1:52" s="92" customFormat="1" hidden="1" outlineLevel="1" x14ac:dyDescent="0.2">
      <c r="A128" s="91"/>
      <c r="B128" s="111" t="s">
        <v>161</v>
      </c>
      <c r="C128" s="17">
        <f>C127*0.7</f>
        <v>1715</v>
      </c>
      <c r="D128" s="75" t="s">
        <v>160</v>
      </c>
      <c r="E128" s="74"/>
      <c r="F128" s="74"/>
      <c r="G128" s="112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"/>
      <c r="AV128" s="7"/>
      <c r="AW128" s="74"/>
      <c r="AX128" s="74"/>
      <c r="AY128" s="74"/>
      <c r="AZ128" s="74"/>
    </row>
    <row r="129" spans="1:52" s="92" customFormat="1" hidden="1" outlineLevel="1" x14ac:dyDescent="0.2">
      <c r="A129" s="91"/>
      <c r="B129" s="107" t="s">
        <v>162</v>
      </c>
      <c r="C129" s="26">
        <v>0.05</v>
      </c>
      <c r="D129" s="75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"/>
      <c r="AV129" s="7"/>
      <c r="AW129" s="74"/>
      <c r="AX129" s="74"/>
      <c r="AY129" s="74"/>
      <c r="AZ129" s="74"/>
    </row>
    <row r="130" spans="1:52" s="92" customFormat="1" collapsed="1" x14ac:dyDescent="0.2">
      <c r="A130" s="91"/>
      <c r="B130" s="75"/>
      <c r="C130" s="75"/>
      <c r="D130" s="75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"/>
      <c r="AV130" s="7"/>
      <c r="AW130" s="74"/>
      <c r="AX130" s="74"/>
      <c r="AY130" s="74"/>
      <c r="AZ130" s="74"/>
    </row>
    <row r="131" spans="1:52" x14ac:dyDescent="0.2">
      <c r="A131" s="8" t="s">
        <v>126</v>
      </c>
      <c r="B131" s="9" t="s">
        <v>383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74"/>
      <c r="P131" s="74"/>
    </row>
    <row r="132" spans="1:52" s="92" customFormat="1" ht="19.5" hidden="1" customHeight="1" outlineLevel="1" x14ac:dyDescent="0.2">
      <c r="A132" s="91"/>
      <c r="B132" s="113" t="s">
        <v>382</v>
      </c>
      <c r="C132" s="75"/>
      <c r="D132" s="74"/>
      <c r="E132" s="74"/>
      <c r="G132" s="114" t="s">
        <v>380</v>
      </c>
      <c r="H132" s="74"/>
      <c r="I132" s="7"/>
      <c r="J132" s="74"/>
      <c r="L132" s="114" t="s">
        <v>381</v>
      </c>
      <c r="M132" s="74"/>
      <c r="N132" s="74"/>
      <c r="O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"/>
      <c r="AV132" s="7"/>
      <c r="AW132" s="74"/>
      <c r="AX132" s="74"/>
      <c r="AY132" s="74"/>
      <c r="AZ132" s="74"/>
    </row>
    <row r="133" spans="1:52" ht="38.25" hidden="1" outlineLevel="1" x14ac:dyDescent="0.2">
      <c r="A133" s="11"/>
      <c r="B133" s="115" t="s">
        <v>113</v>
      </c>
      <c r="C133" s="115" t="s">
        <v>378</v>
      </c>
      <c r="D133" s="116" t="s">
        <v>379</v>
      </c>
      <c r="E133" s="115" t="s">
        <v>71</v>
      </c>
      <c r="G133" s="115" t="s">
        <v>113</v>
      </c>
      <c r="H133" s="115" t="s">
        <v>378</v>
      </c>
      <c r="I133" s="116" t="s">
        <v>379</v>
      </c>
      <c r="J133" s="115" t="s">
        <v>71</v>
      </c>
      <c r="L133" s="115" t="s">
        <v>113</v>
      </c>
      <c r="M133" s="115" t="s">
        <v>378</v>
      </c>
      <c r="N133" s="116" t="s">
        <v>379</v>
      </c>
      <c r="O133" s="115" t="s">
        <v>71</v>
      </c>
    </row>
    <row r="134" spans="1:52" hidden="1" outlineLevel="1" x14ac:dyDescent="0.2">
      <c r="A134" s="11"/>
      <c r="C134" s="117">
        <f>D98</f>
        <v>130.73973632163379</v>
      </c>
      <c r="H134" s="117">
        <f>G98</f>
        <v>146.90429626215521</v>
      </c>
      <c r="M134" s="117">
        <f>E98</f>
        <v>302.20369726515372</v>
      </c>
    </row>
    <row r="135" spans="1:52" hidden="1" outlineLevel="1" x14ac:dyDescent="0.2">
      <c r="A135" s="11"/>
      <c r="B135" s="118">
        <v>20</v>
      </c>
      <c r="C135" s="119">
        <f t="dataTable" ref="C135:C143" dt2D="0" dtr="0" r1="D62"/>
        <v>42.581841584791682</v>
      </c>
      <c r="D135" s="120">
        <f>B135-$D$20</f>
        <v>-12</v>
      </c>
      <c r="E135" s="119">
        <f>C135-D135</f>
        <v>54.581841584791682</v>
      </c>
      <c r="G135" s="118">
        <v>20</v>
      </c>
      <c r="H135" s="119">
        <f t="dataTable" ref="H135:H143" dt2D="0" dtr="0" r1="D62" ca="1"/>
        <v>68.080766850390503</v>
      </c>
      <c r="I135" s="120">
        <f t="shared" ref="I135:I143" si="27">G135-$D$20</f>
        <v>-12</v>
      </c>
      <c r="J135" s="119">
        <f t="shared" ref="J135:J143" si="28">H135-I135</f>
        <v>80.080766850390503</v>
      </c>
      <c r="L135" s="118">
        <v>20</v>
      </c>
      <c r="M135" s="119">
        <f t="dataTable" ref="M135:M143" dt2D="0" dtr="0" r1="D62" ca="1"/>
        <v>83.249448899140688</v>
      </c>
      <c r="N135" s="120">
        <f t="shared" ref="N135:N143" si="29">L135-$D$20</f>
        <v>-12</v>
      </c>
      <c r="O135" s="119">
        <f t="shared" ref="O135:O143" si="30">M135-N135</f>
        <v>95.249448899140688</v>
      </c>
    </row>
    <row r="136" spans="1:52" hidden="1" outlineLevel="1" x14ac:dyDescent="0.2">
      <c r="A136" s="11"/>
      <c r="B136" s="118">
        <v>30</v>
      </c>
      <c r="C136" s="119">
        <v>55.739736321633785</v>
      </c>
      <c r="D136" s="120">
        <f t="shared" ref="D136:D143" si="31">B136-$D$20</f>
        <v>-2</v>
      </c>
      <c r="E136" s="119">
        <f t="shared" ref="E136:E143" si="32">C136-D136</f>
        <v>57.739736321633785</v>
      </c>
      <c r="G136" s="118">
        <v>30</v>
      </c>
      <c r="H136" s="119">
        <v>79.845472732743431</v>
      </c>
      <c r="I136" s="120">
        <f t="shared" si="27"/>
        <v>-2</v>
      </c>
      <c r="J136" s="119">
        <f t="shared" si="28"/>
        <v>81.845472732743431</v>
      </c>
      <c r="L136" s="118">
        <v>30</v>
      </c>
      <c r="M136" s="119">
        <v>115.92918746123217</v>
      </c>
      <c r="N136" s="120">
        <f t="shared" si="29"/>
        <v>-2</v>
      </c>
      <c r="O136" s="119">
        <f t="shared" si="30"/>
        <v>117.92918746123217</v>
      </c>
    </row>
    <row r="137" spans="1:52" hidden="1" outlineLevel="1" x14ac:dyDescent="0.2">
      <c r="A137" s="11"/>
      <c r="B137" s="118">
        <v>40</v>
      </c>
      <c r="C137" s="119">
        <v>68.897631058475895</v>
      </c>
      <c r="D137" s="120">
        <f t="shared" si="31"/>
        <v>8</v>
      </c>
      <c r="E137" s="119">
        <f t="shared" si="32"/>
        <v>60.897631058475895</v>
      </c>
      <c r="F137" s="247"/>
      <c r="G137" s="118">
        <v>40</v>
      </c>
      <c r="H137" s="119">
        <v>91.610178615096373</v>
      </c>
      <c r="I137" s="120">
        <f t="shared" si="27"/>
        <v>8</v>
      </c>
      <c r="J137" s="119">
        <f t="shared" si="28"/>
        <v>83.610178615096373</v>
      </c>
      <c r="L137" s="118">
        <v>40</v>
      </c>
      <c r="M137" s="119">
        <v>148.60892602332368</v>
      </c>
      <c r="N137" s="120">
        <f t="shared" si="29"/>
        <v>8</v>
      </c>
      <c r="O137" s="119">
        <f t="shared" si="30"/>
        <v>140.60892602332368</v>
      </c>
    </row>
    <row r="138" spans="1:52" hidden="1" outlineLevel="1" x14ac:dyDescent="0.2">
      <c r="A138" s="11"/>
      <c r="B138" s="121">
        <v>50</v>
      </c>
      <c r="C138" s="119">
        <v>82.055525795318005</v>
      </c>
      <c r="D138" s="120">
        <f>B138-$D$20</f>
        <v>18</v>
      </c>
      <c r="E138" s="119">
        <f t="shared" si="32"/>
        <v>64.055525795318005</v>
      </c>
      <c r="F138" s="247"/>
      <c r="G138" s="121">
        <v>50</v>
      </c>
      <c r="H138" s="119">
        <v>103.37488449744932</v>
      </c>
      <c r="I138" s="120">
        <f t="shared" si="27"/>
        <v>18</v>
      </c>
      <c r="J138" s="119">
        <f t="shared" si="28"/>
        <v>85.374884497449315</v>
      </c>
      <c r="L138" s="121">
        <v>50</v>
      </c>
      <c r="M138" s="119">
        <v>181.28866458541521</v>
      </c>
      <c r="N138" s="120">
        <f t="shared" si="29"/>
        <v>18</v>
      </c>
      <c r="O138" s="119">
        <f t="shared" si="30"/>
        <v>163.28866458541521</v>
      </c>
    </row>
    <row r="139" spans="1:52" hidden="1" outlineLevel="1" x14ac:dyDescent="0.2">
      <c r="A139" s="11"/>
      <c r="B139" s="118">
        <v>60</v>
      </c>
      <c r="C139" s="119">
        <v>95.213420532160086</v>
      </c>
      <c r="D139" s="120">
        <f t="shared" si="31"/>
        <v>28</v>
      </c>
      <c r="E139" s="119">
        <f t="shared" si="32"/>
        <v>67.213420532160086</v>
      </c>
      <c r="F139" s="247"/>
      <c r="G139" s="118">
        <v>60</v>
      </c>
      <c r="H139" s="119">
        <v>115.13959037980227</v>
      </c>
      <c r="I139" s="120">
        <f t="shared" si="27"/>
        <v>28</v>
      </c>
      <c r="J139" s="119">
        <f t="shared" si="28"/>
        <v>87.139590379802272</v>
      </c>
      <c r="L139" s="118">
        <v>60</v>
      </c>
      <c r="M139" s="119">
        <v>213.96840314750668</v>
      </c>
      <c r="N139" s="120">
        <f t="shared" si="29"/>
        <v>28</v>
      </c>
      <c r="O139" s="119">
        <f t="shared" si="30"/>
        <v>185.96840314750668</v>
      </c>
    </row>
    <row r="140" spans="1:52" hidden="1" outlineLevel="1" x14ac:dyDescent="0.2">
      <c r="A140" s="11"/>
      <c r="B140" s="118">
        <v>70</v>
      </c>
      <c r="C140" s="119">
        <v>108.3713152690022</v>
      </c>
      <c r="D140" s="120">
        <f t="shared" si="31"/>
        <v>38</v>
      </c>
      <c r="E140" s="119">
        <f t="shared" si="32"/>
        <v>70.371315269002196</v>
      </c>
      <c r="F140" s="247"/>
      <c r="G140" s="118">
        <v>70</v>
      </c>
      <c r="H140" s="119">
        <v>126.9042962621552</v>
      </c>
      <c r="I140" s="120">
        <f t="shared" si="27"/>
        <v>38</v>
      </c>
      <c r="J140" s="119">
        <f t="shared" si="28"/>
        <v>88.904296262155199</v>
      </c>
      <c r="L140" s="118">
        <v>70</v>
      </c>
      <c r="M140" s="119">
        <v>246.64814170959815</v>
      </c>
      <c r="N140" s="120">
        <f t="shared" si="29"/>
        <v>38</v>
      </c>
      <c r="O140" s="119">
        <f t="shared" si="30"/>
        <v>208.64814170959815</v>
      </c>
    </row>
    <row r="141" spans="1:52" hidden="1" outlineLevel="1" x14ac:dyDescent="0.2">
      <c r="A141" s="11"/>
      <c r="B141" s="118">
        <v>80</v>
      </c>
      <c r="C141" s="119">
        <v>121.52921000584429</v>
      </c>
      <c r="D141" s="120">
        <f t="shared" si="31"/>
        <v>48</v>
      </c>
      <c r="E141" s="119">
        <f t="shared" si="32"/>
        <v>73.529210005844291</v>
      </c>
      <c r="F141" s="247"/>
      <c r="G141" s="118">
        <v>80</v>
      </c>
      <c r="H141" s="119">
        <v>138.66900214450814</v>
      </c>
      <c r="I141" s="120">
        <f t="shared" si="27"/>
        <v>48</v>
      </c>
      <c r="J141" s="119">
        <f t="shared" si="28"/>
        <v>90.669002144508141</v>
      </c>
      <c r="L141" s="118">
        <v>80</v>
      </c>
      <c r="M141" s="119">
        <v>279.32788027168965</v>
      </c>
      <c r="N141" s="120">
        <f t="shared" si="29"/>
        <v>48</v>
      </c>
      <c r="O141" s="119">
        <f t="shared" si="30"/>
        <v>231.32788027168965</v>
      </c>
    </row>
    <row r="142" spans="1:52" hidden="1" outlineLevel="1" x14ac:dyDescent="0.2">
      <c r="A142" s="11"/>
      <c r="B142" s="118">
        <v>90</v>
      </c>
      <c r="C142" s="119">
        <v>134.68710474268644</v>
      </c>
      <c r="D142" s="120">
        <f t="shared" si="31"/>
        <v>58</v>
      </c>
      <c r="E142" s="119">
        <f t="shared" si="32"/>
        <v>76.687104742686444</v>
      </c>
      <c r="F142" s="247"/>
      <c r="G142" s="118">
        <v>90</v>
      </c>
      <c r="H142" s="119">
        <v>150.4337080268611</v>
      </c>
      <c r="I142" s="120">
        <f t="shared" si="27"/>
        <v>58</v>
      </c>
      <c r="J142" s="119">
        <f t="shared" si="28"/>
        <v>92.433708026861098</v>
      </c>
      <c r="L142" s="118">
        <v>90</v>
      </c>
      <c r="M142" s="119">
        <v>312.00761883378118</v>
      </c>
      <c r="N142" s="120">
        <f t="shared" si="29"/>
        <v>58</v>
      </c>
      <c r="O142" s="119">
        <f t="shared" si="30"/>
        <v>254.00761883378118</v>
      </c>
    </row>
    <row r="143" spans="1:52" hidden="1" outlineLevel="1" x14ac:dyDescent="0.2">
      <c r="A143" s="11"/>
      <c r="B143" s="118">
        <v>100</v>
      </c>
      <c r="C143" s="119">
        <v>147.84499947952852</v>
      </c>
      <c r="D143" s="120">
        <f t="shared" si="31"/>
        <v>68</v>
      </c>
      <c r="E143" s="119">
        <f t="shared" si="32"/>
        <v>79.844999479528525</v>
      </c>
      <c r="F143" s="247"/>
      <c r="G143" s="118">
        <v>100</v>
      </c>
      <c r="H143" s="119">
        <v>162.19841390921403</v>
      </c>
      <c r="I143" s="120">
        <f t="shared" si="27"/>
        <v>68</v>
      </c>
      <c r="J143" s="119">
        <f t="shared" si="28"/>
        <v>94.198413909214025</v>
      </c>
      <c r="L143" s="118">
        <v>100</v>
      </c>
      <c r="M143" s="119">
        <v>344.68735739587271</v>
      </c>
      <c r="N143" s="120">
        <f t="shared" si="29"/>
        <v>68</v>
      </c>
      <c r="O143" s="119">
        <f t="shared" si="30"/>
        <v>276.68735739587271</v>
      </c>
    </row>
    <row r="144" spans="1:52" collapsed="1" x14ac:dyDescent="0.2">
      <c r="A144" s="11"/>
    </row>
    <row r="145" spans="1:14" x14ac:dyDescent="0.2">
      <c r="A145" s="8" t="s">
        <v>25</v>
      </c>
      <c r="B145" s="9" t="s">
        <v>128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idden="1" outlineLevel="1" x14ac:dyDescent="0.2">
      <c r="A146" s="11"/>
      <c r="B146" s="122" t="s">
        <v>210</v>
      </c>
    </row>
    <row r="147" spans="1:14" ht="25.5" hidden="1" outlineLevel="1" x14ac:dyDescent="0.2">
      <c r="A147" s="11"/>
      <c r="B147" s="123" t="s">
        <v>138</v>
      </c>
      <c r="C147" s="115" t="s">
        <v>153</v>
      </c>
      <c r="D147" s="115" t="s">
        <v>154</v>
      </c>
      <c r="E147" s="115" t="s">
        <v>155</v>
      </c>
    </row>
    <row r="148" spans="1:14" hidden="1" outlineLevel="1" x14ac:dyDescent="0.2">
      <c r="A148" s="11"/>
      <c r="B148" s="124" t="s">
        <v>139</v>
      </c>
      <c r="C148" s="125">
        <v>0.26600000000000001</v>
      </c>
      <c r="D148" s="125">
        <v>0.13</v>
      </c>
      <c r="E148" s="125">
        <f>0.25*C148</f>
        <v>6.6500000000000004E-2</v>
      </c>
      <c r="F148" s="7" t="s">
        <v>1</v>
      </c>
    </row>
    <row r="149" spans="1:14" hidden="1" outlineLevel="1" x14ac:dyDescent="0.2">
      <c r="A149" s="11"/>
      <c r="B149" s="126" t="s">
        <v>140</v>
      </c>
      <c r="C149" s="127">
        <v>0.26600000000000001</v>
      </c>
      <c r="D149" s="127">
        <v>0.13</v>
      </c>
      <c r="E149" s="127">
        <f>0.25*C149</f>
        <v>6.6500000000000004E-2</v>
      </c>
      <c r="F149" s="7" t="s">
        <v>1</v>
      </c>
    </row>
    <row r="150" spans="1:14" hidden="1" outlineLevel="1" x14ac:dyDescent="0.2">
      <c r="A150" s="11"/>
      <c r="B150" s="126" t="s">
        <v>212</v>
      </c>
      <c r="C150" s="127">
        <v>0.80382464877726001</v>
      </c>
      <c r="D150" s="127">
        <v>0.20401698328893153</v>
      </c>
      <c r="E150" s="127">
        <v>0.2850378999993598</v>
      </c>
      <c r="K150" s="53"/>
    </row>
    <row r="151" spans="1:14" hidden="1" outlineLevel="1" x14ac:dyDescent="0.2">
      <c r="A151" s="11"/>
      <c r="B151" s="126" t="s">
        <v>213</v>
      </c>
      <c r="C151" s="127">
        <v>0.76212800883146148</v>
      </c>
      <c r="D151" s="127">
        <v>0.20688420934151563</v>
      </c>
      <c r="E151" s="127">
        <v>0.38178016787296531</v>
      </c>
      <c r="F151" s="7" t="s">
        <v>2</v>
      </c>
      <c r="K151" s="53"/>
    </row>
    <row r="152" spans="1:14" hidden="1" outlineLevel="1" x14ac:dyDescent="0.2">
      <c r="A152" s="11"/>
      <c r="B152" s="126" t="s">
        <v>141</v>
      </c>
      <c r="C152" s="127">
        <v>0.67236248884695482</v>
      </c>
      <c r="D152" s="127">
        <v>0.25472674939552997</v>
      </c>
      <c r="E152" s="127">
        <v>0.16228842483164957</v>
      </c>
      <c r="F152" s="7" t="s">
        <v>3</v>
      </c>
    </row>
    <row r="153" spans="1:14" hidden="1" outlineLevel="1" x14ac:dyDescent="0.2">
      <c r="A153" s="11"/>
      <c r="B153" s="126" t="s">
        <v>142</v>
      </c>
      <c r="C153" s="127">
        <v>0.76298415299122291</v>
      </c>
      <c r="D153" s="127">
        <v>0.2722091642555568</v>
      </c>
      <c r="E153" s="127">
        <v>0.36065735663114756</v>
      </c>
      <c r="F153" s="7" t="s">
        <v>4</v>
      </c>
    </row>
    <row r="154" spans="1:14" hidden="1" outlineLevel="1" x14ac:dyDescent="0.2">
      <c r="A154" s="11"/>
      <c r="B154" s="126" t="s">
        <v>143</v>
      </c>
      <c r="C154" s="127">
        <v>0.76298415299122291</v>
      </c>
      <c r="D154" s="127">
        <v>0.2722091642555568</v>
      </c>
      <c r="E154" s="127">
        <v>0.36065735663114756</v>
      </c>
      <c r="F154" s="7" t="s">
        <v>4</v>
      </c>
    </row>
    <row r="155" spans="1:14" hidden="1" outlineLevel="1" x14ac:dyDescent="0.2">
      <c r="A155" s="11"/>
      <c r="B155" s="126" t="s">
        <v>144</v>
      </c>
      <c r="C155" s="127">
        <v>0.78236945617959952</v>
      </c>
      <c r="D155" s="127">
        <v>0.22035909173204266</v>
      </c>
      <c r="E155" s="127">
        <v>8.1221346646584189E-2</v>
      </c>
      <c r="F155" s="7" t="s">
        <v>5</v>
      </c>
    </row>
    <row r="156" spans="1:14" hidden="1" outlineLevel="1" x14ac:dyDescent="0.2">
      <c r="A156" s="11"/>
      <c r="B156" s="126" t="s">
        <v>145</v>
      </c>
      <c r="C156" s="127">
        <v>0.78236945617959952</v>
      </c>
      <c r="D156" s="127">
        <v>0.22035909173204266</v>
      </c>
      <c r="E156" s="127">
        <v>8.1221346646584189E-2</v>
      </c>
      <c r="F156" s="7" t="s">
        <v>6</v>
      </c>
    </row>
    <row r="157" spans="1:14" hidden="1" outlineLevel="1" x14ac:dyDescent="0.2">
      <c r="A157" s="11"/>
      <c r="B157" s="128" t="s">
        <v>146</v>
      </c>
      <c r="C157" s="127">
        <v>0.76298415299122291</v>
      </c>
      <c r="D157" s="127">
        <v>0.2722091642555568</v>
      </c>
      <c r="E157" s="127">
        <v>0.36065735663114756</v>
      </c>
      <c r="F157" s="53" t="s">
        <v>7</v>
      </c>
    </row>
    <row r="158" spans="1:14" hidden="1" outlineLevel="1" x14ac:dyDescent="0.2">
      <c r="A158" s="11"/>
      <c r="B158" s="128" t="s">
        <v>147</v>
      </c>
      <c r="C158" s="127">
        <v>0.82726333725543788</v>
      </c>
      <c r="D158" s="127">
        <v>0.35817055733755843</v>
      </c>
      <c r="E158" s="127">
        <v>9.9792825178415603E-2</v>
      </c>
      <c r="F158" s="7" t="s">
        <v>8</v>
      </c>
    </row>
    <row r="159" spans="1:14" hidden="1" outlineLevel="1" x14ac:dyDescent="0.2">
      <c r="A159" s="11"/>
      <c r="B159" s="126" t="s">
        <v>148</v>
      </c>
      <c r="C159" s="127">
        <v>0.61084885957289337</v>
      </c>
      <c r="D159" s="127">
        <v>0.38473143448690911</v>
      </c>
      <c r="E159" s="127">
        <v>0.14770885824003097</v>
      </c>
      <c r="F159" s="7" t="s">
        <v>9</v>
      </c>
    </row>
    <row r="160" spans="1:14" hidden="1" outlineLevel="1" x14ac:dyDescent="0.2">
      <c r="A160" s="11"/>
      <c r="B160" s="126" t="s">
        <v>149</v>
      </c>
      <c r="C160" s="127">
        <v>0.66072165998037902</v>
      </c>
      <c r="D160" s="127">
        <v>0.41023623402542114</v>
      </c>
      <c r="E160" s="127">
        <v>0.15705000327161656</v>
      </c>
      <c r="F160" s="7" t="s">
        <v>10</v>
      </c>
    </row>
    <row r="161" spans="1:6" hidden="1" outlineLevel="1" x14ac:dyDescent="0.2">
      <c r="A161" s="11"/>
      <c r="B161" s="126" t="s">
        <v>150</v>
      </c>
      <c r="C161" s="127">
        <v>0.82234972531505179</v>
      </c>
      <c r="D161" s="127">
        <v>0.2854312512403383</v>
      </c>
      <c r="E161" s="127">
        <v>0.44336165028767455</v>
      </c>
      <c r="F161" s="7" t="s">
        <v>11</v>
      </c>
    </row>
    <row r="162" spans="1:6" hidden="1" outlineLevel="1" x14ac:dyDescent="0.2">
      <c r="A162" s="11"/>
      <c r="B162" s="126" t="s">
        <v>151</v>
      </c>
      <c r="C162" s="127">
        <v>4.3762458841893538E-2</v>
      </c>
      <c r="D162" s="127">
        <v>2.6014071293319199E-2</v>
      </c>
      <c r="E162" s="127">
        <f>0.25*C162</f>
        <v>1.0940614710473385E-2</v>
      </c>
      <c r="F162" s="7" t="s">
        <v>12</v>
      </c>
    </row>
    <row r="163" spans="1:6" hidden="1" outlineLevel="1" x14ac:dyDescent="0.2">
      <c r="A163" s="11"/>
      <c r="B163" s="126" t="s">
        <v>152</v>
      </c>
      <c r="C163" s="127">
        <v>0.71663526633368024</v>
      </c>
      <c r="D163" s="127">
        <v>0.25116413435679469</v>
      </c>
      <c r="E163" s="127">
        <v>0.29100871273358181</v>
      </c>
      <c r="F163" s="7" t="s">
        <v>13</v>
      </c>
    </row>
    <row r="164" spans="1:6" hidden="1" outlineLevel="1" x14ac:dyDescent="0.2">
      <c r="A164" s="11"/>
      <c r="B164" s="5" t="s">
        <v>137</v>
      </c>
    </row>
    <row r="165" spans="1:6" hidden="1" outlineLevel="1" x14ac:dyDescent="0.2">
      <c r="A165" s="11"/>
    </row>
    <row r="166" spans="1:6" hidden="1" outlineLevel="1" x14ac:dyDescent="0.2">
      <c r="A166" s="11"/>
      <c r="B166" s="122" t="s">
        <v>221</v>
      </c>
    </row>
    <row r="167" spans="1:6" ht="25.5" hidden="1" outlineLevel="1" x14ac:dyDescent="0.2">
      <c r="A167" s="11"/>
      <c r="B167" s="122"/>
      <c r="C167" s="129" t="s">
        <v>222</v>
      </c>
      <c r="D167" s="129" t="s">
        <v>223</v>
      </c>
      <c r="E167" s="129" t="s">
        <v>224</v>
      </c>
    </row>
    <row r="168" spans="1:6" hidden="1" outlineLevel="1" x14ac:dyDescent="0.2">
      <c r="A168" s="11"/>
      <c r="B168" s="126" t="s">
        <v>175</v>
      </c>
      <c r="C168" s="127">
        <v>0.54158502118741458</v>
      </c>
      <c r="D168" s="127">
        <v>0.26595037520363657</v>
      </c>
      <c r="E168" s="127">
        <v>0.16965566586864619</v>
      </c>
    </row>
    <row r="169" spans="1:6" hidden="1" outlineLevel="1" x14ac:dyDescent="0.2">
      <c r="A169" s="11"/>
      <c r="B169" s="126" t="s">
        <v>220</v>
      </c>
      <c r="C169" s="127">
        <v>0.94207525143063464</v>
      </c>
      <c r="D169" s="127">
        <v>0.73116733696926561</v>
      </c>
      <c r="E169" s="127">
        <v>2.857578577201934E-2</v>
      </c>
    </row>
    <row r="170" spans="1:6" hidden="1" outlineLevel="1" x14ac:dyDescent="0.2">
      <c r="A170" s="11"/>
      <c r="B170" s="126" t="s">
        <v>176</v>
      </c>
      <c r="C170" s="127">
        <v>0.54002397913663924</v>
      </c>
      <c r="D170" s="127">
        <v>0.33918013193141333</v>
      </c>
      <c r="E170" s="127">
        <v>0.11641511286104138</v>
      </c>
    </row>
    <row r="171" spans="1:6" ht="25.5" hidden="1" customHeight="1" outlineLevel="1" x14ac:dyDescent="0.2">
      <c r="A171" s="11"/>
      <c r="C171" s="129" t="s">
        <v>225</v>
      </c>
    </row>
    <row r="172" spans="1:6" hidden="1" outlineLevel="1" x14ac:dyDescent="0.2">
      <c r="A172" s="11"/>
      <c r="B172" s="126" t="s">
        <v>226</v>
      </c>
      <c r="C172" s="130">
        <v>0.35</v>
      </c>
    </row>
    <row r="173" spans="1:6" hidden="1" outlineLevel="1" x14ac:dyDescent="0.2">
      <c r="A173" s="11"/>
      <c r="B173" s="126" t="s">
        <v>227</v>
      </c>
      <c r="C173" s="130">
        <v>0.58462752689839581</v>
      </c>
    </row>
    <row r="174" spans="1:6" hidden="1" outlineLevel="1" x14ac:dyDescent="0.2">
      <c r="A174" s="11"/>
      <c r="B174" s="126" t="s">
        <v>228</v>
      </c>
      <c r="C174" s="130">
        <v>0.68</v>
      </c>
    </row>
    <row r="175" spans="1:6" hidden="1" outlineLevel="1" x14ac:dyDescent="0.2">
      <c r="A175" s="11"/>
      <c r="B175" s="126" t="s">
        <v>229</v>
      </c>
      <c r="C175" s="130">
        <v>4.4999999999999998E-2</v>
      </c>
    </row>
    <row r="176" spans="1:6" hidden="1" outlineLevel="1" x14ac:dyDescent="0.2">
      <c r="A176" s="11"/>
      <c r="B176" s="126" t="s">
        <v>231</v>
      </c>
      <c r="C176" s="130">
        <v>0.85</v>
      </c>
    </row>
    <row r="177" spans="1:14" hidden="1" outlineLevel="1" x14ac:dyDescent="0.2">
      <c r="A177" s="11"/>
      <c r="B177" s="126" t="s">
        <v>232</v>
      </c>
      <c r="C177" s="130">
        <v>0.15</v>
      </c>
      <c r="F177" s="165"/>
      <c r="G177" s="165"/>
      <c r="H177" s="165"/>
      <c r="I177" s="165"/>
      <c r="J177" s="165"/>
    </row>
    <row r="178" spans="1:14" hidden="1" outlineLevel="1" x14ac:dyDescent="0.2">
      <c r="A178" s="11"/>
      <c r="B178" s="126" t="s">
        <v>230</v>
      </c>
      <c r="C178" s="130">
        <v>0.33800000000000002</v>
      </c>
    </row>
    <row r="179" spans="1:14" collapsed="1" x14ac:dyDescent="0.2">
      <c r="A179" s="11"/>
    </row>
    <row r="180" spans="1:14" x14ac:dyDescent="0.2">
      <c r="A180" s="8" t="s">
        <v>130</v>
      </c>
      <c r="B180" s="9" t="s">
        <v>275</v>
      </c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idden="1" outlineLevel="1" x14ac:dyDescent="0.2">
      <c r="A181" s="11"/>
      <c r="B181" s="12"/>
      <c r="C181" s="12"/>
      <c r="D181" s="12"/>
      <c r="E181" s="12"/>
      <c r="F181" s="12"/>
      <c r="G181" s="12"/>
      <c r="H181" s="12"/>
      <c r="I181" s="12"/>
      <c r="K181" s="12"/>
      <c r="M181" s="12"/>
    </row>
    <row r="182" spans="1:14" ht="38.25" hidden="1" outlineLevel="1" x14ac:dyDescent="0.2">
      <c r="A182" s="11"/>
      <c r="B182" s="13"/>
      <c r="C182" s="14" t="s">
        <v>21</v>
      </c>
      <c r="D182" s="13" t="s">
        <v>29</v>
      </c>
      <c r="E182" s="13" t="s">
        <v>59</v>
      </c>
      <c r="F182" s="13" t="s">
        <v>133</v>
      </c>
      <c r="G182" s="13" t="s">
        <v>134</v>
      </c>
      <c r="H182" s="13" t="s">
        <v>301</v>
      </c>
      <c r="I182" s="13" t="s">
        <v>302</v>
      </c>
      <c r="L182" s="13" t="s">
        <v>207</v>
      </c>
      <c r="M182" s="13" t="s">
        <v>61</v>
      </c>
      <c r="N182" s="13" t="s">
        <v>85</v>
      </c>
    </row>
    <row r="183" spans="1:14" hidden="1" outlineLevel="2" x14ac:dyDescent="0.2">
      <c r="A183" s="11"/>
      <c r="B183" s="131" t="s">
        <v>164</v>
      </c>
      <c r="C183" s="132"/>
      <c r="D183" s="132"/>
      <c r="E183" s="132"/>
      <c r="F183" s="132"/>
      <c r="G183" s="132"/>
      <c r="H183" s="132"/>
      <c r="I183" s="132"/>
      <c r="L183" s="132"/>
      <c r="M183" s="132"/>
      <c r="N183" s="132"/>
    </row>
    <row r="184" spans="1:14" hidden="1" outlineLevel="2" x14ac:dyDescent="0.2">
      <c r="A184" s="11"/>
      <c r="B184" s="133" t="s">
        <v>165</v>
      </c>
      <c r="C184" s="134" t="s">
        <v>28</v>
      </c>
      <c r="D184" s="73">
        <f>D187+D6/D12+D30*1.338*12*D31/1000+D26+D27</f>
        <v>36.152496690674305</v>
      </c>
      <c r="E184" s="73">
        <f>E187+E6/E12+E30*1.338*12*E31/1000+E26+E27</f>
        <v>-240.20848568877042</v>
      </c>
      <c r="F184" s="73">
        <f>F187+F30*1.338*12*F31/1000+F26+F27</f>
        <v>26.654117647058825</v>
      </c>
      <c r="G184" s="73">
        <f>G187+G6/G12+G30*1.338*12*G31/1000+G26+G27</f>
        <v>44.160847989236039</v>
      </c>
      <c r="H184" s="73">
        <f>H187+H6/H12+H30*1.338*12*H31/1000+H26+H27</f>
        <v>-10.345006677006232</v>
      </c>
      <c r="I184" s="73">
        <f>I187+I6/I12+I30*1.338*12*I31/1000+I26+I27</f>
        <v>-4.9386661969818704</v>
      </c>
      <c r="L184" s="73">
        <f>L6*5%+L6/L12+L30*1.338*12*L31/1000</f>
        <v>100.30464000000001</v>
      </c>
      <c r="M184" s="73">
        <f>M6*5%+M6/M12+M30*1.338*12*M31/1000</f>
        <v>146.19391999999999</v>
      </c>
      <c r="N184" s="73">
        <f>N187+N6/N12+N30*1.338*12*N31/1000+N26+N27</f>
        <v>-8.935880943799031</v>
      </c>
    </row>
    <row r="185" spans="1:14" hidden="1" outlineLevel="2" x14ac:dyDescent="0.2">
      <c r="A185" s="11"/>
      <c r="B185" s="134" t="s">
        <v>188</v>
      </c>
      <c r="C185" s="134" t="s">
        <v>181</v>
      </c>
      <c r="D185" s="142">
        <f t="shared" ref="D185:I185" si="33">D184/((1)*D19*D18/1000)</f>
        <v>15.063540287780961</v>
      </c>
      <c r="E185" s="142">
        <f t="shared" si="33"/>
        <v>-100.08686903698768</v>
      </c>
      <c r="F185" s="142">
        <f t="shared" si="33"/>
        <v>13.882352941176473</v>
      </c>
      <c r="G185" s="142">
        <f t="shared" si="33"/>
        <v>23.000441661060439</v>
      </c>
      <c r="H185" s="142">
        <f t="shared" si="33"/>
        <v>-5.3880243109407457</v>
      </c>
      <c r="I185" s="142">
        <f t="shared" si="33"/>
        <v>-79.018659151709926</v>
      </c>
      <c r="L185" s="136">
        <f>L184/((1)*L19/1000)</f>
        <v>91.186036363636362</v>
      </c>
      <c r="M185" s="136">
        <f>M184/((1)*M19/1000)</f>
        <v>33.998586046511626</v>
      </c>
      <c r="N185" s="136">
        <f>N184/((1)*N19/1000)</f>
        <v>-141.83938006030209</v>
      </c>
    </row>
    <row r="186" spans="1:14" hidden="1" outlineLevel="2" x14ac:dyDescent="0.2">
      <c r="A186" s="11"/>
      <c r="B186" s="71" t="s">
        <v>166</v>
      </c>
      <c r="C186" s="134" t="s">
        <v>28</v>
      </c>
      <c r="D186" s="72">
        <f t="shared" ref="D186:I186" si="34">+D30*1.338*12*D31/1000</f>
        <v>1.7661600000000004</v>
      </c>
      <c r="E186" s="72">
        <f t="shared" si="34"/>
        <v>21.193920000000002</v>
      </c>
      <c r="F186" s="72">
        <f t="shared" si="34"/>
        <v>0</v>
      </c>
      <c r="G186" s="72">
        <f t="shared" si="34"/>
        <v>1.7661600000000004</v>
      </c>
      <c r="H186" s="72">
        <f t="shared" si="34"/>
        <v>1.7661600000000004</v>
      </c>
      <c r="I186" s="72">
        <f t="shared" si="34"/>
        <v>0.17661600000000002</v>
      </c>
      <c r="L186" s="72">
        <f>+L30*1.338*12*L31/1000</f>
        <v>7.0646400000000016</v>
      </c>
      <c r="M186" s="72">
        <f>+M30*1.338*12*M31/1000</f>
        <v>21.193920000000002</v>
      </c>
      <c r="N186" s="72">
        <f>+N30*1.338*12*N31/1000</f>
        <v>0.17661600000000002</v>
      </c>
    </row>
    <row r="187" spans="1:14" hidden="1" outlineLevel="2" x14ac:dyDescent="0.2">
      <c r="A187" s="11"/>
      <c r="B187" s="71" t="s">
        <v>180</v>
      </c>
      <c r="C187" s="134" t="s">
        <v>28</v>
      </c>
      <c r="D187" s="72">
        <f>D107*(D23-D24)</f>
        <v>-27.876821204062548</v>
      </c>
      <c r="E187" s="72">
        <f>E107*(E23-E24)</f>
        <v>-407.28475862994685</v>
      </c>
      <c r="F187" s="193"/>
      <c r="G187" s="72">
        <f>G107*(G23-G24)</f>
        <v>-50.926096324489443</v>
      </c>
      <c r="H187" s="72">
        <f>H107*(H23-H24)</f>
        <v>-90.431166677006232</v>
      </c>
      <c r="I187" s="72">
        <f>I107*(I23-I24)</f>
        <v>-9.5552821969818709</v>
      </c>
      <c r="L187" s="72">
        <f>L6*5%</f>
        <v>51.800000000000004</v>
      </c>
      <c r="M187" s="72">
        <f>M6*5%</f>
        <v>75</v>
      </c>
      <c r="N187" s="72">
        <f>N107*(N23-N24)</f>
        <v>-11.11249694379903</v>
      </c>
    </row>
    <row r="188" spans="1:14" s="5" customFormat="1" hidden="1" outlineLevel="2" x14ac:dyDescent="0.2">
      <c r="A188" s="82"/>
      <c r="B188" s="134" t="s">
        <v>327</v>
      </c>
      <c r="C188" s="134" t="s">
        <v>20</v>
      </c>
      <c r="D188" s="136">
        <f t="shared" ref="D188:I188" si="35">D31</f>
        <v>0.05</v>
      </c>
      <c r="E188" s="136">
        <f t="shared" si="35"/>
        <v>0.6</v>
      </c>
      <c r="F188" s="136">
        <f t="shared" si="35"/>
        <v>0</v>
      </c>
      <c r="G188" s="136">
        <f t="shared" si="35"/>
        <v>0.05</v>
      </c>
      <c r="H188" s="136">
        <f t="shared" si="35"/>
        <v>0.05</v>
      </c>
      <c r="I188" s="136">
        <f t="shared" si="35"/>
        <v>5.0000000000000001E-3</v>
      </c>
      <c r="J188" s="7"/>
      <c r="K188" s="7"/>
      <c r="L188" s="136">
        <f>L31</f>
        <v>0.2</v>
      </c>
      <c r="M188" s="136">
        <f>M31</f>
        <v>0.6</v>
      </c>
      <c r="N188" s="136">
        <f>N31</f>
        <v>5.0000000000000001E-3</v>
      </c>
    </row>
    <row r="189" spans="1:14" hidden="1" outlineLevel="2" x14ac:dyDescent="0.2">
      <c r="A189" s="11"/>
      <c r="B189" s="131" t="s">
        <v>167</v>
      </c>
      <c r="C189" s="140"/>
      <c r="D189" s="141"/>
      <c r="E189" s="141"/>
      <c r="F189" s="141"/>
      <c r="G189" s="141"/>
      <c r="H189" s="141"/>
      <c r="I189" s="141"/>
      <c r="L189" s="141"/>
      <c r="M189" s="141"/>
      <c r="N189" s="141"/>
    </row>
    <row r="190" spans="1:14" hidden="1" outlineLevel="2" x14ac:dyDescent="0.2">
      <c r="A190" s="11"/>
      <c r="B190" s="133" t="s">
        <v>168</v>
      </c>
      <c r="C190" s="134" t="s">
        <v>28</v>
      </c>
      <c r="D190" s="73">
        <f>(D22+D25)*$C$151+$C$159*D28</f>
        <v>150.89347080629153</v>
      </c>
      <c r="E190" s="73">
        <f>(E22+E25)*$C$151+$C$159*E28</f>
        <v>359.12995924163374</v>
      </c>
      <c r="F190" s="73">
        <f>(F22+F25)*$C$151+$C$159*F28</f>
        <v>192.97580846254331</v>
      </c>
      <c r="G190" s="73">
        <f>(G22+G25)*$C$151+$C$159*G28</f>
        <v>120.04297558116767</v>
      </c>
      <c r="H190" s="73">
        <f>(H22+H25)*$C$151+$C$159*H28</f>
        <v>137.21743516489479</v>
      </c>
      <c r="I190" s="73">
        <f>(I22+I25)*$C$163+$C$159*I28</f>
        <v>2.7804161021966571</v>
      </c>
      <c r="L190" s="73">
        <f>(L25)*$C$150+$C$159*L28</f>
        <v>12.65678837035035</v>
      </c>
      <c r="M190" s="73">
        <f>(M22+M25)*$C$150+$C$159*M28</f>
        <v>644.60541914111525</v>
      </c>
      <c r="N190" s="73">
        <f>(N22+N25)*$C$149+$C$159*N28</f>
        <v>2.8452488595728935</v>
      </c>
    </row>
    <row r="191" spans="1:14" hidden="1" outlineLevel="2" x14ac:dyDescent="0.2">
      <c r="A191" s="11"/>
      <c r="B191" s="134" t="s">
        <v>169</v>
      </c>
      <c r="C191" s="134" t="s">
        <v>181</v>
      </c>
      <c r="D191" s="142">
        <f t="shared" ref="D191:I191" si="36">D190/((1)*D19*D18/1000)</f>
        <v>62.872279502621474</v>
      </c>
      <c r="E191" s="142">
        <f t="shared" si="36"/>
        <v>149.63748301734739</v>
      </c>
      <c r="F191" s="142">
        <f t="shared" si="36"/>
        <v>100.50823357424132</v>
      </c>
      <c r="G191" s="142">
        <f t="shared" si="36"/>
        <v>62.522383115191495</v>
      </c>
      <c r="H191" s="142">
        <f t="shared" si="36"/>
        <v>71.467414148382701</v>
      </c>
      <c r="I191" s="142">
        <f t="shared" si="36"/>
        <v>44.486657635146514</v>
      </c>
      <c r="L191" s="142">
        <f>L190/((1)*L19/1000)</f>
        <v>11.506171245773045</v>
      </c>
      <c r="M191" s="142">
        <f>M190/((1)*M19/1000)</f>
        <v>149.9082370095617</v>
      </c>
      <c r="N191" s="142">
        <f>N190/((1)*N19/1000)</f>
        <v>45.162680310680848</v>
      </c>
    </row>
    <row r="192" spans="1:14" hidden="1" outlineLevel="2" x14ac:dyDescent="0.2">
      <c r="A192" s="11"/>
      <c r="B192" s="71" t="s">
        <v>170</v>
      </c>
      <c r="C192" s="134" t="s">
        <v>28</v>
      </c>
      <c r="D192" s="72">
        <f>D22*$D$150+$D$159*D28</f>
        <v>39.52230016792204</v>
      </c>
      <c r="E192" s="72">
        <f>E22*$D$150+$D$159*E28</f>
        <v>116.45121810950181</v>
      </c>
      <c r="F192" s="72">
        <f>F22*$D$150+$D$159*F28</f>
        <v>33.040738613633678</v>
      </c>
      <c r="G192" s="72">
        <f>G22*$D$150+$D$159*G28</f>
        <v>30.475862383720948</v>
      </c>
      <c r="H192" s="72">
        <f>H22*$D$150+$D$159*H28</f>
        <v>38.472184828746236</v>
      </c>
      <c r="I192" s="72">
        <f>I22*$D$163+$D$159*I28</f>
        <v>1.1638854497047393</v>
      </c>
      <c r="L192" s="72">
        <f>L22*E150+E159*L28</f>
        <v>3.0605275427334413</v>
      </c>
      <c r="M192" s="72">
        <f>M22*$D$150+$D$159*M28</f>
        <v>167.0768549214007</v>
      </c>
      <c r="N192" s="72">
        <f>N22*$D$149+$D$159*N28</f>
        <v>1.4767314344869091</v>
      </c>
    </row>
    <row r="193" spans="1:14" hidden="1" outlineLevel="2" x14ac:dyDescent="0.2">
      <c r="A193" s="11"/>
      <c r="B193" s="71" t="s">
        <v>171</v>
      </c>
      <c r="C193" s="134" t="s">
        <v>28</v>
      </c>
      <c r="D193" s="72">
        <f>D22*$E$150+$E$159*D28</f>
        <v>51.07598925026808</v>
      </c>
      <c r="E193" s="72">
        <f>E22*$E$150+$E$159*E28</f>
        <v>112.80157150157189</v>
      </c>
      <c r="F193" s="72">
        <f>F22*$E$150+$E$159*F28</f>
        <v>38.365944505897552</v>
      </c>
      <c r="G193" s="72">
        <f>G22*$E$150+$E$159*G28</f>
        <v>37.381218784297346</v>
      </c>
      <c r="H193" s="72">
        <f>H22*$E$150+$E$159*H28</f>
        <v>42.056268547116424</v>
      </c>
      <c r="I193" s="72">
        <f>I22*$E$163+$E$159*I28</f>
        <v>1.017681372553626</v>
      </c>
      <c r="L193" s="72">
        <f>L22*D150+D159*L28</f>
        <v>7.9716353225687566</v>
      </c>
      <c r="M193" s="72">
        <f>M22*$E$150+$E$159*M28</f>
        <v>198.34487310393226</v>
      </c>
      <c r="N193" s="72">
        <f>N22*$E$149+$E$159*N28</f>
        <v>0.70630885824003109</v>
      </c>
    </row>
    <row r="194" spans="1:14" hidden="1" outlineLevel="2" x14ac:dyDescent="0.2">
      <c r="A194" s="11"/>
      <c r="B194" s="71" t="s">
        <v>172</v>
      </c>
      <c r="C194" s="134" t="s">
        <v>183</v>
      </c>
      <c r="D194" s="79">
        <f t="shared" ref="D194:I194" si="37">D192*1000/1.338/12/$C$332*$C$208</f>
        <v>1.2712114697825527</v>
      </c>
      <c r="E194" s="79">
        <f t="shared" si="37"/>
        <v>3.7455847332261074</v>
      </c>
      <c r="F194" s="79">
        <f t="shared" si="37"/>
        <v>1.0627358660118877</v>
      </c>
      <c r="G194" s="79">
        <f t="shared" si="37"/>
        <v>0.98023813515653524</v>
      </c>
      <c r="H194" s="79">
        <f t="shared" si="37"/>
        <v>1.237435129385281</v>
      </c>
      <c r="I194" s="79">
        <f t="shared" si="37"/>
        <v>3.7435688886816094E-2</v>
      </c>
      <c r="L194" s="79">
        <f>L192*1000/1.338/12/$C$332*$C$208</f>
        <v>9.8440062936061556E-2</v>
      </c>
      <c r="M194" s="79">
        <f>M192*1000/1.338/12/$C$332*$C$208</f>
        <v>5.3739284760471708</v>
      </c>
      <c r="N194" s="79">
        <f>N192*1000/1.338/12/$C$332*$C$208</f>
        <v>4.7498195432254892E-2</v>
      </c>
    </row>
    <row r="195" spans="1:14" hidden="1" outlineLevel="2" x14ac:dyDescent="0.2">
      <c r="A195" s="11"/>
      <c r="B195" s="19" t="s">
        <v>285</v>
      </c>
      <c r="C195" s="134" t="s">
        <v>284</v>
      </c>
      <c r="D195" s="79">
        <f t="shared" ref="D195:I195" si="38">D194/((1)*D19*D18/1000)</f>
        <v>0.52967144574273028</v>
      </c>
      <c r="E195" s="79">
        <f t="shared" si="38"/>
        <v>1.5606603055108781</v>
      </c>
      <c r="F195" s="79">
        <f t="shared" si="38"/>
        <v>0.5535082635478582</v>
      </c>
      <c r="G195" s="79">
        <f t="shared" si="38"/>
        <v>0.5105406953940288</v>
      </c>
      <c r="H195" s="79">
        <f t="shared" si="38"/>
        <v>0.64449746322150059</v>
      </c>
      <c r="I195" s="79">
        <f t="shared" si="38"/>
        <v>0.59897102218905751</v>
      </c>
      <c r="L195" s="79"/>
      <c r="M195" s="79"/>
      <c r="N195" s="79"/>
    </row>
    <row r="196" spans="1:14" hidden="1" outlineLevel="2" x14ac:dyDescent="0.2">
      <c r="A196" s="11"/>
      <c r="B196" s="131" t="s">
        <v>291</v>
      </c>
      <c r="C196" s="140"/>
      <c r="D196" s="141"/>
      <c r="E196" s="141"/>
      <c r="F196" s="141"/>
      <c r="G196" s="141"/>
      <c r="H196" s="141"/>
      <c r="I196" s="141"/>
      <c r="L196" s="141"/>
      <c r="M196" s="141"/>
      <c r="N196" s="141"/>
    </row>
    <row r="197" spans="1:14" hidden="1" outlineLevel="2" x14ac:dyDescent="0.2">
      <c r="A197" s="11"/>
      <c r="B197" s="133" t="s">
        <v>174</v>
      </c>
      <c r="C197" s="134"/>
      <c r="D197" s="142"/>
      <c r="E197" s="142"/>
      <c r="F197" s="142"/>
      <c r="G197" s="142"/>
      <c r="H197" s="142"/>
      <c r="I197" s="142"/>
      <c r="L197" s="142"/>
      <c r="M197" s="142"/>
      <c r="N197" s="142"/>
    </row>
    <row r="198" spans="1:14" hidden="1" outlineLevel="2" x14ac:dyDescent="0.2">
      <c r="A198" s="11"/>
      <c r="B198" s="19" t="s">
        <v>175</v>
      </c>
      <c r="C198" s="134" t="s">
        <v>28</v>
      </c>
      <c r="D198" s="142">
        <f t="shared" ref="D198:I198" si="39">(D186+D192)*(1-$C$172)*$C$176</f>
        <v>22.811874242776927</v>
      </c>
      <c r="E198" s="142">
        <f t="shared" si="39"/>
        <v>76.048938805499745</v>
      </c>
      <c r="F198" s="142">
        <f t="shared" si="39"/>
        <v>18.255008084032607</v>
      </c>
      <c r="G198" s="142">
        <f t="shared" si="39"/>
        <v>17.813717367005825</v>
      </c>
      <c r="H198" s="142">
        <f t="shared" si="39"/>
        <v>22.231685517882294</v>
      </c>
      <c r="I198" s="142">
        <f t="shared" si="39"/>
        <v>0.74062705096186843</v>
      </c>
      <c r="L198" s="142">
        <f>(L186+L192)*(1-$C$172)*$C$176</f>
        <v>5.5941550673602274</v>
      </c>
      <c r="M198" s="142">
        <f>(M186+M192)*(1-$C$172)*$C$176</f>
        <v>104.01960314407388</v>
      </c>
      <c r="N198" s="142">
        <f>(N186+N192)*(1-$C$172)*$C$176</f>
        <v>0.91347445755401746</v>
      </c>
    </row>
    <row r="199" spans="1:14" hidden="1" outlineLevel="2" x14ac:dyDescent="0.2">
      <c r="A199" s="11"/>
      <c r="B199" s="19" t="s">
        <v>220</v>
      </c>
      <c r="C199" s="134" t="s">
        <v>28</v>
      </c>
      <c r="D199" s="142">
        <f t="shared" ref="D199:I199" si="40">((D186+D192)*$C$172+(D190+D184-D186-D192-D26-D27)*$C$175+(D184)*$C$177+D26+D27)*$C$173</f>
        <v>36.258154422890769</v>
      </c>
      <c r="E199" s="142">
        <f t="shared" si="40"/>
        <v>58.279340012911227</v>
      </c>
      <c r="F199" s="142">
        <f t="shared" si="40"/>
        <v>28.888534365566532</v>
      </c>
      <c r="G199" s="142">
        <f t="shared" si="40"/>
        <v>28.823188493053092</v>
      </c>
      <c r="H199" s="142">
        <f t="shared" si="40"/>
        <v>25.417151452748481</v>
      </c>
      <c r="I199" s="142">
        <f t="shared" si="40"/>
        <v>-0.25084510498804352</v>
      </c>
      <c r="L199" s="142">
        <f>((L186+L192)*$C$172+(L190+L184-L186-L192-L26-L27)*$C$175+(L184)*$C$177+L26+L27)*$C$173</f>
        <v>13.573377021864905</v>
      </c>
      <c r="M199" s="142">
        <f>((M186+M192)*$C$172+(M190+M184-M186-M192-M26-M27)*$C$175+(M184)*$C$177+M26+M27)*$C$173</f>
        <v>122.74300637345209</v>
      </c>
      <c r="N199" s="142">
        <f>((N186+N192)*$C$172+(N190+N184-N186-N192-N26-N27)*$C$175+(N184)*$C$177+N26+N27)*$C$173</f>
        <v>-0.64904741066696514</v>
      </c>
    </row>
    <row r="200" spans="1:14" hidden="1" outlineLevel="2" x14ac:dyDescent="0.2">
      <c r="A200" s="11"/>
      <c r="B200" s="19" t="s">
        <v>176</v>
      </c>
      <c r="C200" s="134" t="s">
        <v>28</v>
      </c>
      <c r="D200" s="142">
        <f t="shared" ref="D200:I200" si="41">(D187+(D184-D186-D187-D26-D27)+D190-D192)*$C$174</f>
        <v>73.776157615328728</v>
      </c>
      <c r="E200" s="142">
        <f t="shared" si="41"/>
        <v>-75.665425231847536</v>
      </c>
      <c r="F200" s="142">
        <f t="shared" si="41"/>
        <v>108.75584749725854</v>
      </c>
      <c r="G200" s="142">
        <f t="shared" si="41"/>
        <v>71.609224806944283</v>
      </c>
      <c r="H200" s="142">
        <f t="shared" si="41"/>
        <v>39.653576888216776</v>
      </c>
      <c r="I200" s="142">
        <f t="shared" si="41"/>
        <v>-2.3791510502531681</v>
      </c>
      <c r="L200" s="142">
        <f>(L187+(L184-L186-L187-L26-L27)+L190-L192)*$C$174</f>
        <v>69.928657362779518</v>
      </c>
      <c r="M200" s="142">
        <f>(M187+(M184-M186-M187-M26-M27)+M190-M192)*$C$174</f>
        <v>342.06609033607259</v>
      </c>
      <c r="N200" s="142">
        <f>(N187+(N184-N186-N187-N26-N27)+N190-N192)*$C$174</f>
        <v>-5.2659060727248717</v>
      </c>
    </row>
    <row r="201" spans="1:14" hidden="1" outlineLevel="2" x14ac:dyDescent="0.2">
      <c r="A201" s="11"/>
      <c r="B201" s="133" t="s">
        <v>173</v>
      </c>
      <c r="C201" s="134" t="s">
        <v>28</v>
      </c>
      <c r="D201" s="73">
        <f t="shared" ref="D201:I201" si="42">SUMPRODUCT(D198:D200,$C$168:$C$170)</f>
        <v>86.353373540296275</v>
      </c>
      <c r="E201" s="73">
        <f t="shared" si="42"/>
        <v>55.229346013363603</v>
      </c>
      <c r="F201" s="73">
        <f t="shared" si="42"/>
        <v>95.832577735717905</v>
      </c>
      <c r="G201" s="73">
        <f t="shared" si="42"/>
        <v>75.471953567398231</v>
      </c>
      <c r="H201" s="73">
        <f t="shared" si="42"/>
        <v>57.399099595908268</v>
      </c>
      <c r="I201" s="73">
        <f t="shared" si="42"/>
        <v>-1.1200010653894295</v>
      </c>
      <c r="L201" s="73">
        <f>SUMPRODUCT(L198:L200,$C$168:$C$170)</f>
        <v>53.580004966048989</v>
      </c>
      <c r="M201" s="73">
        <f>SUMPRODUCT(M198:M200,$C$168:$C$170)</f>
        <v>356.69249879431061</v>
      </c>
      <c r="N201" s="73">
        <f>SUMPRODUCT(N198:N200,$C$168:$C$170)</f>
        <v>-2.9604429702986073</v>
      </c>
    </row>
    <row r="202" spans="1:14" hidden="1" outlineLevel="2" x14ac:dyDescent="0.2">
      <c r="A202" s="11"/>
      <c r="B202" s="134" t="s">
        <v>177</v>
      </c>
      <c r="C202" s="134" t="s">
        <v>181</v>
      </c>
      <c r="D202" s="136">
        <f t="shared" ref="D202:I202" si="43">D201/(D19*D18/1000)</f>
        <v>35.980572308456786</v>
      </c>
      <c r="E202" s="136">
        <f t="shared" si="43"/>
        <v>23.01222750556817</v>
      </c>
      <c r="F202" s="136">
        <f t="shared" si="43"/>
        <v>49.912800904019747</v>
      </c>
      <c r="G202" s="136">
        <f t="shared" si="43"/>
        <v>39.308309149686579</v>
      </c>
      <c r="H202" s="136">
        <f t="shared" si="43"/>
        <v>29.89536437286889</v>
      </c>
      <c r="I202" s="136">
        <f t="shared" si="43"/>
        <v>-17.920017046230871</v>
      </c>
      <c r="L202" s="136">
        <f>L201/(L19/1000)</f>
        <v>48.709095423680893</v>
      </c>
      <c r="M202" s="136">
        <f>M201/(M19/1000)</f>
        <v>82.951743905653629</v>
      </c>
      <c r="N202" s="136">
        <f>N201/(N19/1000)</f>
        <v>-46.991158258708055</v>
      </c>
    </row>
    <row r="203" spans="1:14" hidden="1" outlineLevel="2" x14ac:dyDescent="0.2">
      <c r="A203" s="11"/>
      <c r="B203" s="71" t="s">
        <v>178</v>
      </c>
      <c r="C203" s="134" t="s">
        <v>28</v>
      </c>
      <c r="D203" s="72">
        <f t="shared" ref="D203:I203" si="44">SUMPRODUCT(D198:D200,$D$168:$D$170)</f>
        <v>57.601011600130079</v>
      </c>
      <c r="E203" s="72">
        <f>SUMPRODUCT(E198:E200,$D$168:$D$170)</f>
        <v>37.172984733943188</v>
      </c>
      <c r="F203" s="72">
        <f t="shared" si="44"/>
        <v>62.865101692743103</v>
      </c>
      <c r="G203" s="72">
        <f t="shared" si="44"/>
        <v>50.100565108481142</v>
      </c>
      <c r="H203" s="72">
        <f t="shared" si="44"/>
        <v>37.946421486438467</v>
      </c>
      <c r="I203" s="72">
        <f t="shared" si="44"/>
        <v>-0.79340047242624201</v>
      </c>
      <c r="L203" s="72">
        <f>SUMPRODUCT(L198:L200,$D$168:$D$170)</f>
        <v>35.130588799962716</v>
      </c>
      <c r="M203" s="72">
        <f>SUMPRODUCT(M198:M200,$D$168:$D$170)</f>
        <v>233.43175123583023</v>
      </c>
      <c r="N203" s="72">
        <f>SUMPRODUCT(N198:N200,$D$168:$D$170)</f>
        <v>-2.0177141085839856</v>
      </c>
    </row>
    <row r="204" spans="1:14" hidden="1" outlineLevel="2" x14ac:dyDescent="0.2">
      <c r="A204" s="11"/>
      <c r="B204" s="71" t="s">
        <v>236</v>
      </c>
      <c r="C204" s="134" t="s">
        <v>28</v>
      </c>
      <c r="D204" s="72">
        <f t="shared" ref="D204:I204" si="45">SUMPRODUCT(D198:D200,$E$168:$E$170)</f>
        <v>13.494928682889931</v>
      </c>
      <c r="E204" s="72">
        <f t="shared" si="45"/>
        <v>5.7589122687503931</v>
      </c>
      <c r="F204" s="72">
        <f t="shared" si="45"/>
        <v>16.583402381923676</v>
      </c>
      <c r="G204" s="72">
        <f t="shared" si="45"/>
        <v>12.18223932893136</v>
      </c>
      <c r="H204" s="72">
        <f t="shared" si="45"/>
        <v>9.1143221135531078</v>
      </c>
      <c r="I204" s="72">
        <f t="shared" si="45"/>
        <v>-0.15848565851951815</v>
      </c>
      <c r="L204" s="72">
        <f>SUMPRODUCT(L198:L200,$E$168:$E$170)</f>
        <v>9.4777025560141919</v>
      </c>
      <c r="M204" s="72">
        <f>SUMPRODUCT(M198:M200,$E$168:$E$170)</f>
        <v>60.976655402350616</v>
      </c>
      <c r="N204" s="72">
        <f>SUMPRODUCT(N198:N200,$E$168:$E$170)</f>
        <v>-0.47660197218468503</v>
      </c>
    </row>
    <row r="205" spans="1:14" hidden="1" outlineLevel="2" x14ac:dyDescent="0.2">
      <c r="A205" s="11"/>
      <c r="B205" s="71" t="s">
        <v>179</v>
      </c>
      <c r="C205" s="134" t="s">
        <v>183</v>
      </c>
      <c r="D205" s="79">
        <f t="shared" ref="D205:I205" si="46">D203*1000/1.338/12/$C$332*$C$208</f>
        <v>1.8527025579496543</v>
      </c>
      <c r="E205" s="79">
        <f t="shared" si="46"/>
        <v>1.1956471247641156</v>
      </c>
      <c r="F205" s="79">
        <f t="shared" si="46"/>
        <v>2.0220189103700963</v>
      </c>
      <c r="G205" s="79">
        <f t="shared" si="46"/>
        <v>1.6114551212325687</v>
      </c>
      <c r="H205" s="79">
        <f t="shared" si="46"/>
        <v>1.2205242616399035</v>
      </c>
      <c r="I205" s="79">
        <f t="shared" si="46"/>
        <v>-2.551925815030727E-2</v>
      </c>
      <c r="L205" s="79">
        <f>L203*1000/1.338/12/$C$332*$C$208</f>
        <v>1.1299546644042173</v>
      </c>
      <c r="M205" s="79">
        <f>M203*1000/1.338/12/$C$332*$C$208</f>
        <v>7.5081945717132754</v>
      </c>
      <c r="N205" s="79">
        <f>N203*1000/1.338/12/$C$332*$C$208</f>
        <v>-6.4898584006399904E-2</v>
      </c>
    </row>
    <row r="206" spans="1:14" hidden="1" outlineLevel="2" x14ac:dyDescent="0.2">
      <c r="A206" s="11"/>
      <c r="B206" s="19" t="s">
        <v>285</v>
      </c>
      <c r="C206" s="134" t="s">
        <v>284</v>
      </c>
      <c r="D206" s="79">
        <f t="shared" ref="D206:I206" si="47">D205/((1)*D19*D18/1000)</f>
        <v>0.77195939914568934</v>
      </c>
      <c r="E206" s="79">
        <f t="shared" si="47"/>
        <v>0.49818630198504821</v>
      </c>
      <c r="F206" s="79">
        <f t="shared" si="47"/>
        <v>1.0531348491510919</v>
      </c>
      <c r="G206" s="79">
        <f t="shared" si="47"/>
        <v>0.83929954230862958</v>
      </c>
      <c r="H206" s="79">
        <f t="shared" si="47"/>
        <v>0.63568971960411647</v>
      </c>
      <c r="I206" s="79">
        <f t="shared" si="47"/>
        <v>-0.40830813040491631</v>
      </c>
      <c r="L206" s="79"/>
      <c r="M206" s="79"/>
      <c r="N206" s="79"/>
    </row>
    <row r="207" spans="1:14" hidden="1" outlineLevel="2" x14ac:dyDescent="0.2">
      <c r="A207" s="11"/>
    </row>
    <row r="208" spans="1:14" hidden="1" outlineLevel="2" x14ac:dyDescent="0.2">
      <c r="A208" s="11"/>
      <c r="B208" s="71" t="s">
        <v>182</v>
      </c>
      <c r="C208" s="143">
        <v>0.8</v>
      </c>
    </row>
    <row r="209" spans="1:14" hidden="1" outlineLevel="1" x14ac:dyDescent="0.2">
      <c r="A209" s="11"/>
    </row>
    <row r="210" spans="1:14" hidden="1" outlineLevel="1" x14ac:dyDescent="0.2">
      <c r="A210" s="11"/>
      <c r="B210" s="131" t="s">
        <v>211</v>
      </c>
      <c r="C210" s="131"/>
      <c r="D210" s="132"/>
      <c r="E210" s="132"/>
      <c r="F210" s="132"/>
      <c r="G210" s="132"/>
      <c r="H210" s="132"/>
      <c r="I210" s="132"/>
      <c r="L210" s="132"/>
      <c r="M210" s="132"/>
      <c r="N210" s="132"/>
    </row>
    <row r="211" spans="1:14" hidden="1" outlineLevel="1" x14ac:dyDescent="0.2">
      <c r="A211" s="11"/>
      <c r="B211" s="133" t="s">
        <v>153</v>
      </c>
      <c r="C211" s="134" t="s">
        <v>28</v>
      </c>
      <c r="D211" s="73">
        <f t="shared" ref="D211" si="48">D201+D190+D184</f>
        <v>273.3993410372621</v>
      </c>
      <c r="E211" s="73">
        <f>E201+E190+E184</f>
        <v>174.15081956622694</v>
      </c>
      <c r="F211" s="73">
        <f>F201+F190+F184</f>
        <v>315.46250384532004</v>
      </c>
      <c r="G211" s="73">
        <f t="shared" ref="G211" si="49">G201+G190+G184</f>
        <v>239.67577713780193</v>
      </c>
      <c r="H211" s="73">
        <f>H201+H190+H184</f>
        <v>184.27152808379682</v>
      </c>
      <c r="I211" s="73">
        <f t="shared" ref="I211" si="50">I201+I190+I184</f>
        <v>-3.2782511601746425</v>
      </c>
      <c r="L211" s="135">
        <f t="shared" ref="K211:L211" si="51">L201+L190+L184</f>
        <v>166.54143333639934</v>
      </c>
      <c r="M211" s="73">
        <f t="shared" ref="M211:N211" si="52">M201+M190+M184</f>
        <v>1147.4918379354258</v>
      </c>
      <c r="N211" s="73">
        <f t="shared" si="52"/>
        <v>-9.0510750545247447</v>
      </c>
    </row>
    <row r="212" spans="1:14" hidden="1" outlineLevel="1" x14ac:dyDescent="0.2">
      <c r="A212" s="11"/>
      <c r="B212" s="19" t="s">
        <v>200</v>
      </c>
      <c r="C212" s="134" t="s">
        <v>28</v>
      </c>
      <c r="D212" s="72">
        <f t="shared" ref="D212:E212" si="53">D203+D192+D186</f>
        <v>98.889471768052118</v>
      </c>
      <c r="E212" s="72">
        <f t="shared" si="53"/>
        <v>174.818122843445</v>
      </c>
      <c r="F212" s="72">
        <f t="shared" ref="F212:G212" si="54">F203+F192+F186</f>
        <v>95.905840306376774</v>
      </c>
      <c r="G212" s="72">
        <f t="shared" si="54"/>
        <v>82.342587492202085</v>
      </c>
      <c r="H212" s="72">
        <f>H203+H192+H186</f>
        <v>78.184766315184703</v>
      </c>
      <c r="I212" s="72">
        <f t="shared" ref="I212" si="55">I203+I192+I186</f>
        <v>0.54710097727849727</v>
      </c>
      <c r="L212" s="138">
        <f>L203+L192+L186</f>
        <v>45.255756342696159</v>
      </c>
      <c r="M212" s="72">
        <f t="shared" ref="M212:N212" si="56">M203+M192+M186</f>
        <v>421.70252615723092</v>
      </c>
      <c r="N212" s="72">
        <f t="shared" si="56"/>
        <v>-0.36436667409707646</v>
      </c>
    </row>
    <row r="213" spans="1:14" hidden="1" outlineLevel="1" x14ac:dyDescent="0.2">
      <c r="A213" s="11"/>
      <c r="B213" s="19" t="s">
        <v>201</v>
      </c>
      <c r="C213" s="134" t="s">
        <v>28</v>
      </c>
      <c r="D213" s="72">
        <f t="shared" ref="D213:E213" si="57">D204+D193+D187</f>
        <v>36.694096729095463</v>
      </c>
      <c r="E213" s="72">
        <f t="shared" si="57"/>
        <v>-288.72427485962459</v>
      </c>
      <c r="F213" s="72">
        <f>F204+F193+F187</f>
        <v>54.949346887821228</v>
      </c>
      <c r="G213" s="72">
        <f>G204+G193+G187</f>
        <v>-1.3626382112607374</v>
      </c>
      <c r="H213" s="72">
        <f>H204+H193+H187</f>
        <v>-39.260576016336699</v>
      </c>
      <c r="I213" s="72">
        <f>I204+I193+I187</f>
        <v>-8.6960864829477629</v>
      </c>
      <c r="L213" s="138">
        <f>L204+L193+L187</f>
        <v>69.249337878582949</v>
      </c>
      <c r="M213" s="72">
        <f t="shared" ref="M213:N213" si="58">M204+M193+M187</f>
        <v>334.3215285062829</v>
      </c>
      <c r="N213" s="72">
        <f t="shared" si="58"/>
        <v>-10.882790057743684</v>
      </c>
    </row>
    <row r="214" spans="1:14" hidden="1" outlineLevel="1" x14ac:dyDescent="0.2">
      <c r="A214" s="11"/>
      <c r="B214" s="144" t="s">
        <v>195</v>
      </c>
      <c r="C214" s="144" t="s">
        <v>181</v>
      </c>
      <c r="D214" s="145">
        <f t="shared" ref="D214:I214" si="59">D211/((1)*D19*D18/1000)</f>
        <v>113.91639209885922</v>
      </c>
      <c r="E214" s="145">
        <f t="shared" si="59"/>
        <v>72.562841485927891</v>
      </c>
      <c r="F214" s="145">
        <f t="shared" si="59"/>
        <v>164.30338741943754</v>
      </c>
      <c r="G214" s="145">
        <f t="shared" si="59"/>
        <v>124.83113392593852</v>
      </c>
      <c r="H214" s="145">
        <f t="shared" si="59"/>
        <v>95.974754210310849</v>
      </c>
      <c r="I214" s="145">
        <f t="shared" si="59"/>
        <v>-52.452018562794279</v>
      </c>
      <c r="L214" s="146">
        <f>L211/((1)*L19/1000)</f>
        <v>151.4013030330903</v>
      </c>
      <c r="M214" s="145">
        <f>M211/((1)*M19/1000)</f>
        <v>266.85856696172692</v>
      </c>
      <c r="N214" s="145">
        <f>N211/((1)*N19/1000)</f>
        <v>-143.66785800832929</v>
      </c>
    </row>
    <row r="215" spans="1:14" hidden="1" outlineLevel="1" x14ac:dyDescent="0.2">
      <c r="A215" s="11"/>
      <c r="B215" s="147" t="s">
        <v>196</v>
      </c>
      <c r="C215" s="134" t="s">
        <v>181</v>
      </c>
      <c r="D215" s="142">
        <f t="shared" ref="D215:I215" si="60">D184/((1)*D19*D18/1000)</f>
        <v>15.063540287780961</v>
      </c>
      <c r="E215" s="142">
        <f t="shared" si="60"/>
        <v>-100.08686903698768</v>
      </c>
      <c r="F215" s="142">
        <f t="shared" si="60"/>
        <v>13.882352941176473</v>
      </c>
      <c r="G215" s="142">
        <f t="shared" si="60"/>
        <v>23.000441661060439</v>
      </c>
      <c r="H215" s="142">
        <f t="shared" si="60"/>
        <v>-5.3880243109407457</v>
      </c>
      <c r="I215" s="142">
        <f t="shared" si="60"/>
        <v>-79.018659151709926</v>
      </c>
      <c r="L215" s="137">
        <f>L184/((1)*L19/1000)</f>
        <v>91.186036363636362</v>
      </c>
      <c r="M215" s="142">
        <f>M184/((1)*M19/1000)</f>
        <v>33.998586046511626</v>
      </c>
      <c r="N215" s="142">
        <f>N184/((1)*N19/1000)</f>
        <v>-141.83938006030209</v>
      </c>
    </row>
    <row r="216" spans="1:14" hidden="1" outlineLevel="1" x14ac:dyDescent="0.2">
      <c r="A216" s="11"/>
      <c r="B216" s="147" t="s">
        <v>197</v>
      </c>
      <c r="C216" s="134" t="s">
        <v>181</v>
      </c>
      <c r="D216" s="142">
        <f t="shared" ref="D216:I216" si="61">D190/((1)*D19*D18/1000)</f>
        <v>62.872279502621474</v>
      </c>
      <c r="E216" s="142">
        <f t="shared" si="61"/>
        <v>149.63748301734739</v>
      </c>
      <c r="F216" s="142">
        <f t="shared" si="61"/>
        <v>100.50823357424132</v>
      </c>
      <c r="G216" s="142">
        <f t="shared" si="61"/>
        <v>62.522383115191495</v>
      </c>
      <c r="H216" s="142">
        <f t="shared" si="61"/>
        <v>71.467414148382701</v>
      </c>
      <c r="I216" s="142">
        <f t="shared" si="61"/>
        <v>44.486657635146514</v>
      </c>
      <c r="L216" s="137">
        <f>L190/((1)*L19/1000)</f>
        <v>11.506171245773045</v>
      </c>
      <c r="M216" s="142">
        <f>M190/((1)*M19/1000)</f>
        <v>149.9082370095617</v>
      </c>
      <c r="N216" s="142">
        <f>N190/((1)*N19/1000)</f>
        <v>45.162680310680848</v>
      </c>
    </row>
    <row r="217" spans="1:14" hidden="1" outlineLevel="1" x14ac:dyDescent="0.2">
      <c r="A217" s="11"/>
      <c r="B217" s="147" t="s">
        <v>202</v>
      </c>
      <c r="C217" s="134" t="s">
        <v>181</v>
      </c>
      <c r="D217" s="142">
        <f>D214-D215-D216</f>
        <v>35.980572308456779</v>
      </c>
      <c r="E217" s="142">
        <f t="shared" ref="E217:I217" si="62">E214-E215-E216</f>
        <v>23.012227505568177</v>
      </c>
      <c r="F217" s="142">
        <f t="shared" si="62"/>
        <v>49.912800904019761</v>
      </c>
      <c r="G217" s="142">
        <f t="shared" si="62"/>
        <v>39.308309149686586</v>
      </c>
      <c r="H217" s="142">
        <f t="shared" si="62"/>
        <v>29.895364372868897</v>
      </c>
      <c r="I217" s="142">
        <f t="shared" si="62"/>
        <v>-17.920017046230868</v>
      </c>
      <c r="L217" s="137">
        <f>L214-L215-L216</f>
        <v>48.709095423680893</v>
      </c>
      <c r="M217" s="142">
        <f>M214-M215-M216</f>
        <v>82.951743905653586</v>
      </c>
      <c r="N217" s="142">
        <f>N214-N215-N216</f>
        <v>-46.991158258708047</v>
      </c>
    </row>
    <row r="218" spans="1:14" hidden="1" outlineLevel="1" x14ac:dyDescent="0.2">
      <c r="A218" s="11"/>
      <c r="B218" s="19" t="s">
        <v>204</v>
      </c>
      <c r="C218" s="71" t="s">
        <v>181</v>
      </c>
      <c r="D218" s="72">
        <f t="shared" ref="D218:I218" si="63">D212/((1)*D19*D18/1000)</f>
        <v>41.203946570021721</v>
      </c>
      <c r="E218" s="72">
        <f t="shared" si="63"/>
        <v>72.840884518102087</v>
      </c>
      <c r="F218" s="72">
        <f t="shared" si="63"/>
        <v>49.950958492904569</v>
      </c>
      <c r="G218" s="72">
        <f t="shared" si="63"/>
        <v>42.886764318855256</v>
      </c>
      <c r="H218" s="72">
        <f t="shared" si="63"/>
        <v>40.721232455825366</v>
      </c>
      <c r="I218" s="72">
        <f t="shared" si="63"/>
        <v>8.7536156364559563</v>
      </c>
      <c r="L218" s="139">
        <f>L212/((1)*L19/1000)</f>
        <v>41.14159667517832</v>
      </c>
      <c r="M218" s="72">
        <f>M212/((1)*M19/1000)</f>
        <v>98.070354920286263</v>
      </c>
      <c r="N218" s="72">
        <f>N212/((1)*N19/1000)</f>
        <v>-5.7835980015408959</v>
      </c>
    </row>
    <row r="219" spans="1:14" hidden="1" outlineLevel="1" x14ac:dyDescent="0.2">
      <c r="A219" s="11"/>
      <c r="B219" s="19" t="s">
        <v>203</v>
      </c>
      <c r="C219" s="71" t="s">
        <v>181</v>
      </c>
      <c r="D219" s="72">
        <f t="shared" ref="D219:I219" si="64">D213/((1)*D19*D18/1000)</f>
        <v>15.289206970456444</v>
      </c>
      <c r="E219" s="72">
        <f t="shared" si="64"/>
        <v>-120.30178119151024</v>
      </c>
      <c r="F219" s="72">
        <f t="shared" si="64"/>
        <v>28.619451504073556</v>
      </c>
      <c r="G219" s="72">
        <f t="shared" si="64"/>
        <v>-0.70970740169830071</v>
      </c>
      <c r="H219" s="72">
        <f t="shared" si="64"/>
        <v>-20.448216675175367</v>
      </c>
      <c r="I219" s="72">
        <f t="shared" si="64"/>
        <v>-139.13738372716421</v>
      </c>
      <c r="L219" s="139">
        <f>L213/((1)*L19/1000)</f>
        <v>62.953943525984492</v>
      </c>
      <c r="M219" s="72">
        <f>M213/((1)*M19/1000)</f>
        <v>77.749192675879755</v>
      </c>
      <c r="N219" s="72">
        <f>N213/((1)*N19/1000)</f>
        <v>-172.74269932926481</v>
      </c>
    </row>
    <row r="220" spans="1:14" hidden="1" outlineLevel="1" x14ac:dyDescent="0.2">
      <c r="A220" s="11"/>
      <c r="B220" s="71" t="s">
        <v>198</v>
      </c>
      <c r="C220" s="134" t="s">
        <v>286</v>
      </c>
      <c r="D220" s="72">
        <f t="shared" ref="D220:I220" si="65">IF(D211&lt;0,"N/A",D211*(1)*D19*D18/(D188+D194+D205))</f>
        <v>206734.78007161419</v>
      </c>
      <c r="E220" s="72">
        <f t="shared" si="65"/>
        <v>75427.626504431712</v>
      </c>
      <c r="F220" s="72">
        <f t="shared" si="65"/>
        <v>196348.83525276772</v>
      </c>
      <c r="G220" s="72">
        <f t="shared" si="65"/>
        <v>174197.92816278388</v>
      </c>
      <c r="H220" s="72">
        <f t="shared" si="65"/>
        <v>141071.39660513631</v>
      </c>
      <c r="I220" s="72" t="str">
        <f t="shared" si="65"/>
        <v>N/A</v>
      </c>
      <c r="L220" s="138">
        <f>L211*(1)*L19/(L188+L194+L205)</f>
        <v>128252.76736435163</v>
      </c>
      <c r="M220" s="72">
        <f>M211*(1)*M19/(M188+M194+M205)</f>
        <v>365982.04048745631</v>
      </c>
      <c r="N220" s="72">
        <f>N211*(1)*N19/(N188+N194+N205)</f>
        <v>45983.859701297661</v>
      </c>
    </row>
    <row r="221" spans="1:14" hidden="1" outlineLevel="1" x14ac:dyDescent="0.2">
      <c r="A221" s="11"/>
      <c r="B221" s="134" t="s">
        <v>332</v>
      </c>
      <c r="C221" s="134" t="s">
        <v>284</v>
      </c>
      <c r="D221" s="222">
        <f t="shared" ref="D221:I221" si="66">(D188+D194+D205)/(D19*D18/1000)</f>
        <v>1.322464178221753</v>
      </c>
      <c r="E221" s="222">
        <f t="shared" si="66"/>
        <v>2.3088466074959264</v>
      </c>
      <c r="F221" s="222">
        <f t="shared" si="66"/>
        <v>1.60664311269895</v>
      </c>
      <c r="G221" s="222">
        <f t="shared" si="66"/>
        <v>1.3758819043693249</v>
      </c>
      <c r="H221" s="222">
        <f t="shared" si="66"/>
        <v>1.3062288494922836</v>
      </c>
      <c r="I221" s="222">
        <f t="shared" si="66"/>
        <v>0.27066289178414116</v>
      </c>
      <c r="L221" s="149">
        <f>(L188+L194+L205)/(L19/1000)</f>
        <v>1.2985406612184351</v>
      </c>
      <c r="M221" s="148">
        <f>(M188+M194+M205)/(M19/1000)</f>
        <v>3.1353774529675458</v>
      </c>
      <c r="N221" s="148">
        <f>(N188+N194+N205)/(N19/1000)</f>
        <v>-0.19683156466896848</v>
      </c>
    </row>
    <row r="222" spans="1:14" hidden="1" outlineLevel="1" x14ac:dyDescent="0.2">
      <c r="A222" s="11"/>
      <c r="B222" s="60"/>
      <c r="C222" s="150"/>
      <c r="D222" s="151"/>
      <c r="E222" s="151"/>
      <c r="F222" s="151"/>
      <c r="G222" s="151"/>
      <c r="H222" s="151"/>
      <c r="I222" s="151"/>
      <c r="K222" s="152"/>
      <c r="L222" s="152"/>
      <c r="M222" s="151"/>
      <c r="N222" s="151"/>
    </row>
    <row r="223" spans="1:14" hidden="1" outlineLevel="1" x14ac:dyDescent="0.2">
      <c r="A223" s="11"/>
      <c r="B223" s="131" t="s">
        <v>214</v>
      </c>
      <c r="C223" s="131"/>
      <c r="D223" s="132"/>
      <c r="E223" s="132"/>
      <c r="F223" s="132"/>
      <c r="G223" s="132"/>
      <c r="H223" s="132"/>
      <c r="I223" s="132"/>
    </row>
    <row r="224" spans="1:14" hidden="1" outlineLevel="1" x14ac:dyDescent="0.2">
      <c r="A224" s="11"/>
      <c r="B224" s="55" t="s">
        <v>217</v>
      </c>
      <c r="C224" s="154" t="s">
        <v>28</v>
      </c>
      <c r="D224" s="206">
        <f>(D$23-D$24)*$D$62*$C$150</f>
        <v>167.83858666469189</v>
      </c>
      <c r="E224" s="206">
        <f>(E$23-E$24)*$D$62*$C$150</f>
        <v>167.83858666469186</v>
      </c>
      <c r="F224" s="206">
        <f>(F$23-F$24)*$D$62*$C$150</f>
        <v>134.27086933175352</v>
      </c>
      <c r="G224" s="206">
        <f>(G$23-G$24)*$D$62*$C$150</f>
        <v>134.27086933175352</v>
      </c>
      <c r="H224" s="206">
        <f>(H$23-H$24)*$D$62*$C$150</f>
        <v>134.27086933175352</v>
      </c>
      <c r="I224" s="206">
        <f>(I$23-I$24)*$D$61*C$163</f>
        <v>2.2394852072927507</v>
      </c>
      <c r="J224" s="7" t="s">
        <v>277</v>
      </c>
    </row>
    <row r="225" spans="1:10" hidden="1" outlineLevel="1" x14ac:dyDescent="0.2">
      <c r="A225" s="11"/>
      <c r="B225" s="58" t="s">
        <v>218</v>
      </c>
      <c r="C225" s="154" t="s">
        <v>28</v>
      </c>
      <c r="D225" s="85">
        <f>(D$23-D$24)*$D$62*$D$150</f>
        <v>42.598746110728904</v>
      </c>
      <c r="E225" s="85">
        <f>(E$23-E$24)*$D$62*$D$150</f>
        <v>42.598746110728896</v>
      </c>
      <c r="F225" s="85">
        <f>(F$23-F$24)*$D$62*$D$150</f>
        <v>34.07899688858312</v>
      </c>
      <c r="G225" s="85">
        <f>(G$23-G$24)*$D$62*$D$150</f>
        <v>34.07899688858312</v>
      </c>
      <c r="H225" s="85">
        <f>(H$23-H$24)*$D$62*$D$150</f>
        <v>34.07899688858312</v>
      </c>
      <c r="I225" s="85">
        <f>(I$23-I$24)*$D$62*$D$163</f>
        <v>1.3657049805650712</v>
      </c>
    </row>
    <row r="226" spans="1:10" hidden="1" outlineLevel="1" x14ac:dyDescent="0.2">
      <c r="A226" s="11"/>
      <c r="B226" s="58" t="s">
        <v>219</v>
      </c>
      <c r="C226" s="154" t="s">
        <v>28</v>
      </c>
      <c r="D226" s="85">
        <f>(D$23-D$24)*$D$62*$E$150</f>
        <v>59.515913519866324</v>
      </c>
      <c r="E226" s="85">
        <f>(E$23-E$24)*$D$62*$E$150</f>
        <v>59.515913519866317</v>
      </c>
      <c r="F226" s="85">
        <f>(F$23-F$24)*$D$62*$E$150</f>
        <v>47.612730815893059</v>
      </c>
      <c r="G226" s="85">
        <f>(G$23-G$24)*$D$62*$E$150</f>
        <v>47.612730815893059</v>
      </c>
      <c r="H226" s="85">
        <f>(H$23-H$24)*$D$62*$E$150</f>
        <v>47.612730815893059</v>
      </c>
      <c r="I226" s="85">
        <f>(I$23-I$24)*$D$62*$E$163</f>
        <v>1.582359875488851</v>
      </c>
    </row>
    <row r="227" spans="1:10" hidden="1" outlineLevel="1" x14ac:dyDescent="0.2">
      <c r="A227" s="11"/>
      <c r="B227" s="154" t="s">
        <v>215</v>
      </c>
      <c r="C227" s="154" t="s">
        <v>181</v>
      </c>
      <c r="D227" s="207">
        <f t="shared" ref="D227:I227" si="67">D224/(D$23-D$24)</f>
        <v>69.93274444362163</v>
      </c>
      <c r="E227" s="207">
        <f t="shared" si="67"/>
        <v>69.93274444362163</v>
      </c>
      <c r="F227" s="207">
        <f t="shared" si="67"/>
        <v>69.93274444362163</v>
      </c>
      <c r="G227" s="207">
        <f t="shared" si="67"/>
        <v>69.93274444362163</v>
      </c>
      <c r="H227" s="207">
        <f t="shared" si="67"/>
        <v>69.93274444362163</v>
      </c>
      <c r="I227" s="207">
        <f t="shared" si="67"/>
        <v>35.831763316684011</v>
      </c>
    </row>
    <row r="228" spans="1:10" hidden="1" outlineLevel="1" x14ac:dyDescent="0.2">
      <c r="A228" s="11"/>
      <c r="B228" s="55" t="s">
        <v>233</v>
      </c>
      <c r="C228" s="154" t="s">
        <v>28</v>
      </c>
      <c r="D228" s="206">
        <f>D229+D230+D231</f>
        <v>135.4287369558981</v>
      </c>
      <c r="E228" s="206">
        <f t="shared" ref="E228:I228" si="68">E229+E230+E231</f>
        <v>135.42873695589807</v>
      </c>
      <c r="F228" s="206">
        <f t="shared" si="68"/>
        <v>108.34298956471848</v>
      </c>
      <c r="G228" s="206">
        <f t="shared" si="68"/>
        <v>108.34298956471848</v>
      </c>
      <c r="H228" s="206">
        <f t="shared" si="68"/>
        <v>108.34298956471848</v>
      </c>
      <c r="I228" s="206">
        <f t="shared" si="68"/>
        <v>1.8475499333031955</v>
      </c>
    </row>
    <row r="229" spans="1:10" hidden="1" outlineLevel="1" x14ac:dyDescent="0.2">
      <c r="A229" s="11"/>
      <c r="B229" s="58" t="s">
        <v>175</v>
      </c>
      <c r="C229" s="154" t="s">
        <v>28</v>
      </c>
      <c r="D229" s="207">
        <f>(D225)*(1-$C$172)*$C$176</f>
        <v>23.53580722617772</v>
      </c>
      <c r="E229" s="207">
        <f t="shared" ref="E229:I229" si="69">(E225)*(1-$C$172)*$C$176</f>
        <v>23.535807226177717</v>
      </c>
      <c r="F229" s="207">
        <f t="shared" si="69"/>
        <v>18.828645780942175</v>
      </c>
      <c r="G229" s="207">
        <f t="shared" si="69"/>
        <v>18.828645780942175</v>
      </c>
      <c r="H229" s="207">
        <f t="shared" si="69"/>
        <v>18.828645780942175</v>
      </c>
      <c r="I229" s="207">
        <f t="shared" si="69"/>
        <v>0.75455200176220183</v>
      </c>
    </row>
    <row r="230" spans="1:10" hidden="1" outlineLevel="1" x14ac:dyDescent="0.2">
      <c r="A230" s="11"/>
      <c r="B230" s="58" t="s">
        <v>220</v>
      </c>
      <c r="C230" s="154" t="s">
        <v>28</v>
      </c>
      <c r="D230" s="207">
        <f>((D225)*$C$172+(D224-D225)*$C$175+(D224)*$C$177)*$C$173</f>
        <v>26.729838153025543</v>
      </c>
      <c r="E230" s="207">
        <f t="shared" ref="E230:I230" si="70">((E225)*$C$172+(E224-E225)*$C$175+(E224)*$C$177)*$C$173</f>
        <v>26.72983815302554</v>
      </c>
      <c r="F230" s="207">
        <f t="shared" si="70"/>
        <v>21.383870522420434</v>
      </c>
      <c r="G230" s="207">
        <f t="shared" si="70"/>
        <v>21.383870522420434</v>
      </c>
      <c r="H230" s="207">
        <f t="shared" si="70"/>
        <v>21.383870522420434</v>
      </c>
      <c r="I230" s="207">
        <f t="shared" si="70"/>
        <v>0.49882737736617161</v>
      </c>
    </row>
    <row r="231" spans="1:10" hidden="1" outlineLevel="1" x14ac:dyDescent="0.2">
      <c r="A231" s="11"/>
      <c r="B231" s="58" t="s">
        <v>176</v>
      </c>
      <c r="C231" s="154" t="s">
        <v>28</v>
      </c>
      <c r="D231" s="207">
        <f>(D226+(D224-D225-D226))*$C$174</f>
        <v>85.163091576694825</v>
      </c>
      <c r="E231" s="207">
        <f t="shared" ref="E231:I231" si="71">(E226+(E224-E225-E226))*$C$174</f>
        <v>85.163091576694825</v>
      </c>
      <c r="F231" s="207">
        <f t="shared" si="71"/>
        <v>68.130473261355874</v>
      </c>
      <c r="G231" s="207">
        <f t="shared" si="71"/>
        <v>68.130473261355874</v>
      </c>
      <c r="H231" s="207">
        <f t="shared" si="71"/>
        <v>68.130473261355874</v>
      </c>
      <c r="I231" s="207">
        <f t="shared" si="71"/>
        <v>0.59417055417482212</v>
      </c>
    </row>
    <row r="232" spans="1:10" hidden="1" outlineLevel="1" x14ac:dyDescent="0.2">
      <c r="A232" s="11"/>
      <c r="B232" s="153" t="s">
        <v>234</v>
      </c>
      <c r="C232" s="154" t="s">
        <v>181</v>
      </c>
      <c r="D232" s="207">
        <f t="shared" ref="D232:I232" si="72">D228/(D$23-D$24)</f>
        <v>56.428640398290881</v>
      </c>
      <c r="E232" s="207">
        <f t="shared" si="72"/>
        <v>56.428640398290874</v>
      </c>
      <c r="F232" s="207">
        <f t="shared" si="72"/>
        <v>56.428640398290874</v>
      </c>
      <c r="G232" s="207">
        <f t="shared" si="72"/>
        <v>56.428640398290874</v>
      </c>
      <c r="H232" s="207">
        <f t="shared" si="72"/>
        <v>56.428640398290874</v>
      </c>
      <c r="I232" s="207">
        <f t="shared" si="72"/>
        <v>29.560798932851128</v>
      </c>
    </row>
    <row r="233" spans="1:10" hidden="1" outlineLevel="1" x14ac:dyDescent="0.2">
      <c r="A233" s="11"/>
      <c r="B233" s="208" t="s">
        <v>235</v>
      </c>
      <c r="C233" s="209" t="s">
        <v>181</v>
      </c>
      <c r="D233" s="210">
        <f>D232+D227</f>
        <v>126.36138484191251</v>
      </c>
      <c r="E233" s="210">
        <f t="shared" ref="E233:I233" si="73">E232+E227</f>
        <v>126.3613848419125</v>
      </c>
      <c r="F233" s="210">
        <f t="shared" si="73"/>
        <v>126.3613848419125</v>
      </c>
      <c r="G233" s="210">
        <f t="shared" si="73"/>
        <v>126.3613848419125</v>
      </c>
      <c r="H233" s="210">
        <f t="shared" si="73"/>
        <v>126.3613848419125</v>
      </c>
      <c r="I233" s="210">
        <f t="shared" si="73"/>
        <v>65.392562249535132</v>
      </c>
    </row>
    <row r="234" spans="1:10" hidden="1" outlineLevel="1" x14ac:dyDescent="0.2">
      <c r="A234" s="11"/>
      <c r="B234" s="153" t="s">
        <v>153</v>
      </c>
      <c r="C234" s="154" t="s">
        <v>98</v>
      </c>
      <c r="D234" s="155">
        <f t="shared" ref="D234:I234" si="74">D233*D34/1000</f>
        <v>166.79702799132451</v>
      </c>
      <c r="E234" s="155">
        <f t="shared" si="74"/>
        <v>77.333167523250438</v>
      </c>
      <c r="F234" s="155">
        <f t="shared" si="74"/>
        <v>29.113663067576635</v>
      </c>
      <c r="G234" s="155">
        <f t="shared" si="74"/>
        <v>29.113663067576635</v>
      </c>
      <c r="H234" s="155">
        <f t="shared" si="74"/>
        <v>2.42613858896472</v>
      </c>
      <c r="I234" s="155">
        <f t="shared" si="74"/>
        <v>1.3078512449907025</v>
      </c>
    </row>
    <row r="235" spans="1:10" hidden="1" outlineLevel="1" x14ac:dyDescent="0.2">
      <c r="A235" s="11"/>
      <c r="B235" s="153" t="s">
        <v>237</v>
      </c>
      <c r="C235" s="154" t="s">
        <v>238</v>
      </c>
      <c r="D235" s="155">
        <f t="shared" ref="D235:I235" si="75">D225*1000/1.338/12/$C$332*$C$208</f>
        <v>1.3701635386663438</v>
      </c>
      <c r="E235" s="155">
        <f t="shared" si="75"/>
        <v>1.3701635386663436</v>
      </c>
      <c r="F235" s="155">
        <f t="shared" si="75"/>
        <v>1.0961308309330748</v>
      </c>
      <c r="G235" s="155">
        <f t="shared" si="75"/>
        <v>1.0961308309330748</v>
      </c>
      <c r="H235" s="155">
        <f t="shared" si="75"/>
        <v>1.0961308309330748</v>
      </c>
      <c r="I235" s="155">
        <f t="shared" si="75"/>
        <v>4.3927095038931163E-2</v>
      </c>
    </row>
    <row r="236" spans="1:10" hidden="1" outlineLevel="1" x14ac:dyDescent="0.2">
      <c r="A236" s="11"/>
      <c r="B236" s="60"/>
      <c r="C236" s="150"/>
      <c r="D236" s="151"/>
      <c r="E236" s="151"/>
      <c r="F236" s="151"/>
      <c r="G236" s="151"/>
      <c r="H236" s="151"/>
      <c r="I236" s="151"/>
    </row>
    <row r="237" spans="1:10" hidden="1" outlineLevel="1" x14ac:dyDescent="0.2">
      <c r="A237" s="11"/>
      <c r="B237" s="131" t="s">
        <v>325</v>
      </c>
      <c r="C237" s="131"/>
      <c r="D237" s="132"/>
      <c r="E237" s="194"/>
      <c r="F237" s="195"/>
      <c r="G237" s="132"/>
      <c r="H237" s="132"/>
      <c r="I237" s="132"/>
    </row>
    <row r="238" spans="1:10" hidden="1" outlineLevel="1" x14ac:dyDescent="0.2">
      <c r="A238" s="11"/>
      <c r="B238" s="29" t="s">
        <v>243</v>
      </c>
      <c r="C238" s="29" t="s">
        <v>244</v>
      </c>
      <c r="D238" s="26">
        <v>0.01</v>
      </c>
      <c r="E238" s="26">
        <v>0.02</v>
      </c>
      <c r="F238" s="26">
        <v>0.03</v>
      </c>
      <c r="G238" s="26">
        <v>0.02</v>
      </c>
      <c r="H238" s="26">
        <v>0.02</v>
      </c>
      <c r="I238" s="211"/>
    </row>
    <row r="239" spans="1:10" hidden="1" outlineLevel="1" x14ac:dyDescent="0.2">
      <c r="A239" s="11"/>
      <c r="B239" s="55" t="s">
        <v>217</v>
      </c>
      <c r="C239" s="55" t="s">
        <v>28</v>
      </c>
      <c r="D239" s="206">
        <f>(D$23)/(1+D238)*($D$62-D20)*$C$151</f>
        <v>131.05901141968855</v>
      </c>
      <c r="E239" s="206">
        <f>(E$23)/(1+E238)*($D$62-E20)*$C$151</f>
        <v>246.13130619701175</v>
      </c>
      <c r="F239" s="206">
        <f>(F$23)/(1+F238)*($D$62-F20)*$C$151</f>
        <v>91.925434303372157</v>
      </c>
      <c r="G239" s="206">
        <f>(G$23)/(1+G238)*($D$62-G20)*$C$151</f>
        <v>92.826664051444439</v>
      </c>
      <c r="H239" s="206">
        <f>(H$23)/(1+H238)*($D$62-H20)*$C$151</f>
        <v>98.628330554659712</v>
      </c>
      <c r="I239" s="206">
        <f>(I$23-I$24)*$D$61*C$163</f>
        <v>2.2394852072927507</v>
      </c>
      <c r="J239" s="7" t="s">
        <v>276</v>
      </c>
    </row>
    <row r="240" spans="1:10" hidden="1" outlineLevel="1" x14ac:dyDescent="0.2">
      <c r="A240" s="11"/>
      <c r="B240" s="58" t="s">
        <v>218</v>
      </c>
      <c r="C240" s="29" t="s">
        <v>28</v>
      </c>
      <c r="D240" s="85">
        <f t="shared" ref="D240:I240" si="76">(D$23)/(1+D238)*($D$62-D20)*$D$151</f>
        <v>35.576753039447716</v>
      </c>
      <c r="E240" s="85">
        <f t="shared" si="76"/>
        <v>66.813816165656718</v>
      </c>
      <c r="F240" s="85">
        <f t="shared" si="76"/>
        <v>24.95370931634957</v>
      </c>
      <c r="G240" s="85">
        <f t="shared" si="76"/>
        <v>25.198353525333392</v>
      </c>
      <c r="H240" s="85">
        <f t="shared" si="76"/>
        <v>26.77325062066673</v>
      </c>
      <c r="I240" s="85">
        <f t="shared" si="76"/>
        <v>1.0951141183256248</v>
      </c>
    </row>
    <row r="241" spans="1:9" hidden="1" outlineLevel="1" x14ac:dyDescent="0.2">
      <c r="A241" s="11"/>
      <c r="B241" s="58" t="s">
        <v>219</v>
      </c>
      <c r="C241" s="29" t="s">
        <v>28</v>
      </c>
      <c r="D241" s="85">
        <f t="shared" ref="D241:I241" si="77">(D$23)/(1+D238)*($D$62-D20)*$E$151</f>
        <v>65.652660447148804</v>
      </c>
      <c r="E241" s="85">
        <f t="shared" si="77"/>
        <v>123.29694002817794</v>
      </c>
      <c r="F241" s="85">
        <f t="shared" si="77"/>
        <v>46.049098489303411</v>
      </c>
      <c r="G241" s="85">
        <f t="shared" si="77"/>
        <v>46.500560239198542</v>
      </c>
      <c r="H241" s="85">
        <f t="shared" si="77"/>
        <v>49.40684525414845</v>
      </c>
      <c r="I241" s="85">
        <f t="shared" si="77"/>
        <v>2.0209026743275587</v>
      </c>
    </row>
    <row r="242" spans="1:9" hidden="1" outlineLevel="1" x14ac:dyDescent="0.2">
      <c r="A242" s="11"/>
      <c r="B242" s="154" t="s">
        <v>215</v>
      </c>
      <c r="C242" s="154" t="s">
        <v>181</v>
      </c>
      <c r="D242" s="207">
        <f>D239/(D$23)</f>
        <v>41.50202028290137</v>
      </c>
      <c r="E242" s="207">
        <f t="shared" ref="E242:H242" si="78">E239/(E$23)</f>
        <v>31.381741540118998</v>
      </c>
      <c r="F242" s="207">
        <f t="shared" si="78"/>
        <v>40.696155811388714</v>
      </c>
      <c r="G242" s="207">
        <f t="shared" si="78"/>
        <v>41.095137731108217</v>
      </c>
      <c r="H242" s="207">
        <f t="shared" si="78"/>
        <v>41.095137731108217</v>
      </c>
      <c r="I242" s="207">
        <f>I239/(I$23-I$24)</f>
        <v>35.831763316684011</v>
      </c>
    </row>
    <row r="243" spans="1:9" hidden="1" outlineLevel="1" x14ac:dyDescent="0.2">
      <c r="A243" s="11"/>
      <c r="B243" s="55" t="s">
        <v>291</v>
      </c>
      <c r="C243" s="154" t="s">
        <v>216</v>
      </c>
      <c r="D243" s="206">
        <f>D244+D245+D246</f>
        <v>105.86886985812748</v>
      </c>
      <c r="E243" s="206">
        <f t="shared" ref="E243" si="79">E244+E245+E246</f>
        <v>198.82374314833123</v>
      </c>
      <c r="F243" s="206">
        <f t="shared" ref="F243" si="80">F244+F245+F246</f>
        <v>74.25694529123804</v>
      </c>
      <c r="G243" s="206">
        <f t="shared" ref="G243" si="81">G244+G245+G246</f>
        <v>74.984954558799217</v>
      </c>
      <c r="H243" s="206">
        <f t="shared" ref="H243" si="82">H244+H245+H246</f>
        <v>79.671514218724155</v>
      </c>
      <c r="I243" s="206">
        <f t="shared" ref="I243" si="83">I244+I245+I246</f>
        <v>1.8338008339280576</v>
      </c>
    </row>
    <row r="244" spans="1:9" hidden="1" outlineLevel="1" x14ac:dyDescent="0.2">
      <c r="A244" s="11"/>
      <c r="B244" s="58" t="s">
        <v>175</v>
      </c>
      <c r="C244" s="154" t="s">
        <v>216</v>
      </c>
      <c r="D244" s="207">
        <f>(D240)*(1-$C$172)*$C$176</f>
        <v>19.656156054294865</v>
      </c>
      <c r="E244" s="207">
        <f t="shared" ref="E244:I244" si="84">(E240)*(1-$C$172)*$C$176</f>
        <v>36.914633431525338</v>
      </c>
      <c r="F244" s="207">
        <f t="shared" si="84"/>
        <v>13.786924397283139</v>
      </c>
      <c r="G244" s="207">
        <f t="shared" si="84"/>
        <v>13.922090322746699</v>
      </c>
      <c r="H244" s="207">
        <f t="shared" si="84"/>
        <v>14.792220967918368</v>
      </c>
      <c r="I244" s="207">
        <f t="shared" si="84"/>
        <v>0.60505055037490774</v>
      </c>
    </row>
    <row r="245" spans="1:9" hidden="1" outlineLevel="1" x14ac:dyDescent="0.2">
      <c r="A245" s="11"/>
      <c r="B245" s="58" t="s">
        <v>220</v>
      </c>
      <c r="C245" s="154" t="s">
        <v>216</v>
      </c>
      <c r="D245" s="207">
        <f>((D240)*$C$172+(D239-D240)*$C$175+(D239)*$C$177)*$C$173</f>
        <v>21.284778105268852</v>
      </c>
      <c r="E245" s="207">
        <f t="shared" ref="E245:I245" si="85">((E240)*$C$172+(E239-E240)*$C$175+(E239)*$C$177)*$C$173</f>
        <v>39.973216495484451</v>
      </c>
      <c r="F245" s="207">
        <f t="shared" si="85"/>
        <v>14.929247902779544</v>
      </c>
      <c r="G245" s="207">
        <f t="shared" si="85"/>
        <v>15.075613078296993</v>
      </c>
      <c r="H245" s="207">
        <f t="shared" si="85"/>
        <v>16.017838895690552</v>
      </c>
      <c r="I245" s="207">
        <f t="shared" si="85"/>
        <v>0.45057794305550419</v>
      </c>
    </row>
    <row r="246" spans="1:9" hidden="1" outlineLevel="1" x14ac:dyDescent="0.2">
      <c r="A246" s="11"/>
      <c r="B246" s="58" t="s">
        <v>176</v>
      </c>
      <c r="C246" s="154" t="s">
        <v>216</v>
      </c>
      <c r="D246" s="207">
        <f>(D241+(D239-D240-D241))*$C$174</f>
        <v>64.927935698563772</v>
      </c>
      <c r="E246" s="207">
        <f t="shared" ref="E246:I246" si="86">(E241+(E239-E240-E241))*$C$174</f>
        <v>121.93589322132142</v>
      </c>
      <c r="F246" s="207">
        <f t="shared" si="86"/>
        <v>45.540772991175359</v>
      </c>
      <c r="G246" s="207">
        <f t="shared" si="86"/>
        <v>45.987251157755516</v>
      </c>
      <c r="H246" s="207">
        <f t="shared" si="86"/>
        <v>48.861454355115228</v>
      </c>
      <c r="I246" s="207">
        <f t="shared" si="86"/>
        <v>0.77817234049764572</v>
      </c>
    </row>
    <row r="247" spans="1:9" hidden="1" outlineLevel="1" x14ac:dyDescent="0.2">
      <c r="A247" s="11"/>
      <c r="B247" s="212" t="s">
        <v>234</v>
      </c>
      <c r="C247" s="154" t="s">
        <v>181</v>
      </c>
      <c r="D247" s="207">
        <f>D243/(D$23)</f>
        <v>33.525142121740366</v>
      </c>
      <c r="E247" s="207">
        <f>E243/(E$23)</f>
        <v>25.350027251412232</v>
      </c>
      <c r="F247" s="207">
        <f t="shared" ref="F247:I247" si="87">F243/(F$23)</f>
        <v>32.874168488308506</v>
      </c>
      <c r="G247" s="207">
        <f t="shared" si="87"/>
        <v>33.196464257801736</v>
      </c>
      <c r="H247" s="207">
        <f t="shared" si="87"/>
        <v>33.196464257801736</v>
      </c>
      <c r="I247" s="207">
        <f t="shared" si="87"/>
        <v>28.753997075991943</v>
      </c>
    </row>
    <row r="248" spans="1:9" hidden="1" outlineLevel="1" x14ac:dyDescent="0.2">
      <c r="A248" s="11"/>
      <c r="B248" s="208" t="s">
        <v>326</v>
      </c>
      <c r="C248" s="209" t="s">
        <v>181</v>
      </c>
      <c r="D248" s="210">
        <f>D247+D242</f>
        <v>75.027162404641729</v>
      </c>
      <c r="E248" s="210">
        <f>E247+E242</f>
        <v>56.731768791531231</v>
      </c>
      <c r="F248" s="210">
        <f t="shared" ref="F248" si="88">F247+F242</f>
        <v>73.570324299697219</v>
      </c>
      <c r="G248" s="210">
        <f t="shared" ref="G248" si="89">G247+G242</f>
        <v>74.291601988909946</v>
      </c>
      <c r="H248" s="210">
        <f t="shared" ref="H248" si="90">H247+H242</f>
        <v>74.291601988909946</v>
      </c>
      <c r="I248" s="210">
        <f t="shared" ref="I248" si="91">I247+I242</f>
        <v>64.585760392675951</v>
      </c>
    </row>
    <row r="249" spans="1:9" hidden="1" outlineLevel="1" x14ac:dyDescent="0.2">
      <c r="A249" s="11"/>
      <c r="B249" s="153" t="s">
        <v>153</v>
      </c>
      <c r="C249" s="154" t="s">
        <v>98</v>
      </c>
      <c r="D249" s="155">
        <f t="shared" ref="D249:I249" si="92">D248*(D39+D34)/1000</f>
        <v>130.3103347027988</v>
      </c>
      <c r="E249" s="155">
        <f t="shared" si="92"/>
        <v>113.46353758306246</v>
      </c>
      <c r="F249" s="155">
        <f t="shared" si="92"/>
        <v>19.94188555135322</v>
      </c>
      <c r="G249" s="155">
        <f t="shared" si="92"/>
        <v>20.137394233229237</v>
      </c>
      <c r="H249" s="155">
        <f t="shared" si="92"/>
        <v>1.7829984477338388</v>
      </c>
      <c r="I249" s="155">
        <f t="shared" si="92"/>
        <v>1.2917152078535192</v>
      </c>
    </row>
    <row r="250" spans="1:9" hidden="1" outlineLevel="1" x14ac:dyDescent="0.2">
      <c r="A250" s="11"/>
      <c r="B250" s="153" t="s">
        <v>239</v>
      </c>
      <c r="C250" s="154" t="s">
        <v>238</v>
      </c>
      <c r="D250" s="155">
        <f t="shared" ref="D250:I250" si="93">D240*1000/1.338/12/$C$332*$C$208</f>
        <v>1.1443052739646518</v>
      </c>
      <c r="E250" s="155">
        <f t="shared" si="93"/>
        <v>2.1490269819533978</v>
      </c>
      <c r="F250" s="155">
        <f t="shared" si="93"/>
        <v>0.80262133939030622</v>
      </c>
      <c r="G250" s="155">
        <f t="shared" si="93"/>
        <v>0.8104901760509956</v>
      </c>
      <c r="H250" s="155">
        <f t="shared" si="93"/>
        <v>0.86114581205418284</v>
      </c>
      <c r="I250" s="155">
        <f t="shared" si="93"/>
        <v>3.5223699582805315E-2</v>
      </c>
    </row>
    <row r="251" spans="1:9" hidden="1" outlineLevel="1" x14ac:dyDescent="0.2">
      <c r="A251" s="11"/>
      <c r="B251" s="60"/>
      <c r="C251" s="150"/>
      <c r="D251" s="151"/>
      <c r="E251" s="151"/>
      <c r="F251" s="151"/>
      <c r="G251" s="151"/>
      <c r="H251" s="151"/>
      <c r="I251" s="151"/>
    </row>
    <row r="252" spans="1:9" hidden="1" outlineLevel="1" x14ac:dyDescent="0.2">
      <c r="A252" s="11"/>
      <c r="B252" s="131" t="s">
        <v>209</v>
      </c>
      <c r="C252" s="131"/>
      <c r="D252" s="132"/>
      <c r="E252" s="194"/>
      <c r="F252" s="195"/>
      <c r="G252" s="132"/>
      <c r="H252" s="132"/>
      <c r="I252" s="132"/>
    </row>
    <row r="253" spans="1:9" hidden="1" outlineLevel="1" x14ac:dyDescent="0.2">
      <c r="A253" s="11"/>
      <c r="B253" s="55" t="s">
        <v>208</v>
      </c>
      <c r="C253" s="209" t="s">
        <v>28</v>
      </c>
      <c r="D253" s="206">
        <f t="shared" ref="D253:I253" si="94">D$6*D$8*$C$160+D$6*D$9*$C$161</f>
        <v>433.154545654571</v>
      </c>
      <c r="E253" s="206">
        <f t="shared" si="94"/>
        <v>277.21890921892549</v>
      </c>
      <c r="F253" s="206">
        <f t="shared" si="94"/>
        <v>107.18965226379052</v>
      </c>
      <c r="G253" s="206">
        <f t="shared" si="94"/>
        <v>71.459768175860361</v>
      </c>
      <c r="H253" s="206">
        <f t="shared" si="94"/>
        <v>160.7844783956858</v>
      </c>
      <c r="I253" s="206">
        <f t="shared" si="94"/>
        <v>52.235108743082883</v>
      </c>
    </row>
    <row r="254" spans="1:9" hidden="1" outlineLevel="1" x14ac:dyDescent="0.2">
      <c r="A254" s="11"/>
      <c r="B254" s="213" t="s">
        <v>194</v>
      </c>
      <c r="C254" s="154" t="s">
        <v>28</v>
      </c>
      <c r="D254" s="85">
        <f t="shared" ref="D254:I254" si="95">D$6*D$8*$D$160+D$6*D$9*$D$161</f>
        <v>240.79702341775285</v>
      </c>
      <c r="E254" s="85">
        <f t="shared" si="95"/>
        <v>154.11009498736186</v>
      </c>
      <c r="F254" s="85">
        <f t="shared" si="95"/>
        <v>55.295185964559039</v>
      </c>
      <c r="G254" s="85">
        <f t="shared" si="95"/>
        <v>36.863457309706028</v>
      </c>
      <c r="H254" s="85">
        <f t="shared" si="95"/>
        <v>82.942778946838558</v>
      </c>
      <c r="I254" s="85">
        <f t="shared" si="95"/>
        <v>31.182687729318015</v>
      </c>
    </row>
    <row r="255" spans="1:9" hidden="1" outlineLevel="1" x14ac:dyDescent="0.2">
      <c r="A255" s="11"/>
      <c r="B255" s="213" t="s">
        <v>199</v>
      </c>
      <c r="C255" s="154" t="s">
        <v>28</v>
      </c>
      <c r="D255" s="85">
        <f t="shared" ref="D255:I255" si="96">D$6*D$8*$E$160+D$6*D$9*$E$161</f>
        <v>133.94520792176758</v>
      </c>
      <c r="E255" s="85">
        <f t="shared" si="96"/>
        <v>85.724933069931296</v>
      </c>
      <c r="F255" s="85">
        <f t="shared" si="96"/>
        <v>37.873082841545397</v>
      </c>
      <c r="G255" s="85">
        <f t="shared" si="96"/>
        <v>25.248721894363605</v>
      </c>
      <c r="H255" s="85">
        <f t="shared" si="96"/>
        <v>56.80962426231811</v>
      </c>
      <c r="I255" s="85">
        <f t="shared" si="96"/>
        <v>13.791814895143728</v>
      </c>
    </row>
    <row r="256" spans="1:9" ht="18" hidden="1" customHeight="1" outlineLevel="1" x14ac:dyDescent="0.2">
      <c r="A256" s="11"/>
      <c r="B256" s="55" t="s">
        <v>206</v>
      </c>
      <c r="C256" s="209" t="s">
        <v>205</v>
      </c>
      <c r="D256" s="214">
        <f t="shared" ref="D256:I258" si="97">D253/D$6</f>
        <v>0.34652363652365681</v>
      </c>
      <c r="E256" s="214">
        <f t="shared" si="97"/>
        <v>0.17326181826182843</v>
      </c>
      <c r="F256" s="214">
        <f t="shared" si="97"/>
        <v>0.10718965226379053</v>
      </c>
      <c r="G256" s="214">
        <f t="shared" si="97"/>
        <v>0.10718965226379054</v>
      </c>
      <c r="H256" s="214">
        <f t="shared" si="97"/>
        <v>0.10718965226379053</v>
      </c>
      <c r="I256" s="214">
        <f t="shared" si="97"/>
        <v>0.47058656525299897</v>
      </c>
    </row>
    <row r="257" spans="1:14" ht="18" hidden="1" customHeight="1" outlineLevel="1" x14ac:dyDescent="0.2">
      <c r="A257" s="11"/>
      <c r="B257" s="213" t="s">
        <v>194</v>
      </c>
      <c r="C257" s="154" t="s">
        <v>205</v>
      </c>
      <c r="D257" s="215">
        <f t="shared" si="97"/>
        <v>0.19263761873420229</v>
      </c>
      <c r="E257" s="215">
        <f t="shared" si="97"/>
        <v>9.631880936710116E-2</v>
      </c>
      <c r="F257" s="215">
        <f t="shared" si="97"/>
        <v>5.529518596455904E-2</v>
      </c>
      <c r="G257" s="215">
        <f t="shared" si="97"/>
        <v>5.5295185964559047E-2</v>
      </c>
      <c r="H257" s="215">
        <f t="shared" si="97"/>
        <v>5.529518596455904E-2</v>
      </c>
      <c r="I257" s="215">
        <f t="shared" si="97"/>
        <v>0.2809251146785407</v>
      </c>
    </row>
    <row r="258" spans="1:14" ht="18" hidden="1" customHeight="1" outlineLevel="1" x14ac:dyDescent="0.2">
      <c r="A258" s="11"/>
      <c r="B258" s="213" t="s">
        <v>199</v>
      </c>
      <c r="C258" s="154" t="s">
        <v>205</v>
      </c>
      <c r="D258" s="215">
        <f t="shared" si="97"/>
        <v>0.10715616633741407</v>
      </c>
      <c r="E258" s="215">
        <f t="shared" si="97"/>
        <v>5.3578083168707061E-2</v>
      </c>
      <c r="F258" s="215">
        <f t="shared" si="97"/>
        <v>3.7873082841545398E-2</v>
      </c>
      <c r="G258" s="215">
        <f t="shared" si="97"/>
        <v>3.7873082841545412E-2</v>
      </c>
      <c r="H258" s="215">
        <f t="shared" si="97"/>
        <v>3.7873082841545405E-2</v>
      </c>
      <c r="I258" s="215">
        <f t="shared" si="97"/>
        <v>0.1242505846409345</v>
      </c>
    </row>
    <row r="259" spans="1:14" ht="18" hidden="1" customHeight="1" outlineLevel="1" x14ac:dyDescent="0.2">
      <c r="A259" s="11"/>
      <c r="B259" s="55" t="s">
        <v>334</v>
      </c>
      <c r="C259" s="209"/>
      <c r="D259" s="219">
        <f>D254*1000/1.338/12/$C$332*$C$208</f>
        <v>7.7450942065004655</v>
      </c>
      <c r="E259" s="219">
        <f t="shared" ref="E259:I259" si="98">E254*1000/1.338/12/$C$332*$C$208</f>
        <v>4.9568602921603002</v>
      </c>
      <c r="F259" s="219">
        <f t="shared" si="98"/>
        <v>1.7785370366413673</v>
      </c>
      <c r="G259" s="219">
        <f t="shared" si="98"/>
        <v>1.1856913577609116</v>
      </c>
      <c r="H259" s="219">
        <f t="shared" si="98"/>
        <v>2.667805554962051</v>
      </c>
      <c r="I259" s="219">
        <f t="shared" si="98"/>
        <v>1.0029727554250509</v>
      </c>
    </row>
    <row r="260" spans="1:14" hidden="1" outlineLevel="1" x14ac:dyDescent="0.2">
      <c r="A260" s="11"/>
      <c r="B260" s="213" t="s">
        <v>335</v>
      </c>
      <c r="C260" s="154" t="s">
        <v>336</v>
      </c>
      <c r="D260" s="215">
        <f t="shared" ref="D260:I260" si="99">D259/D6</f>
        <v>6.1960753652003722E-3</v>
      </c>
      <c r="E260" s="215">
        <f t="shared" si="99"/>
        <v>3.0980376826001878E-3</v>
      </c>
      <c r="F260" s="215">
        <f t="shared" si="99"/>
        <v>1.7785370366413674E-3</v>
      </c>
      <c r="G260" s="215">
        <f t="shared" si="99"/>
        <v>1.7785370366413674E-3</v>
      </c>
      <c r="H260" s="215">
        <f t="shared" si="99"/>
        <v>1.7785370366413674E-3</v>
      </c>
      <c r="I260" s="215">
        <f t="shared" si="99"/>
        <v>9.035790589414873E-3</v>
      </c>
    </row>
    <row r="261" spans="1:14" hidden="1" outlineLevel="1" x14ac:dyDescent="0.2">
      <c r="A261" s="11"/>
      <c r="B261" s="12"/>
      <c r="C261" s="5"/>
    </row>
    <row r="262" spans="1:14" hidden="1" outlineLevel="1" x14ac:dyDescent="0.2">
      <c r="A262" s="11"/>
      <c r="B262" s="220" t="s">
        <v>329</v>
      </c>
      <c r="C262" s="220" t="s">
        <v>181</v>
      </c>
      <c r="D262" s="221">
        <f t="shared" ref="D262:I262" si="100">D98</f>
        <v>130.73973632163379</v>
      </c>
      <c r="E262" s="221">
        <f t="shared" si="100"/>
        <v>302.20369726515372</v>
      </c>
      <c r="F262" s="221">
        <f t="shared" si="100"/>
        <v>220.72167744650864</v>
      </c>
      <c r="G262" s="221">
        <f t="shared" si="100"/>
        <v>146.90429626215521</v>
      </c>
      <c r="H262" s="221">
        <f t="shared" si="100"/>
        <v>166.68751266043071</v>
      </c>
      <c r="I262" s="221">
        <f t="shared" si="100"/>
        <v>208.74509335988154</v>
      </c>
    </row>
    <row r="263" spans="1:14" hidden="1" outlineLevel="1" x14ac:dyDescent="0.2">
      <c r="A263" s="11"/>
      <c r="C263" s="156"/>
    </row>
    <row r="264" spans="1:14" collapsed="1" x14ac:dyDescent="0.2">
      <c r="A264" s="11"/>
    </row>
    <row r="265" spans="1:14" x14ac:dyDescent="0.2">
      <c r="A265" s="8" t="s">
        <v>131</v>
      </c>
      <c r="B265" s="9" t="s">
        <v>341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idden="1" outlineLevel="1" x14ac:dyDescent="0.2">
      <c r="A266" s="11"/>
    </row>
    <row r="267" spans="1:14" hidden="1" outlineLevel="1" x14ac:dyDescent="0.2">
      <c r="A267" s="11"/>
      <c r="B267" s="197" t="s">
        <v>330</v>
      </c>
    </row>
    <row r="268" spans="1:14" ht="38.25" hidden="1" outlineLevel="1" x14ac:dyDescent="0.2">
      <c r="A268" s="11"/>
      <c r="B268" s="13"/>
      <c r="C268" s="13"/>
      <c r="D268" s="13" t="s">
        <v>29</v>
      </c>
      <c r="E268" s="13" t="s">
        <v>59</v>
      </c>
      <c r="F268" s="13" t="s">
        <v>133</v>
      </c>
      <c r="G268" s="13" t="s">
        <v>134</v>
      </c>
      <c r="H268" s="13" t="s">
        <v>301</v>
      </c>
      <c r="I268" s="13" t="s">
        <v>302</v>
      </c>
    </row>
    <row r="269" spans="1:14" ht="15.75" hidden="1" customHeight="1" outlineLevel="1" x14ac:dyDescent="0.2">
      <c r="A269" s="11"/>
      <c r="B269" s="12" t="s">
        <v>305</v>
      </c>
      <c r="D269" s="11"/>
      <c r="E269" s="11"/>
      <c r="F269" s="11"/>
      <c r="G269" s="11"/>
      <c r="H269" s="11"/>
      <c r="I269" s="11"/>
    </row>
    <row r="270" spans="1:14" hidden="1" outlineLevel="1" x14ac:dyDescent="0.2">
      <c r="A270" s="11"/>
      <c r="B270" s="29" t="s">
        <v>292</v>
      </c>
      <c r="C270" s="29" t="s">
        <v>35</v>
      </c>
      <c r="D270" s="85">
        <f t="shared" ref="D270:I271" si="101">D33</f>
        <v>550</v>
      </c>
      <c r="E270" s="85">
        <f t="shared" si="101"/>
        <v>255</v>
      </c>
      <c r="F270" s="85">
        <f t="shared" si="101"/>
        <v>120</v>
      </c>
      <c r="G270" s="85">
        <f t="shared" si="101"/>
        <v>120</v>
      </c>
      <c r="H270" s="85">
        <f t="shared" si="101"/>
        <v>10</v>
      </c>
      <c r="I270" s="85">
        <f t="shared" si="101"/>
        <v>320</v>
      </c>
    </row>
    <row r="271" spans="1:14" hidden="1" outlineLevel="1" x14ac:dyDescent="0.2">
      <c r="A271" s="11"/>
      <c r="B271" s="29" t="s">
        <v>293</v>
      </c>
      <c r="C271" s="29" t="s">
        <v>306</v>
      </c>
      <c r="D271" s="200">
        <f t="shared" si="101"/>
        <v>1320</v>
      </c>
      <c r="E271" s="200">
        <f t="shared" si="101"/>
        <v>611.99999999999989</v>
      </c>
      <c r="F271" s="200">
        <f t="shared" si="101"/>
        <v>230.39999999999998</v>
      </c>
      <c r="G271" s="200">
        <f t="shared" si="101"/>
        <v>230.39999999999998</v>
      </c>
      <c r="H271" s="200">
        <f t="shared" si="101"/>
        <v>19.2</v>
      </c>
      <c r="I271" s="200">
        <f t="shared" si="101"/>
        <v>20</v>
      </c>
    </row>
    <row r="272" spans="1:14" hidden="1" outlineLevel="1" x14ac:dyDescent="0.2">
      <c r="A272" s="11"/>
      <c r="B272" s="29" t="s">
        <v>307</v>
      </c>
      <c r="C272" s="29" t="s">
        <v>18</v>
      </c>
      <c r="D272" s="200">
        <f t="shared" ref="D272:I272" si="102">D47</f>
        <v>130.73973632163379</v>
      </c>
      <c r="E272" s="200">
        <f t="shared" si="102"/>
        <v>302.20369726515372</v>
      </c>
      <c r="F272" s="200">
        <f t="shared" si="102"/>
        <v>220.72167744650864</v>
      </c>
      <c r="G272" s="200">
        <f t="shared" si="102"/>
        <v>146.90429626215521</v>
      </c>
      <c r="H272" s="200">
        <f t="shared" si="102"/>
        <v>166.68751266043071</v>
      </c>
      <c r="I272" s="200">
        <f t="shared" si="102"/>
        <v>208.74509335988154</v>
      </c>
    </row>
    <row r="273" spans="1:10" ht="15.75" hidden="1" customHeight="1" outlineLevel="1" x14ac:dyDescent="0.2">
      <c r="A273" s="11"/>
      <c r="B273" s="12" t="s">
        <v>222</v>
      </c>
      <c r="D273" s="11"/>
      <c r="E273" s="11"/>
      <c r="F273" s="11"/>
      <c r="G273" s="11"/>
      <c r="H273" s="11"/>
      <c r="I273" s="11"/>
    </row>
    <row r="274" spans="1:10" hidden="1" outlineLevel="1" x14ac:dyDescent="0.2">
      <c r="A274" s="11"/>
      <c r="B274" s="29" t="s">
        <v>297</v>
      </c>
      <c r="C274" s="29" t="s">
        <v>296</v>
      </c>
      <c r="D274" s="80">
        <f>D271*D214/1000</f>
        <v>150.36963757049418</v>
      </c>
      <c r="E274" s="80">
        <f t="shared" ref="E274:I274" si="103">E271*E214/1000</f>
        <v>44.40845898938786</v>
      </c>
      <c r="F274" s="80">
        <f t="shared" si="103"/>
        <v>37.85550046143841</v>
      </c>
      <c r="G274" s="80">
        <f t="shared" si="103"/>
        <v>28.761093256536231</v>
      </c>
      <c r="H274" s="80">
        <f t="shared" si="103"/>
        <v>1.8427152808379683</v>
      </c>
      <c r="I274" s="80">
        <f t="shared" si="103"/>
        <v>-1.0490403712558856</v>
      </c>
    </row>
    <row r="275" spans="1:10" hidden="1" outlineLevel="1" x14ac:dyDescent="0.2">
      <c r="A275" s="11"/>
      <c r="B275" s="29" t="s">
        <v>298</v>
      </c>
      <c r="C275" s="29" t="s">
        <v>296</v>
      </c>
      <c r="D275" s="80">
        <f>-D34*D233/1000</f>
        <v>-166.79702799132451</v>
      </c>
      <c r="E275" s="80">
        <f>-E34*E233/1000</f>
        <v>-77.333167523250438</v>
      </c>
      <c r="F275" s="80">
        <f>-F34*F233/1000</f>
        <v>-29.113663067576635</v>
      </c>
      <c r="G275" s="80">
        <f>-G34*G233/1000</f>
        <v>-29.113663067576635</v>
      </c>
      <c r="H275" s="80">
        <f>-H34*H233/1000</f>
        <v>-2.42613858896472</v>
      </c>
      <c r="I275" s="80">
        <f>-I34*N214/1000</f>
        <v>2.8733571601665857</v>
      </c>
    </row>
    <row r="276" spans="1:10" hidden="1" outlineLevel="1" x14ac:dyDescent="0.2">
      <c r="A276" s="11"/>
      <c r="B276" s="55" t="s">
        <v>271</v>
      </c>
      <c r="C276" s="55" t="s">
        <v>296</v>
      </c>
      <c r="D276" s="201">
        <f t="shared" ref="D276:I276" si="104">SUM(D274:D275)</f>
        <v>-16.427390420830335</v>
      </c>
      <c r="E276" s="201">
        <f t="shared" si="104"/>
        <v>-32.924708533862578</v>
      </c>
      <c r="F276" s="201">
        <f t="shared" si="104"/>
        <v>8.7418373938617755</v>
      </c>
      <c r="G276" s="201">
        <f t="shared" si="104"/>
        <v>-0.35256981104040364</v>
      </c>
      <c r="H276" s="201">
        <f t="shared" si="104"/>
        <v>-0.58342330812675169</v>
      </c>
      <c r="I276" s="201">
        <f t="shared" si="104"/>
        <v>1.8243167889107001</v>
      </c>
      <c r="J276" s="244">
        <f>SUM(D276:I276)</f>
        <v>-39.721937891087592</v>
      </c>
    </row>
    <row r="277" spans="1:10" hidden="1" outlineLevel="1" x14ac:dyDescent="0.2">
      <c r="A277" s="11"/>
      <c r="B277" s="199" t="s">
        <v>299</v>
      </c>
      <c r="C277" s="154" t="s">
        <v>18</v>
      </c>
      <c r="D277" s="202">
        <f t="shared" ref="D277:I277" si="105">D276*1000/D271</f>
        <v>-12.444992743053284</v>
      </c>
      <c r="E277" s="202">
        <f t="shared" si="105"/>
        <v>-53.798543355984613</v>
      </c>
      <c r="F277" s="202">
        <f t="shared" si="105"/>
        <v>37.942002577525066</v>
      </c>
      <c r="G277" s="202">
        <f t="shared" si="105"/>
        <v>-1.5302509159739743</v>
      </c>
      <c r="H277" s="202">
        <f t="shared" si="105"/>
        <v>-30.386630631601655</v>
      </c>
      <c r="I277" s="202">
        <f t="shared" si="105"/>
        <v>91.215839445535011</v>
      </c>
      <c r="J277" s="245">
        <v>26779</v>
      </c>
    </row>
    <row r="278" spans="1:10" ht="15" hidden="1" customHeight="1" outlineLevel="1" x14ac:dyDescent="0.2">
      <c r="A278" s="11"/>
      <c r="B278" s="12" t="s">
        <v>308</v>
      </c>
      <c r="D278" s="11"/>
      <c r="E278" s="11"/>
      <c r="F278" s="11"/>
      <c r="G278" s="11"/>
      <c r="H278" s="11"/>
      <c r="I278" s="11"/>
      <c r="J278" s="246">
        <f>J276/J277</f>
        <v>-1.4833241678586799E-3</v>
      </c>
    </row>
    <row r="279" spans="1:10" hidden="1" outlineLevel="1" x14ac:dyDescent="0.2">
      <c r="A279" s="11"/>
      <c r="B279" s="223" t="s">
        <v>294</v>
      </c>
      <c r="C279" s="55" t="s">
        <v>98</v>
      </c>
      <c r="D279" s="201">
        <f t="shared" ref="D279:I279" si="106">D256*D36</f>
        <v>238.23500011001406</v>
      </c>
      <c r="E279" s="201">
        <f t="shared" si="106"/>
        <v>70.690821850825998</v>
      </c>
      <c r="F279" s="201">
        <f t="shared" si="106"/>
        <v>12.862758271654863</v>
      </c>
      <c r="G279" s="201">
        <f t="shared" si="106"/>
        <v>8.5751721811032429</v>
      </c>
      <c r="H279" s="201">
        <f t="shared" si="106"/>
        <v>1.6078447839568579</v>
      </c>
      <c r="I279" s="201">
        <f t="shared" si="106"/>
        <v>16.715234797786525</v>
      </c>
      <c r="J279" s="244">
        <f>SUM(D279:I279)</f>
        <v>348.68683199534155</v>
      </c>
    </row>
    <row r="280" spans="1:10" hidden="1" outlineLevel="1" x14ac:dyDescent="0.2">
      <c r="A280" s="11"/>
      <c r="B280" s="213" t="s">
        <v>303</v>
      </c>
      <c r="C280" s="154" t="s">
        <v>304</v>
      </c>
      <c r="D280" s="202">
        <f t="shared" ref="D280:I280" si="107">D279*1000/D270</f>
        <v>433.154545654571</v>
      </c>
      <c r="E280" s="202">
        <f t="shared" si="107"/>
        <v>277.21890921892549</v>
      </c>
      <c r="F280" s="202">
        <f t="shared" si="107"/>
        <v>107.18965226379053</v>
      </c>
      <c r="G280" s="202">
        <f t="shared" si="107"/>
        <v>71.459768175860347</v>
      </c>
      <c r="H280" s="202">
        <f t="shared" si="107"/>
        <v>160.7844783956858</v>
      </c>
      <c r="I280" s="202">
        <f t="shared" si="107"/>
        <v>52.23510874308289</v>
      </c>
      <c r="J280" s="246">
        <f>J279/J277</f>
        <v>1.3020905634838551E-2</v>
      </c>
    </row>
    <row r="281" spans="1:10" hidden="1" outlineLevel="1" x14ac:dyDescent="0.2">
      <c r="A281" s="11"/>
    </row>
    <row r="282" spans="1:10" hidden="1" outlineLevel="1" x14ac:dyDescent="0.2">
      <c r="A282" s="11"/>
    </row>
    <row r="283" spans="1:10" ht="38.25" hidden="1" outlineLevel="1" x14ac:dyDescent="0.2">
      <c r="A283" s="11"/>
      <c r="B283" s="13"/>
      <c r="C283" s="13"/>
      <c r="D283" s="13" t="s">
        <v>95</v>
      </c>
      <c r="E283" s="13" t="s">
        <v>59</v>
      </c>
      <c r="F283" s="13" t="s">
        <v>133</v>
      </c>
      <c r="G283" s="13" t="s">
        <v>134</v>
      </c>
      <c r="H283" s="13" t="s">
        <v>301</v>
      </c>
    </row>
    <row r="284" spans="1:10" hidden="1" outlineLevel="1" x14ac:dyDescent="0.2">
      <c r="A284" s="11"/>
      <c r="B284" s="16" t="s">
        <v>242</v>
      </c>
      <c r="C284" s="16" t="s">
        <v>23</v>
      </c>
      <c r="D284" s="83">
        <f>D47</f>
        <v>130.73973632163379</v>
      </c>
      <c r="E284" s="83">
        <f>E47</f>
        <v>302.20369726515372</v>
      </c>
      <c r="F284" s="83">
        <f>F47</f>
        <v>220.72167744650864</v>
      </c>
      <c r="G284" s="83">
        <f>G47</f>
        <v>146.90429626215521</v>
      </c>
      <c r="H284" s="83">
        <f>H47</f>
        <v>166.68751266043071</v>
      </c>
    </row>
    <row r="285" spans="1:10" hidden="1" outlineLevel="1" x14ac:dyDescent="0.2">
      <c r="A285" s="11"/>
      <c r="B285" s="216" t="s">
        <v>288</v>
      </c>
      <c r="C285" s="216" t="s">
        <v>23</v>
      </c>
      <c r="D285" s="217">
        <f>D49</f>
        <v>119</v>
      </c>
      <c r="E285" s="217">
        <f>E49</f>
        <v>132</v>
      </c>
      <c r="F285" s="217">
        <f>F49</f>
        <v>182.76000000000002</v>
      </c>
      <c r="G285" s="217">
        <f>G49</f>
        <v>119</v>
      </c>
      <c r="H285" s="217">
        <f>H49</f>
        <v>119</v>
      </c>
    </row>
    <row r="286" spans="1:10" hidden="1" outlineLevel="1" x14ac:dyDescent="0.2">
      <c r="A286" s="11"/>
      <c r="B286" s="55" t="s">
        <v>328</v>
      </c>
      <c r="C286" s="218" t="s">
        <v>23</v>
      </c>
      <c r="D286" s="219">
        <f>D285-D284</f>
        <v>-11.739736321633785</v>
      </c>
      <c r="E286" s="219">
        <f t="shared" ref="E286:H286" si="108">E285-E284</f>
        <v>-170.20369726515372</v>
      </c>
      <c r="F286" s="219">
        <f t="shared" si="108"/>
        <v>-37.961677446508617</v>
      </c>
      <c r="G286" s="219">
        <f t="shared" si="108"/>
        <v>-27.904296262155214</v>
      </c>
      <c r="H286" s="219">
        <f t="shared" si="108"/>
        <v>-47.687512660430713</v>
      </c>
    </row>
    <row r="287" spans="1:10" hidden="1" outlineLevel="1" x14ac:dyDescent="0.2">
      <c r="A287" s="11"/>
      <c r="B287" s="59"/>
      <c r="C287" s="228"/>
      <c r="D287" s="229"/>
      <c r="E287" s="229"/>
      <c r="F287" s="229"/>
      <c r="G287" s="229"/>
      <c r="H287" s="229"/>
    </row>
    <row r="288" spans="1:10" hidden="1" outlineLevel="1" x14ac:dyDescent="0.2">
      <c r="A288" s="11"/>
    </row>
    <row r="289" spans="1:12" hidden="1" outlineLevel="1" x14ac:dyDescent="0.2">
      <c r="A289" s="11"/>
      <c r="B289" s="197" t="s">
        <v>331</v>
      </c>
    </row>
    <row r="290" spans="1:12" ht="38.25" hidden="1" outlineLevel="1" x14ac:dyDescent="0.2">
      <c r="A290" s="11"/>
      <c r="B290" s="225" t="s">
        <v>333</v>
      </c>
      <c r="C290" s="13"/>
      <c r="D290" s="13" t="s">
        <v>95</v>
      </c>
      <c r="E290" s="13" t="s">
        <v>59</v>
      </c>
      <c r="F290" s="13" t="s">
        <v>133</v>
      </c>
      <c r="G290" s="13" t="s">
        <v>134</v>
      </c>
      <c r="H290" s="13" t="s">
        <v>301</v>
      </c>
      <c r="I290" s="13" t="s">
        <v>302</v>
      </c>
    </row>
    <row r="291" spans="1:12" hidden="1" outlineLevel="1" x14ac:dyDescent="0.2">
      <c r="A291" s="11"/>
      <c r="B291" s="29" t="s">
        <v>339</v>
      </c>
      <c r="D291" s="85">
        <f t="shared" ref="D291:I291" si="109">D221*D34</f>
        <v>1745.652715252714</v>
      </c>
      <c r="E291" s="85">
        <f t="shared" si="109"/>
        <v>1413.0141237875066</v>
      </c>
      <c r="F291" s="85">
        <f t="shared" si="109"/>
        <v>370.17057316583805</v>
      </c>
      <c r="G291" s="85">
        <f t="shared" si="109"/>
        <v>317.0031907666924</v>
      </c>
      <c r="H291" s="85">
        <f t="shared" si="109"/>
        <v>25.079593910251845</v>
      </c>
      <c r="I291" s="85">
        <f t="shared" si="109"/>
        <v>5.4132578356828231</v>
      </c>
    </row>
    <row r="292" spans="1:12" hidden="1" outlineLevel="1" x14ac:dyDescent="0.2">
      <c r="A292" s="11"/>
      <c r="B292" s="29" t="s">
        <v>340</v>
      </c>
      <c r="C292" s="29"/>
      <c r="D292" s="200">
        <f t="shared" ref="D292:I292" si="110">-D235*D34</f>
        <v>-1808.6158710395737</v>
      </c>
      <c r="E292" s="200">
        <f t="shared" si="110"/>
        <v>-838.54008566380207</v>
      </c>
      <c r="F292" s="200">
        <f t="shared" si="110"/>
        <v>-252.54854344698043</v>
      </c>
      <c r="G292" s="200">
        <f t="shared" si="110"/>
        <v>-252.54854344698043</v>
      </c>
      <c r="H292" s="200">
        <f t="shared" si="110"/>
        <v>-21.045711953915035</v>
      </c>
      <c r="I292" s="200">
        <f t="shared" si="110"/>
        <v>-0.87854190077862326</v>
      </c>
    </row>
    <row r="293" spans="1:12" hidden="1" outlineLevel="1" x14ac:dyDescent="0.2">
      <c r="A293" s="11"/>
      <c r="B293" s="55" t="s">
        <v>338</v>
      </c>
      <c r="C293" s="55"/>
      <c r="D293" s="224">
        <f>D291+D292</f>
        <v>-62.963155786859716</v>
      </c>
      <c r="E293" s="224">
        <f t="shared" ref="E293:I293" si="111">E291+E292</f>
        <v>574.47403812370453</v>
      </c>
      <c r="F293" s="224">
        <f t="shared" si="111"/>
        <v>117.62202971885762</v>
      </c>
      <c r="G293" s="224">
        <f t="shared" si="111"/>
        <v>64.454647319711967</v>
      </c>
      <c r="H293" s="224">
        <f t="shared" si="111"/>
        <v>4.0338819563368098</v>
      </c>
      <c r="I293" s="224">
        <f t="shared" si="111"/>
        <v>4.5347159349041997</v>
      </c>
    </row>
    <row r="294" spans="1:12" hidden="1" outlineLevel="1" x14ac:dyDescent="0.2">
      <c r="A294" s="11"/>
      <c r="B294" s="55"/>
      <c r="C294" s="55"/>
      <c r="D294" s="224"/>
      <c r="E294" s="224"/>
      <c r="F294" s="224"/>
      <c r="G294" s="224"/>
      <c r="H294" s="224"/>
      <c r="I294" s="224"/>
    </row>
    <row r="295" spans="1:12" hidden="1" outlineLevel="1" x14ac:dyDescent="0.2">
      <c r="A295" s="11"/>
      <c r="B295" s="29" t="s">
        <v>337</v>
      </c>
      <c r="C295" s="29"/>
      <c r="D295" s="200">
        <f t="shared" ref="D295:I295" si="112">D260*D36*1000</f>
        <v>4259.8018135752554</v>
      </c>
      <c r="E295" s="200">
        <f t="shared" si="112"/>
        <v>1263.9993745008767</v>
      </c>
      <c r="F295" s="200">
        <f t="shared" si="112"/>
        <v>213.42444439696411</v>
      </c>
      <c r="G295" s="200">
        <f t="shared" si="112"/>
        <v>142.28296293130941</v>
      </c>
      <c r="H295" s="200">
        <f t="shared" si="112"/>
        <v>26.678055549620513</v>
      </c>
      <c r="I295" s="200">
        <f t="shared" si="112"/>
        <v>320.95128173601631</v>
      </c>
    </row>
    <row r="296" spans="1:12" hidden="1" outlineLevel="1" x14ac:dyDescent="0.2">
      <c r="A296" s="11"/>
    </row>
    <row r="297" spans="1:12" hidden="1" outlineLevel="1" x14ac:dyDescent="0.2">
      <c r="A297" s="11"/>
    </row>
    <row r="298" spans="1:12" hidden="1" outlineLevel="1" x14ac:dyDescent="0.2">
      <c r="A298" s="11"/>
      <c r="B298" s="197" t="s">
        <v>342</v>
      </c>
    </row>
    <row r="299" spans="1:12" ht="38.25" hidden="1" outlineLevel="1" x14ac:dyDescent="0.2">
      <c r="A299" s="11"/>
      <c r="B299" s="13"/>
      <c r="C299" s="13"/>
      <c r="D299" s="13" t="s">
        <v>95</v>
      </c>
      <c r="E299" s="13" t="s">
        <v>59</v>
      </c>
      <c r="F299" s="13" t="s">
        <v>133</v>
      </c>
      <c r="G299" s="13" t="s">
        <v>134</v>
      </c>
      <c r="H299" s="13" t="s">
        <v>301</v>
      </c>
      <c r="I299" s="13" t="s">
        <v>302</v>
      </c>
    </row>
    <row r="300" spans="1:12" hidden="1" outlineLevel="1" x14ac:dyDescent="0.2">
      <c r="A300" s="11"/>
      <c r="B300" s="232" t="s">
        <v>343</v>
      </c>
      <c r="D300" s="83">
        <f>$K$300*D276</f>
        <v>-2.1355607547079436</v>
      </c>
      <c r="E300" s="83">
        <f t="shared" ref="E300:I300" si="113">$K$300*E276</f>
        <v>-4.280212109402135</v>
      </c>
      <c r="F300" s="83">
        <f t="shared" si="113"/>
        <v>1.1364388612020309</v>
      </c>
      <c r="G300" s="83">
        <f t="shared" si="113"/>
        <v>-4.5834075435252475E-2</v>
      </c>
      <c r="H300" s="83">
        <f t="shared" si="113"/>
        <v>-7.5845030056477719E-2</v>
      </c>
      <c r="I300" s="83">
        <f t="shared" si="113"/>
        <v>0.23716118255839103</v>
      </c>
      <c r="K300" s="230">
        <v>0.13</v>
      </c>
      <c r="L300" s="7" t="s">
        <v>344</v>
      </c>
    </row>
    <row r="301" spans="1:12" hidden="1" outlineLevel="1" x14ac:dyDescent="0.2">
      <c r="A301" s="11"/>
      <c r="B301" s="29" t="s">
        <v>345</v>
      </c>
      <c r="C301" s="29"/>
      <c r="D301" s="83">
        <f>(D293*2000*0.18*12+D293*2000*0.338*12)/1000000</f>
        <v>-0.78275795274223992</v>
      </c>
      <c r="E301" s="83">
        <f t="shared" ref="E301:I301" si="114">(E293*2000*0.18*12+E293*2000*0.338*12)/1000000</f>
        <v>7.1418612419538947</v>
      </c>
      <c r="F301" s="83">
        <f t="shared" si="114"/>
        <v>1.462277073464838</v>
      </c>
      <c r="G301" s="83">
        <f t="shared" si="114"/>
        <v>0.80130017547865906</v>
      </c>
      <c r="H301" s="83">
        <f t="shared" si="114"/>
        <v>5.0149220481179216E-2</v>
      </c>
      <c r="I301" s="83">
        <f t="shared" si="114"/>
        <v>5.6375588502729009E-2</v>
      </c>
    </row>
    <row r="302" spans="1:12" hidden="1" outlineLevel="1" x14ac:dyDescent="0.2">
      <c r="A302" s="11"/>
      <c r="B302" s="29" t="s">
        <v>346</v>
      </c>
      <c r="C302" s="29"/>
      <c r="D302" s="83">
        <f t="shared" ref="D302:I302" si="115">-D34*$K$302/1000</f>
        <v>-6.2039999999999997</v>
      </c>
      <c r="E302" s="83">
        <f t="shared" si="115"/>
        <v>-2.8763999999999998</v>
      </c>
      <c r="F302" s="83">
        <f t="shared" si="115"/>
        <v>-1.0828799999999998</v>
      </c>
      <c r="G302" s="83">
        <f t="shared" si="115"/>
        <v>-1.0828799999999998</v>
      </c>
      <c r="H302" s="83">
        <f t="shared" si="115"/>
        <v>-9.0240000000000001E-2</v>
      </c>
      <c r="I302" s="83">
        <f t="shared" si="115"/>
        <v>-9.4E-2</v>
      </c>
      <c r="K302" s="233">
        <v>4.7</v>
      </c>
      <c r="L302" s="7" t="s">
        <v>347</v>
      </c>
    </row>
    <row r="303" spans="1:12" hidden="1" outlineLevel="1" x14ac:dyDescent="0.2">
      <c r="A303" s="11"/>
      <c r="B303" s="29" t="s">
        <v>348</v>
      </c>
      <c r="C303" s="29"/>
      <c r="D303" s="83">
        <f t="shared" ref="D303:I303" si="116">$K$303*D35/1000</f>
        <v>0.20842105263157898</v>
      </c>
      <c r="E303" s="83">
        <f t="shared" si="116"/>
        <v>0.69399999999999995</v>
      </c>
      <c r="F303" s="83">
        <f t="shared" si="116"/>
        <v>2.0329411764705884E-2</v>
      </c>
      <c r="G303" s="83">
        <f t="shared" si="116"/>
        <v>2.0329411764705884E-2</v>
      </c>
      <c r="H303" s="83">
        <f t="shared" si="116"/>
        <v>2.3999999999999998E-3</v>
      </c>
      <c r="I303" s="83">
        <f t="shared" si="116"/>
        <v>2.0408163265306145E-4</v>
      </c>
      <c r="K303" s="233">
        <v>0.5</v>
      </c>
      <c r="L303" s="7" t="s">
        <v>349</v>
      </c>
    </row>
    <row r="304" spans="1:12" hidden="1" outlineLevel="1" x14ac:dyDescent="0.2">
      <c r="A304" s="11"/>
      <c r="B304" s="55" t="s">
        <v>350</v>
      </c>
      <c r="C304" s="55"/>
      <c r="D304" s="219">
        <f>SUM(D300:D303)</f>
        <v>-8.9138976548186051</v>
      </c>
      <c r="E304" s="219">
        <f t="shared" ref="E304:I304" si="117">SUM(E300:E303)</f>
        <v>0.67924913255175978</v>
      </c>
      <c r="F304" s="219">
        <f t="shared" si="117"/>
        <v>1.5361653464315748</v>
      </c>
      <c r="G304" s="219">
        <f t="shared" si="117"/>
        <v>-0.30708448819188733</v>
      </c>
      <c r="H304" s="219">
        <f t="shared" si="117"/>
        <v>-0.1135358095752985</v>
      </c>
      <c r="I304" s="219">
        <f t="shared" si="117"/>
        <v>0.19974085269377309</v>
      </c>
    </row>
    <row r="305" spans="1:39" hidden="1" outlineLevel="1" x14ac:dyDescent="0.2">
      <c r="A305" s="11"/>
      <c r="B305" s="29" t="s">
        <v>351</v>
      </c>
      <c r="C305" s="29"/>
      <c r="D305" s="83">
        <f>(D295*$C$332*0.18*12+D295*$C$332*0.338*12)/1000000</f>
        <v>41.018279205810337</v>
      </c>
      <c r="E305" s="83">
        <f>(E295*$C$332*0.18*12+E295*$C$332*0.338*12)/1000000</f>
        <v>12.17124212070591</v>
      </c>
      <c r="F305" s="83">
        <f t="shared" ref="F305:I305" si="118">(F295*$C$332*0.18*12+F295*$C$332*0.338*12)/1000000</f>
        <v>2.0550964182702485</v>
      </c>
      <c r="G305" s="83">
        <f t="shared" si="118"/>
        <v>1.3700642788468325</v>
      </c>
      <c r="H305" s="83">
        <f t="shared" si="118"/>
        <v>0.25688705228378106</v>
      </c>
      <c r="I305" s="83">
        <f t="shared" si="118"/>
        <v>3.0904886804255627</v>
      </c>
    </row>
    <row r="306" spans="1:39" hidden="1" outlineLevel="1" x14ac:dyDescent="0.2">
      <c r="A306" s="11"/>
    </row>
    <row r="307" spans="1:39" hidden="1" outlineLevel="1" x14ac:dyDescent="0.2">
      <c r="A307" s="11"/>
    </row>
    <row r="308" spans="1:39" collapsed="1" x14ac:dyDescent="0.2">
      <c r="A308" s="11"/>
    </row>
    <row r="309" spans="1:39" x14ac:dyDescent="0.2">
      <c r="A309" s="8" t="s">
        <v>132</v>
      </c>
      <c r="B309" s="9" t="s">
        <v>127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39" hidden="1" outlineLevel="1" x14ac:dyDescent="0.2">
      <c r="A310" s="11"/>
    </row>
    <row r="311" spans="1:39" hidden="1" outlineLevel="1" collapsed="1" x14ac:dyDescent="0.2">
      <c r="A311" s="11"/>
      <c r="B311" s="157"/>
      <c r="C311" s="158" t="s">
        <v>21</v>
      </c>
      <c r="D311" s="159">
        <v>2015</v>
      </c>
      <c r="E311" s="159">
        <v>2016</v>
      </c>
      <c r="F311" s="159">
        <v>2017</v>
      </c>
      <c r="G311" s="159">
        <v>2018</v>
      </c>
      <c r="H311" s="159">
        <v>2019</v>
      </c>
      <c r="I311" s="159">
        <v>2020</v>
      </c>
      <c r="J311" s="159">
        <v>2021</v>
      </c>
      <c r="K311" s="159">
        <v>2016</v>
      </c>
      <c r="L311" s="159">
        <v>2023</v>
      </c>
      <c r="M311" s="159">
        <v>2024</v>
      </c>
      <c r="N311" s="159">
        <v>2025</v>
      </c>
      <c r="O311" s="159">
        <v>2026</v>
      </c>
      <c r="P311" s="159">
        <v>2027</v>
      </c>
      <c r="Q311" s="159">
        <v>2028</v>
      </c>
      <c r="R311" s="159">
        <v>2029</v>
      </c>
      <c r="S311" s="159">
        <v>2030</v>
      </c>
      <c r="T311" s="159">
        <v>2031</v>
      </c>
      <c r="U311" s="159">
        <v>2032</v>
      </c>
      <c r="V311" s="159">
        <v>2033</v>
      </c>
      <c r="W311" s="159">
        <v>2034</v>
      </c>
      <c r="X311" s="159">
        <v>2035</v>
      </c>
      <c r="Y311" s="159">
        <v>2036</v>
      </c>
      <c r="Z311" s="159">
        <v>2037</v>
      </c>
      <c r="AA311" s="159">
        <v>2038</v>
      </c>
      <c r="AB311" s="159">
        <v>2039</v>
      </c>
      <c r="AC311" s="159">
        <v>2040</v>
      </c>
      <c r="AD311" s="159">
        <v>2041</v>
      </c>
      <c r="AE311" s="159">
        <v>2042</v>
      </c>
      <c r="AF311" s="159">
        <v>2043</v>
      </c>
      <c r="AG311" s="159">
        <v>2044</v>
      </c>
      <c r="AH311" s="159">
        <v>2045</v>
      </c>
      <c r="AI311" s="159">
        <v>2046</v>
      </c>
      <c r="AJ311" s="159">
        <v>2047</v>
      </c>
      <c r="AK311" s="159">
        <v>2048</v>
      </c>
      <c r="AL311" s="159">
        <v>2049</v>
      </c>
      <c r="AM311" s="159">
        <v>2050</v>
      </c>
    </row>
    <row r="312" spans="1:39" hidden="1" outlineLevel="1" x14ac:dyDescent="0.2">
      <c r="A312" s="11"/>
      <c r="B312" s="160" t="s">
        <v>309</v>
      </c>
      <c r="C312" s="161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</row>
    <row r="313" spans="1:39" ht="5.25" hidden="1" customHeight="1" outlineLevel="1" x14ac:dyDescent="0.2">
      <c r="A313" s="11"/>
      <c r="D313" s="163"/>
      <c r="E313" s="163"/>
      <c r="K313" s="163"/>
    </row>
    <row r="314" spans="1:39" hidden="1" outlineLevel="1" x14ac:dyDescent="0.2">
      <c r="A314" s="11"/>
      <c r="B314" s="12" t="s">
        <v>310</v>
      </c>
      <c r="C314" s="7" t="s">
        <v>23</v>
      </c>
      <c r="D314" s="164">
        <v>31.1</v>
      </c>
      <c r="E314" s="164">
        <v>33.06</v>
      </c>
      <c r="F314" s="164">
        <v>33.22</v>
      </c>
      <c r="G314" s="164">
        <v>47.07</v>
      </c>
      <c r="H314" s="164">
        <v>45.86</v>
      </c>
      <c r="I314" s="164">
        <v>33.69</v>
      </c>
      <c r="J314" s="164">
        <v>86.73</v>
      </c>
      <c r="K314" s="164">
        <v>33.06</v>
      </c>
      <c r="L314" s="165">
        <f>K314*(1+L315)</f>
        <v>19.836000000000002</v>
      </c>
      <c r="M314" s="165">
        <f>L314*(1+M315)</f>
        <v>20.232720000000004</v>
      </c>
      <c r="N314" s="165">
        <f t="shared" ref="N314:AH314" si="119">M314*(1+N315)</f>
        <v>20.637374400000006</v>
      </c>
      <c r="O314" s="165">
        <f t="shared" si="119"/>
        <v>21.050121888000007</v>
      </c>
      <c r="P314" s="165">
        <f t="shared" si="119"/>
        <v>21.471124325760009</v>
      </c>
      <c r="Q314" s="165">
        <f t="shared" si="119"/>
        <v>21.900546812275209</v>
      </c>
      <c r="R314" s="165">
        <f t="shared" si="119"/>
        <v>22.338557748520714</v>
      </c>
      <c r="S314" s="165">
        <f t="shared" si="119"/>
        <v>22.785328903491127</v>
      </c>
      <c r="T314" s="165">
        <f t="shared" si="119"/>
        <v>23.241035481560949</v>
      </c>
      <c r="U314" s="165">
        <f t="shared" si="119"/>
        <v>23.705856191192169</v>
      </c>
      <c r="V314" s="165">
        <f t="shared" si="119"/>
        <v>24.179973315016014</v>
      </c>
      <c r="W314" s="165">
        <f t="shared" si="119"/>
        <v>24.663572781316333</v>
      </c>
      <c r="X314" s="165">
        <f t="shared" si="119"/>
        <v>25.156844236942661</v>
      </c>
      <c r="Y314" s="165">
        <f t="shared" si="119"/>
        <v>25.659981121681515</v>
      </c>
      <c r="Z314" s="165">
        <f t="shared" si="119"/>
        <v>26.173180744115147</v>
      </c>
      <c r="AA314" s="165">
        <f t="shared" si="119"/>
        <v>26.69664435899745</v>
      </c>
      <c r="AB314" s="165">
        <f t="shared" si="119"/>
        <v>27.2305772461774</v>
      </c>
      <c r="AC314" s="165">
        <f t="shared" si="119"/>
        <v>27.775188791100948</v>
      </c>
      <c r="AD314" s="165">
        <f t="shared" si="119"/>
        <v>28.330692566922966</v>
      </c>
      <c r="AE314" s="165">
        <f t="shared" si="119"/>
        <v>28.897306418261426</v>
      </c>
      <c r="AF314" s="165">
        <f t="shared" si="119"/>
        <v>29.475252546626656</v>
      </c>
      <c r="AG314" s="165">
        <f t="shared" si="119"/>
        <v>30.06475759755919</v>
      </c>
      <c r="AH314" s="165">
        <f t="shared" si="119"/>
        <v>30.666052749510374</v>
      </c>
      <c r="AI314" s="165">
        <f>AH314*(1+AI315)</f>
        <v>31.279373804500583</v>
      </c>
      <c r="AJ314" s="165">
        <f t="shared" ref="AJ314:AL314" si="120">AI314*(1+AJ315)</f>
        <v>31.904961280590594</v>
      </c>
      <c r="AK314" s="165">
        <f t="shared" si="120"/>
        <v>32.543060506202409</v>
      </c>
      <c r="AL314" s="165">
        <f t="shared" si="120"/>
        <v>33.193921716326457</v>
      </c>
      <c r="AM314" s="165">
        <f>AL314*(1+AM315)</f>
        <v>33.857800150652984</v>
      </c>
    </row>
    <row r="315" spans="1:39" hidden="1" outlineLevel="1" x14ac:dyDescent="0.2">
      <c r="A315" s="11"/>
      <c r="B315" s="166" t="s">
        <v>320</v>
      </c>
      <c r="E315" s="167">
        <f>E314/D314-1</f>
        <v>6.3022508038585334E-2</v>
      </c>
      <c r="F315" s="167">
        <f>F314/E314-1</f>
        <v>4.8396854204475481E-3</v>
      </c>
      <c r="G315" s="167">
        <f>G314/F314-1</f>
        <v>0.41691751956652623</v>
      </c>
      <c r="H315" s="167">
        <f>H314/G314-1</f>
        <v>-2.5706394731251359E-2</v>
      </c>
      <c r="I315" s="167">
        <f>I314/H314-1</f>
        <v>-0.26537287396423903</v>
      </c>
      <c r="J315" s="167">
        <f t="shared" ref="J315:K315" si="121">J314/I314-1</f>
        <v>1.5743544078361533</v>
      </c>
      <c r="K315" s="167">
        <f t="shared" si="121"/>
        <v>-0.61881701833275682</v>
      </c>
      <c r="L315" s="168">
        <v>-0.4</v>
      </c>
      <c r="M315" s="169">
        <v>0.02</v>
      </c>
      <c r="N315" s="169">
        <v>0.02</v>
      </c>
      <c r="O315" s="169">
        <v>0.02</v>
      </c>
      <c r="P315" s="169">
        <v>0.02</v>
      </c>
      <c r="Q315" s="169">
        <v>0.02</v>
      </c>
      <c r="R315" s="169">
        <v>0.02</v>
      </c>
      <c r="S315" s="169">
        <v>0.02</v>
      </c>
      <c r="T315" s="169">
        <v>0.02</v>
      </c>
      <c r="U315" s="169">
        <v>0.02</v>
      </c>
      <c r="V315" s="169">
        <v>0.02</v>
      </c>
      <c r="W315" s="169">
        <v>0.02</v>
      </c>
      <c r="X315" s="169">
        <v>0.02</v>
      </c>
      <c r="Y315" s="169">
        <v>0.02</v>
      </c>
      <c r="Z315" s="169">
        <v>0.02</v>
      </c>
      <c r="AA315" s="169">
        <v>0.02</v>
      </c>
      <c r="AB315" s="169">
        <v>0.02</v>
      </c>
      <c r="AC315" s="169">
        <v>0.02</v>
      </c>
      <c r="AD315" s="169">
        <v>0.02</v>
      </c>
      <c r="AE315" s="169">
        <v>0.02</v>
      </c>
      <c r="AF315" s="169">
        <v>0.02</v>
      </c>
      <c r="AG315" s="169">
        <v>0.02</v>
      </c>
      <c r="AH315" s="169">
        <v>0.02</v>
      </c>
      <c r="AI315" s="169">
        <v>0.02</v>
      </c>
      <c r="AJ315" s="169">
        <v>0.02</v>
      </c>
      <c r="AK315" s="169">
        <v>0.02</v>
      </c>
      <c r="AL315" s="169">
        <v>0.02</v>
      </c>
      <c r="AM315" s="169">
        <v>0.02</v>
      </c>
    </row>
    <row r="316" spans="1:39" hidden="1" outlineLevel="1" x14ac:dyDescent="0.2">
      <c r="A316" s="11"/>
      <c r="B316" s="12" t="s">
        <v>311</v>
      </c>
    </row>
    <row r="317" spans="1:39" hidden="1" outlineLevel="1" x14ac:dyDescent="0.2">
      <c r="A317" s="11"/>
      <c r="B317" s="170" t="s">
        <v>318</v>
      </c>
      <c r="C317" s="7" t="s">
        <v>23</v>
      </c>
      <c r="H317" s="171">
        <v>4.47</v>
      </c>
      <c r="I317" s="171">
        <f>(8/12)*J317+(4/12)*4.47</f>
        <v>2.1566666666666663</v>
      </c>
      <c r="J317" s="171">
        <v>1</v>
      </c>
      <c r="K317" s="171">
        <v>4.47</v>
      </c>
      <c r="L317" s="163">
        <f t="shared" ref="L317:AG317" si="122">K317*(1+L319)</f>
        <v>4.5594000000000001</v>
      </c>
      <c r="M317" s="163">
        <f t="shared" si="122"/>
        <v>4.6505879999999999</v>
      </c>
      <c r="N317" s="163">
        <f t="shared" si="122"/>
        <v>4.7435997600000004</v>
      </c>
      <c r="O317" s="163">
        <f t="shared" si="122"/>
        <v>4.8384717552000005</v>
      </c>
      <c r="P317" s="163">
        <f t="shared" si="122"/>
        <v>4.9352411903040005</v>
      </c>
      <c r="Q317" s="163">
        <f t="shared" si="122"/>
        <v>5.0339460141100805</v>
      </c>
      <c r="R317" s="163">
        <f t="shared" si="122"/>
        <v>5.1346249343922823</v>
      </c>
      <c r="S317" s="163">
        <f t="shared" si="122"/>
        <v>5.2373174330801282</v>
      </c>
      <c r="T317" s="163">
        <f t="shared" si="122"/>
        <v>5.3420637817417305</v>
      </c>
      <c r="U317" s="163">
        <f t="shared" si="122"/>
        <v>5.4489050573765656</v>
      </c>
      <c r="V317" s="163">
        <f t="shared" si="122"/>
        <v>5.5578831585240973</v>
      </c>
      <c r="W317" s="163">
        <f t="shared" si="122"/>
        <v>5.6690408216945798</v>
      </c>
      <c r="X317" s="163">
        <f t="shared" si="122"/>
        <v>5.7824216381284712</v>
      </c>
      <c r="Y317" s="163">
        <f t="shared" si="122"/>
        <v>5.8980700708910403</v>
      </c>
      <c r="Z317" s="163">
        <f t="shared" si="122"/>
        <v>6.0160314723088613</v>
      </c>
      <c r="AA317" s="163">
        <f t="shared" si="122"/>
        <v>6.1363521017550386</v>
      </c>
      <c r="AB317" s="163">
        <f t="shared" si="122"/>
        <v>6.2590791437901396</v>
      </c>
      <c r="AC317" s="163">
        <f t="shared" si="122"/>
        <v>6.3842607266659428</v>
      </c>
      <c r="AD317" s="163">
        <f t="shared" si="122"/>
        <v>6.5119459411992615</v>
      </c>
      <c r="AE317" s="163">
        <f t="shared" si="122"/>
        <v>6.6421848600232467</v>
      </c>
      <c r="AF317" s="163">
        <f t="shared" si="122"/>
        <v>6.7750285572237114</v>
      </c>
      <c r="AG317" s="163">
        <f t="shared" si="122"/>
        <v>6.9105291283681858</v>
      </c>
      <c r="AH317" s="163">
        <f>AG317*(1+AH319)</f>
        <v>7.0487397109355499</v>
      </c>
      <c r="AI317" s="163">
        <f t="shared" ref="AI317:AK317" si="123">AH317*(1+AI319)</f>
        <v>7.189714505154261</v>
      </c>
      <c r="AJ317" s="163">
        <f t="shared" si="123"/>
        <v>7.3335087952573463</v>
      </c>
      <c r="AK317" s="163">
        <f t="shared" si="123"/>
        <v>7.4801789711624931</v>
      </c>
      <c r="AL317" s="163">
        <f>AK317*(1+AL319)</f>
        <v>7.6297825505857428</v>
      </c>
      <c r="AM317" s="7" t="s">
        <v>24</v>
      </c>
    </row>
    <row r="318" spans="1:39" hidden="1" outlineLevel="1" x14ac:dyDescent="0.2">
      <c r="A318" s="11"/>
      <c r="B318" s="170" t="s">
        <v>319</v>
      </c>
      <c r="C318" s="7" t="s">
        <v>23</v>
      </c>
      <c r="I318" s="171">
        <v>0.5</v>
      </c>
      <c r="J318" s="163">
        <f>I318*(1+J319)</f>
        <v>0.5</v>
      </c>
      <c r="K318" s="163">
        <f>J318*(1+K319)</f>
        <v>0.5</v>
      </c>
      <c r="L318" s="163">
        <f t="shared" ref="L318:Y320" si="124">K318*(1+L319)</f>
        <v>0.51</v>
      </c>
      <c r="M318" s="163">
        <f t="shared" si="124"/>
        <v>0.5202</v>
      </c>
      <c r="N318" s="163">
        <f t="shared" si="124"/>
        <v>0.53060399999999996</v>
      </c>
      <c r="O318" s="163">
        <f t="shared" si="124"/>
        <v>0.54121607999999999</v>
      </c>
      <c r="P318" s="163">
        <f t="shared" si="124"/>
        <v>0.55204040160000001</v>
      </c>
      <c r="Q318" s="163">
        <f t="shared" si="124"/>
        <v>0.56308120963200003</v>
      </c>
      <c r="R318" s="163">
        <f t="shared" si="124"/>
        <v>0.57434283382464002</v>
      </c>
      <c r="S318" s="163">
        <f t="shared" si="124"/>
        <v>0.58582969050113287</v>
      </c>
      <c r="T318" s="163">
        <f t="shared" si="124"/>
        <v>0.59754628431115553</v>
      </c>
      <c r="U318" s="163">
        <f t="shared" si="124"/>
        <v>0.60949720999737866</v>
      </c>
      <c r="V318" s="163">
        <f t="shared" si="124"/>
        <v>0.62168715419732623</v>
      </c>
      <c r="W318" s="163">
        <f t="shared" si="124"/>
        <v>0.63412089728127274</v>
      </c>
      <c r="X318" s="163">
        <f t="shared" si="124"/>
        <v>0.64680331522689816</v>
      </c>
      <c r="Y318" s="163">
        <f t="shared" si="124"/>
        <v>0.65973938153143619</v>
      </c>
      <c r="Z318" s="163">
        <f t="shared" ref="Z318:AG318" si="125">Y318*(1+Z319)</f>
        <v>0.67293416916206494</v>
      </c>
      <c r="AA318" s="163">
        <f t="shared" si="125"/>
        <v>0.68639285254530624</v>
      </c>
      <c r="AB318" s="163">
        <f t="shared" si="125"/>
        <v>0.70012070959621242</v>
      </c>
      <c r="AC318" s="163">
        <f t="shared" si="125"/>
        <v>0.71412312378813669</v>
      </c>
      <c r="AD318" s="163">
        <f t="shared" si="125"/>
        <v>0.7284055862638994</v>
      </c>
      <c r="AE318" s="163">
        <f t="shared" si="125"/>
        <v>0.74297369798917745</v>
      </c>
      <c r="AF318" s="163">
        <f t="shared" si="125"/>
        <v>0.75783317194896105</v>
      </c>
      <c r="AG318" s="163">
        <f t="shared" si="125"/>
        <v>0.77298983538794031</v>
      </c>
      <c r="AH318" s="163">
        <f>AG318*(1+AH319)</f>
        <v>0.78844963209569907</v>
      </c>
      <c r="AI318" s="163">
        <f t="shared" ref="AI318:AK318" si="126">AH318*(1+AI319)</f>
        <v>0.80421862473761307</v>
      </c>
      <c r="AJ318" s="163">
        <f t="shared" si="126"/>
        <v>0.82030299723236533</v>
      </c>
      <c r="AK318" s="163">
        <f t="shared" si="126"/>
        <v>0.83670905717701261</v>
      </c>
      <c r="AL318" s="163">
        <f>AK318*(1+AL319)</f>
        <v>0.85344323832055291</v>
      </c>
    </row>
    <row r="319" spans="1:39" hidden="1" outlineLevel="1" x14ac:dyDescent="0.2">
      <c r="A319" s="11"/>
      <c r="B319" s="172" t="s">
        <v>320</v>
      </c>
      <c r="L319" s="169">
        <v>0.02</v>
      </c>
      <c r="M319" s="169">
        <v>0.02</v>
      </c>
      <c r="N319" s="169">
        <v>0.02</v>
      </c>
      <c r="O319" s="169">
        <v>0.02</v>
      </c>
      <c r="P319" s="169">
        <v>0.02</v>
      </c>
      <c r="Q319" s="169">
        <v>0.02</v>
      </c>
      <c r="R319" s="169">
        <v>0.02</v>
      </c>
      <c r="S319" s="169">
        <v>0.02</v>
      </c>
      <c r="T319" s="169">
        <v>0.02</v>
      </c>
      <c r="U319" s="169">
        <v>0.02</v>
      </c>
      <c r="V319" s="169">
        <v>0.02</v>
      </c>
      <c r="W319" s="169">
        <v>0.02</v>
      </c>
      <c r="X319" s="169">
        <v>0.02</v>
      </c>
      <c r="Y319" s="169">
        <v>0.02</v>
      </c>
      <c r="Z319" s="169">
        <v>0.02</v>
      </c>
      <c r="AA319" s="169">
        <v>0.02</v>
      </c>
      <c r="AB319" s="169">
        <v>0.02</v>
      </c>
      <c r="AC319" s="169">
        <v>0.02</v>
      </c>
      <c r="AD319" s="169">
        <v>0.02</v>
      </c>
      <c r="AE319" s="169">
        <v>0.02</v>
      </c>
      <c r="AF319" s="169">
        <v>0.02</v>
      </c>
      <c r="AG319" s="169">
        <v>0.02</v>
      </c>
      <c r="AH319" s="169">
        <v>0.02</v>
      </c>
      <c r="AI319" s="169">
        <v>0.02</v>
      </c>
      <c r="AJ319" s="169">
        <v>0.02</v>
      </c>
      <c r="AK319" s="169">
        <v>0.02</v>
      </c>
      <c r="AL319" s="169">
        <v>0.02</v>
      </c>
    </row>
    <row r="320" spans="1:39" hidden="1" outlineLevel="1" x14ac:dyDescent="0.2">
      <c r="A320" s="11"/>
      <c r="B320" s="12" t="s">
        <v>51</v>
      </c>
      <c r="C320" s="7" t="s">
        <v>23</v>
      </c>
      <c r="I320" s="171">
        <v>11.3</v>
      </c>
      <c r="J320" s="171">
        <v>11.3</v>
      </c>
      <c r="K320" s="163">
        <f>J320*(1+K321)</f>
        <v>11.526000000000002</v>
      </c>
      <c r="L320" s="163">
        <f t="shared" si="124"/>
        <v>11.756520000000002</v>
      </c>
      <c r="M320" s="163">
        <f t="shared" si="124"/>
        <v>11.991650400000003</v>
      </c>
      <c r="N320" s="163">
        <f t="shared" si="124"/>
        <v>12.231483408000003</v>
      </c>
      <c r="O320" s="163">
        <f t="shared" si="124"/>
        <v>12.476113076160003</v>
      </c>
      <c r="P320" s="163">
        <f t="shared" si="124"/>
        <v>12.725635337683203</v>
      </c>
      <c r="Q320" s="163">
        <f t="shared" si="124"/>
        <v>12.980148044436866</v>
      </c>
      <c r="R320" s="163">
        <f t="shared" si="124"/>
        <v>13.239751005325603</v>
      </c>
      <c r="S320" s="163">
        <f t="shared" si="124"/>
        <v>13.504546025432115</v>
      </c>
      <c r="T320" s="163">
        <f t="shared" si="124"/>
        <v>13.774636945940758</v>
      </c>
      <c r="U320" s="163">
        <f t="shared" si="124"/>
        <v>14.050129684859574</v>
      </c>
      <c r="V320" s="163">
        <f t="shared" si="124"/>
        <v>14.331132278556765</v>
      </c>
      <c r="W320" s="163">
        <f t="shared" si="124"/>
        <v>14.617754924127901</v>
      </c>
      <c r="X320" s="163">
        <f t="shared" si="124"/>
        <v>14.910110022610459</v>
      </c>
      <c r="Y320" s="163">
        <f t="shared" si="124"/>
        <v>15.208312223062668</v>
      </c>
      <c r="Z320" s="163">
        <f t="shared" ref="Z320:AG320" si="127">Y320*(1+Z321)</f>
        <v>15.512478467523922</v>
      </c>
      <c r="AA320" s="163">
        <f t="shared" si="127"/>
        <v>15.8227280368744</v>
      </c>
      <c r="AB320" s="163">
        <f t="shared" si="127"/>
        <v>16.139182597611889</v>
      </c>
      <c r="AC320" s="163">
        <f t="shared" si="127"/>
        <v>16.461966249564128</v>
      </c>
      <c r="AD320" s="163">
        <f t="shared" si="127"/>
        <v>16.791205574555409</v>
      </c>
      <c r="AE320" s="163">
        <f t="shared" si="127"/>
        <v>17.127029686046519</v>
      </c>
      <c r="AF320" s="163">
        <f t="shared" si="127"/>
        <v>17.469570279767449</v>
      </c>
      <c r="AG320" s="163">
        <f t="shared" si="127"/>
        <v>17.818961685362797</v>
      </c>
      <c r="AH320" s="163">
        <f>AG320*(1+AH321)</f>
        <v>18.175340919070052</v>
      </c>
      <c r="AI320" s="163">
        <f t="shared" ref="AI320:AK320" si="128">AH320*(1+AI321)</f>
        <v>18.538847737451455</v>
      </c>
      <c r="AJ320" s="163">
        <f t="shared" si="128"/>
        <v>18.909624692200484</v>
      </c>
      <c r="AK320" s="163">
        <f t="shared" si="128"/>
        <v>19.287817186044496</v>
      </c>
      <c r="AL320" s="163">
        <f>AK320*(1+AL321)</f>
        <v>19.673573529765385</v>
      </c>
    </row>
    <row r="321" spans="1:39" hidden="1" outlineLevel="1" x14ac:dyDescent="0.2">
      <c r="A321" s="11"/>
      <c r="B321" s="170" t="s">
        <v>320</v>
      </c>
      <c r="K321" s="169">
        <v>0.02</v>
      </c>
      <c r="L321" s="169">
        <v>0.02</v>
      </c>
      <c r="M321" s="169">
        <v>0.02</v>
      </c>
      <c r="N321" s="169">
        <v>0.02</v>
      </c>
      <c r="O321" s="169">
        <v>0.02</v>
      </c>
      <c r="P321" s="169">
        <v>0.02</v>
      </c>
      <c r="Q321" s="169">
        <v>0.02</v>
      </c>
      <c r="R321" s="169">
        <v>0.02</v>
      </c>
      <c r="S321" s="169">
        <v>0.02</v>
      </c>
      <c r="T321" s="169">
        <v>0.02</v>
      </c>
      <c r="U321" s="169">
        <v>0.02</v>
      </c>
      <c r="V321" s="169">
        <v>0.02</v>
      </c>
      <c r="W321" s="169">
        <v>0.02</v>
      </c>
      <c r="X321" s="169">
        <v>0.02</v>
      </c>
      <c r="Y321" s="169">
        <v>0.02</v>
      </c>
      <c r="Z321" s="169">
        <v>0.02</v>
      </c>
      <c r="AA321" s="169">
        <v>0.02</v>
      </c>
      <c r="AB321" s="169">
        <v>0.02</v>
      </c>
      <c r="AC321" s="169">
        <v>0.02</v>
      </c>
      <c r="AD321" s="169">
        <v>0.02</v>
      </c>
      <c r="AE321" s="169">
        <v>0.02</v>
      </c>
      <c r="AF321" s="169">
        <v>0.02</v>
      </c>
      <c r="AG321" s="169">
        <v>0.02</v>
      </c>
      <c r="AH321" s="169">
        <v>0.02</v>
      </c>
      <c r="AI321" s="169">
        <v>0.02</v>
      </c>
      <c r="AJ321" s="169">
        <v>0.02</v>
      </c>
      <c r="AK321" s="169">
        <v>0.02</v>
      </c>
      <c r="AL321" s="169">
        <v>0.02</v>
      </c>
    </row>
    <row r="322" spans="1:39" hidden="1" outlineLevel="1" x14ac:dyDescent="0.2">
      <c r="A322" s="11"/>
      <c r="B322" s="12" t="s">
        <v>321</v>
      </c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</row>
    <row r="323" spans="1:39" hidden="1" outlineLevel="1" x14ac:dyDescent="0.2">
      <c r="A323" s="11"/>
      <c r="B323" s="7" t="s">
        <v>312</v>
      </c>
      <c r="C323" s="7" t="s">
        <v>23</v>
      </c>
      <c r="I323" s="164">
        <v>44</v>
      </c>
      <c r="J323" s="164">
        <v>45</v>
      </c>
      <c r="K323" s="163">
        <f>J323*(1+K326)</f>
        <v>45.9</v>
      </c>
      <c r="L323" s="163">
        <f t="shared" ref="L323:AG323" si="129">K323*(1+L326)</f>
        <v>46.817999999999998</v>
      </c>
      <c r="M323" s="163">
        <f t="shared" si="129"/>
        <v>47.754359999999998</v>
      </c>
      <c r="N323" s="163">
        <f t="shared" si="129"/>
        <v>48.7094472</v>
      </c>
      <c r="O323" s="163">
        <f t="shared" si="129"/>
        <v>49.683636143999998</v>
      </c>
      <c r="P323" s="163">
        <f t="shared" si="129"/>
        <v>50.677308866879997</v>
      </c>
      <c r="Q323" s="163">
        <f t="shared" si="129"/>
        <v>51.690855044217599</v>
      </c>
      <c r="R323" s="163">
        <f t="shared" si="129"/>
        <v>52.724672145101955</v>
      </c>
      <c r="S323" s="163">
        <f t="shared" si="129"/>
        <v>53.779165588003998</v>
      </c>
      <c r="T323" s="163">
        <f t="shared" si="129"/>
        <v>54.854748899764083</v>
      </c>
      <c r="U323" s="163">
        <f t="shared" si="129"/>
        <v>55.951843877759366</v>
      </c>
      <c r="V323" s="163">
        <f t="shared" si="129"/>
        <v>57.070880755314555</v>
      </c>
      <c r="W323" s="163">
        <f t="shared" si="129"/>
        <v>58.212298370420847</v>
      </c>
      <c r="X323" s="163">
        <f t="shared" si="129"/>
        <v>59.376544337829266</v>
      </c>
      <c r="Y323" s="163">
        <f t="shared" si="129"/>
        <v>60.564075224585849</v>
      </c>
      <c r="Z323" s="163">
        <f t="shared" si="129"/>
        <v>61.775356729077565</v>
      </c>
      <c r="AA323" s="163">
        <f t="shared" si="129"/>
        <v>63.010863863659118</v>
      </c>
      <c r="AB323" s="163">
        <f t="shared" si="129"/>
        <v>64.271081140932296</v>
      </c>
      <c r="AC323" s="163">
        <f t="shared" si="129"/>
        <v>65.556502763750942</v>
      </c>
      <c r="AD323" s="163">
        <f t="shared" si="129"/>
        <v>66.867632819025957</v>
      </c>
      <c r="AE323" s="163">
        <f t="shared" si="129"/>
        <v>68.204985475406474</v>
      </c>
      <c r="AF323" s="163">
        <f t="shared" si="129"/>
        <v>69.569085184914599</v>
      </c>
      <c r="AG323" s="163">
        <f t="shared" si="129"/>
        <v>70.960466888612885</v>
      </c>
      <c r="AH323" s="163">
        <f>AG323*(1+AH326)</f>
        <v>72.379676226385143</v>
      </c>
      <c r="AI323" s="163">
        <f t="shared" ref="AI323:AK323" si="130">AH323*(1+AI326)</f>
        <v>73.827269750912848</v>
      </c>
      <c r="AJ323" s="163">
        <f t="shared" si="130"/>
        <v>75.303815145931111</v>
      </c>
      <c r="AK323" s="163">
        <f t="shared" si="130"/>
        <v>76.80989144884974</v>
      </c>
      <c r="AL323" s="163">
        <f>AK323*(1+AL326)</f>
        <v>78.346089277826735</v>
      </c>
    </row>
    <row r="324" spans="1:39" hidden="1" outlineLevel="1" x14ac:dyDescent="0.2">
      <c r="A324" s="11"/>
      <c r="B324" s="7" t="s">
        <v>313</v>
      </c>
      <c r="C324" s="7" t="s">
        <v>23</v>
      </c>
      <c r="I324" s="164">
        <f>(7.02+15.26)/2</f>
        <v>11.14</v>
      </c>
      <c r="J324" s="164">
        <f>(7.02+15.26)/2</f>
        <v>11.14</v>
      </c>
      <c r="K324" s="163">
        <f>J324*(1+K326)</f>
        <v>11.3628</v>
      </c>
      <c r="L324" s="163">
        <f t="shared" ref="L324:AG324" si="131">K324*(1+L326)</f>
        <v>11.590056000000001</v>
      </c>
      <c r="M324" s="163">
        <f t="shared" si="131"/>
        <v>11.821857120000001</v>
      </c>
      <c r="N324" s="163">
        <f t="shared" si="131"/>
        <v>12.0582942624</v>
      </c>
      <c r="O324" s="163">
        <f t="shared" si="131"/>
        <v>12.299460147648</v>
      </c>
      <c r="P324" s="163">
        <f t="shared" si="131"/>
        <v>12.545449350600961</v>
      </c>
      <c r="Q324" s="163">
        <f t="shared" si="131"/>
        <v>12.796358337612981</v>
      </c>
      <c r="R324" s="163">
        <f t="shared" si="131"/>
        <v>13.052285504365241</v>
      </c>
      <c r="S324" s="163">
        <f t="shared" si="131"/>
        <v>13.313331214452546</v>
      </c>
      <c r="T324" s="163">
        <f t="shared" si="131"/>
        <v>13.579597838741597</v>
      </c>
      <c r="U324" s="163">
        <f t="shared" si="131"/>
        <v>13.851189795516429</v>
      </c>
      <c r="V324" s="163">
        <f t="shared" si="131"/>
        <v>14.128213591426759</v>
      </c>
      <c r="W324" s="163">
        <f t="shared" si="131"/>
        <v>14.410777863255294</v>
      </c>
      <c r="X324" s="163">
        <f t="shared" si="131"/>
        <v>14.6989934205204</v>
      </c>
      <c r="Y324" s="163">
        <f t="shared" si="131"/>
        <v>14.992973288930809</v>
      </c>
      <c r="Z324" s="163">
        <f t="shared" si="131"/>
        <v>15.292832754709426</v>
      </c>
      <c r="AA324" s="163">
        <f t="shared" si="131"/>
        <v>15.598689409803615</v>
      </c>
      <c r="AB324" s="163">
        <f t="shared" si="131"/>
        <v>15.910663197999687</v>
      </c>
      <c r="AC324" s="163">
        <f t="shared" si="131"/>
        <v>16.228876461959683</v>
      </c>
      <c r="AD324" s="163">
        <f t="shared" si="131"/>
        <v>16.553453991198875</v>
      </c>
      <c r="AE324" s="163">
        <f t="shared" si="131"/>
        <v>16.884523071022851</v>
      </c>
      <c r="AF324" s="163">
        <f t="shared" si="131"/>
        <v>17.222213532443309</v>
      </c>
      <c r="AG324" s="163">
        <f t="shared" si="131"/>
        <v>17.566657803092177</v>
      </c>
      <c r="AH324" s="163">
        <f>AG324*(1+AH326)</f>
        <v>17.917990959154022</v>
      </c>
      <c r="AI324" s="163">
        <f t="shared" ref="AI324:AK324" si="132">AH324*(1+AI326)</f>
        <v>18.276350778337104</v>
      </c>
      <c r="AJ324" s="163">
        <f t="shared" si="132"/>
        <v>18.641877793903845</v>
      </c>
      <c r="AK324" s="163">
        <f t="shared" si="132"/>
        <v>19.014715349781923</v>
      </c>
      <c r="AL324" s="163">
        <f>AK324*(1+AL326)</f>
        <v>19.39500965677756</v>
      </c>
    </row>
    <row r="325" spans="1:39" hidden="1" outlineLevel="1" x14ac:dyDescent="0.2">
      <c r="A325" s="11"/>
      <c r="B325" s="7" t="s">
        <v>314</v>
      </c>
      <c r="C325" s="7" t="s">
        <v>23</v>
      </c>
      <c r="I325" s="164">
        <v>3.81</v>
      </c>
      <c r="J325" s="164">
        <v>4.8099999999999996</v>
      </c>
      <c r="K325" s="163">
        <f>J325*(1+K326)</f>
        <v>4.9062000000000001</v>
      </c>
      <c r="L325" s="163">
        <f t="shared" ref="L325:AG325" si="133">K325*(1+L326)</f>
        <v>5.0043240000000004</v>
      </c>
      <c r="M325" s="163">
        <f t="shared" si="133"/>
        <v>5.1044104800000003</v>
      </c>
      <c r="N325" s="163">
        <f t="shared" si="133"/>
        <v>5.2064986896000001</v>
      </c>
      <c r="O325" s="163">
        <f t="shared" si="133"/>
        <v>5.3106286633920003</v>
      </c>
      <c r="P325" s="163">
        <f t="shared" si="133"/>
        <v>5.4168412366598409</v>
      </c>
      <c r="Q325" s="163">
        <f t="shared" si="133"/>
        <v>5.5251780613930377</v>
      </c>
      <c r="R325" s="163">
        <f t="shared" si="133"/>
        <v>5.6356816226208988</v>
      </c>
      <c r="S325" s="163">
        <f t="shared" si="133"/>
        <v>5.7483952550733166</v>
      </c>
      <c r="T325" s="163">
        <f t="shared" si="133"/>
        <v>5.8633631601747833</v>
      </c>
      <c r="U325" s="163">
        <f t="shared" si="133"/>
        <v>5.9806304233782788</v>
      </c>
      <c r="V325" s="163">
        <f t="shared" si="133"/>
        <v>6.100243031845844</v>
      </c>
      <c r="W325" s="163">
        <f t="shared" si="133"/>
        <v>6.2222478924827609</v>
      </c>
      <c r="X325" s="163">
        <f t="shared" si="133"/>
        <v>6.346692850332416</v>
      </c>
      <c r="Y325" s="163">
        <f t="shared" si="133"/>
        <v>6.4736267073390641</v>
      </c>
      <c r="Z325" s="163">
        <f t="shared" si="133"/>
        <v>6.6030992414858458</v>
      </c>
      <c r="AA325" s="163">
        <f t="shared" si="133"/>
        <v>6.7351612263155625</v>
      </c>
      <c r="AB325" s="163">
        <f t="shared" si="133"/>
        <v>6.8698644508418738</v>
      </c>
      <c r="AC325" s="163">
        <f t="shared" si="133"/>
        <v>7.0072617398587118</v>
      </c>
      <c r="AD325" s="163">
        <f t="shared" si="133"/>
        <v>7.1474069746558859</v>
      </c>
      <c r="AE325" s="163">
        <f t="shared" si="133"/>
        <v>7.2903551141490039</v>
      </c>
      <c r="AF325" s="163">
        <f t="shared" si="133"/>
        <v>7.4361622164319838</v>
      </c>
      <c r="AG325" s="163">
        <f t="shared" si="133"/>
        <v>7.5848854607606233</v>
      </c>
      <c r="AH325" s="163">
        <f>AG325*(1+AH326)</f>
        <v>7.7365831699758356</v>
      </c>
      <c r="AI325" s="163">
        <f t="shared" ref="AI325:AK325" si="134">AH325*(1+AI326)</f>
        <v>7.8913148333753522</v>
      </c>
      <c r="AJ325" s="163">
        <f t="shared" si="134"/>
        <v>8.0491411300428588</v>
      </c>
      <c r="AK325" s="163">
        <f t="shared" si="134"/>
        <v>8.2101239526437162</v>
      </c>
      <c r="AL325" s="163">
        <f>AK325*(1+AL326)</f>
        <v>8.3743264316965913</v>
      </c>
    </row>
    <row r="326" spans="1:39" s="5" customFormat="1" hidden="1" outlineLevel="1" x14ac:dyDescent="0.2">
      <c r="A326" s="82"/>
      <c r="B326" s="173" t="s">
        <v>320</v>
      </c>
      <c r="K326" s="169">
        <v>0.02</v>
      </c>
      <c r="L326" s="169">
        <v>0.02</v>
      </c>
      <c r="M326" s="169">
        <v>0.02</v>
      </c>
      <c r="N326" s="169">
        <v>0.02</v>
      </c>
      <c r="O326" s="169">
        <v>0.02</v>
      </c>
      <c r="P326" s="169">
        <v>0.02</v>
      </c>
      <c r="Q326" s="169">
        <v>0.02</v>
      </c>
      <c r="R326" s="169">
        <v>0.02</v>
      </c>
      <c r="S326" s="169">
        <v>0.02</v>
      </c>
      <c r="T326" s="169">
        <v>0.02</v>
      </c>
      <c r="U326" s="169">
        <v>0.02</v>
      </c>
      <c r="V326" s="169">
        <v>0.02</v>
      </c>
      <c r="W326" s="169">
        <v>0.02</v>
      </c>
      <c r="X326" s="169">
        <v>0.02</v>
      </c>
      <c r="Y326" s="169">
        <v>0.02</v>
      </c>
      <c r="Z326" s="169">
        <v>0.02</v>
      </c>
      <c r="AA326" s="169">
        <v>0.02</v>
      </c>
      <c r="AB326" s="169">
        <v>0.02</v>
      </c>
      <c r="AC326" s="169">
        <v>0.02</v>
      </c>
      <c r="AD326" s="169">
        <v>0.02</v>
      </c>
      <c r="AE326" s="169">
        <v>0.02</v>
      </c>
      <c r="AF326" s="169">
        <v>0.02</v>
      </c>
      <c r="AG326" s="169">
        <v>0.02</v>
      </c>
      <c r="AH326" s="169">
        <v>0.02</v>
      </c>
      <c r="AI326" s="169">
        <v>0.02</v>
      </c>
      <c r="AJ326" s="169">
        <v>0.02</v>
      </c>
      <c r="AK326" s="169">
        <v>0.02</v>
      </c>
      <c r="AL326" s="169">
        <v>0.02</v>
      </c>
    </row>
    <row r="327" spans="1:39" hidden="1" outlineLevel="1" x14ac:dyDescent="0.2">
      <c r="A327" s="11"/>
      <c r="B327" s="12" t="s">
        <v>315</v>
      </c>
      <c r="C327" s="174"/>
      <c r="F327" s="5" t="s">
        <v>323</v>
      </c>
    </row>
    <row r="328" spans="1:39" hidden="1" outlineLevel="1" x14ac:dyDescent="0.2">
      <c r="A328" s="11"/>
      <c r="B328" s="175" t="s">
        <v>316</v>
      </c>
      <c r="C328" s="7" t="s">
        <v>23</v>
      </c>
      <c r="F328" s="176">
        <v>93.800000000000011</v>
      </c>
      <c r="G328" s="176">
        <v>101.85000000000001</v>
      </c>
      <c r="H328" s="176">
        <v>100.44999999999999</v>
      </c>
      <c r="I328" s="176">
        <v>91.75</v>
      </c>
      <c r="J328" s="177">
        <f>J314+J317+J320+J323</f>
        <v>144.03</v>
      </c>
      <c r="K328" s="177">
        <f t="shared" ref="K328:AL328" si="135">L314+K317+K320+K323</f>
        <v>81.731999999999999</v>
      </c>
      <c r="L328" s="177">
        <f t="shared" si="135"/>
        <v>83.366640000000004</v>
      </c>
      <c r="M328" s="177">
        <f t="shared" si="135"/>
        <v>85.033972800000015</v>
      </c>
      <c r="N328" s="177">
        <f t="shared" si="135"/>
        <v>86.734652256000004</v>
      </c>
      <c r="O328" s="177">
        <f t="shared" si="135"/>
        <v>88.469345301120001</v>
      </c>
      <c r="P328" s="177">
        <f t="shared" si="135"/>
        <v>90.238732207142419</v>
      </c>
      <c r="Q328" s="177">
        <f t="shared" si="135"/>
        <v>92.043506851285258</v>
      </c>
      <c r="R328" s="177">
        <f t="shared" si="135"/>
        <v>93.884376988310976</v>
      </c>
      <c r="S328" s="177">
        <f t="shared" si="135"/>
        <v>95.76206452807719</v>
      </c>
      <c r="T328" s="177">
        <f t="shared" si="135"/>
        <v>97.677305818638729</v>
      </c>
      <c r="U328" s="177">
        <f t="shared" si="135"/>
        <v>99.63085193501152</v>
      </c>
      <c r="V328" s="177">
        <f t="shared" si="135"/>
        <v>101.62346897371175</v>
      </c>
      <c r="W328" s="177">
        <f t="shared" si="135"/>
        <v>103.65593835318599</v>
      </c>
      <c r="X328" s="177">
        <f t="shared" si="135"/>
        <v>105.72905712024971</v>
      </c>
      <c r="Y328" s="177">
        <f t="shared" si="135"/>
        <v>107.84363826265471</v>
      </c>
      <c r="Z328" s="177">
        <f t="shared" si="135"/>
        <v>110.00051102790781</v>
      </c>
      <c r="AA328" s="177">
        <f t="shared" si="135"/>
        <v>112.20052124846596</v>
      </c>
      <c r="AB328" s="177">
        <f t="shared" si="135"/>
        <v>114.44453167343528</v>
      </c>
      <c r="AC328" s="177">
        <f t="shared" si="135"/>
        <v>116.73342230690398</v>
      </c>
      <c r="AD328" s="177">
        <f t="shared" si="135"/>
        <v>119.06809075304206</v>
      </c>
      <c r="AE328" s="177">
        <f t="shared" si="135"/>
        <v>121.4494525681029</v>
      </c>
      <c r="AF328" s="177">
        <f t="shared" si="135"/>
        <v>123.87844161946495</v>
      </c>
      <c r="AG328" s="177">
        <f t="shared" si="135"/>
        <v>126.35601045185425</v>
      </c>
      <c r="AH328" s="177">
        <f t="shared" si="135"/>
        <v>128.88313066089131</v>
      </c>
      <c r="AI328" s="177">
        <f t="shared" si="135"/>
        <v>131.46079327410916</v>
      </c>
      <c r="AJ328" s="177">
        <f t="shared" si="135"/>
        <v>134.09000913959136</v>
      </c>
      <c r="AK328" s="177">
        <f t="shared" si="135"/>
        <v>136.77180932238321</v>
      </c>
      <c r="AL328" s="177">
        <f t="shared" si="135"/>
        <v>139.50724550883086</v>
      </c>
    </row>
    <row r="329" spans="1:39" hidden="1" outlineLevel="1" x14ac:dyDescent="0.2">
      <c r="A329" s="11"/>
      <c r="B329" s="175" t="s">
        <v>317</v>
      </c>
      <c r="C329" s="7" t="s">
        <v>23</v>
      </c>
      <c r="F329" s="176">
        <v>70.900000000000006</v>
      </c>
      <c r="G329" s="176">
        <v>76.05</v>
      </c>
      <c r="H329" s="176">
        <v>76.699999999999989</v>
      </c>
      <c r="I329" s="176">
        <v>71.25</v>
      </c>
      <c r="J329" s="177">
        <f>J314+J318+J320+(J324*0.6+J323*0.4)</f>
        <v>123.214</v>
      </c>
      <c r="K329" s="177">
        <f t="shared" ref="K329:AL329" si="136">L314+K318+K320+(K324*0.6+K323*0.4)</f>
        <v>57.039680000000004</v>
      </c>
      <c r="L329" s="177">
        <f t="shared" si="136"/>
        <v>58.180473600000006</v>
      </c>
      <c r="M329" s="177">
        <f t="shared" si="136"/>
        <v>59.344083072000004</v>
      </c>
      <c r="N329" s="177">
        <f t="shared" si="136"/>
        <v>60.530964733440008</v>
      </c>
      <c r="O329" s="177">
        <f t="shared" si="136"/>
        <v>61.741584028108811</v>
      </c>
      <c r="P329" s="177">
        <f t="shared" si="136"/>
        <v>62.976415708670991</v>
      </c>
      <c r="Q329" s="177">
        <f t="shared" si="136"/>
        <v>64.235944022844407</v>
      </c>
      <c r="R329" s="177">
        <f t="shared" si="136"/>
        <v>65.5206629033013</v>
      </c>
      <c r="S329" s="177">
        <f t="shared" si="136"/>
        <v>66.831076161367321</v>
      </c>
      <c r="T329" s="177">
        <f t="shared" si="136"/>
        <v>68.167697684594671</v>
      </c>
      <c r="U329" s="177">
        <f t="shared" si="136"/>
        <v>69.531051638286584</v>
      </c>
      <c r="V329" s="177">
        <f t="shared" si="136"/>
        <v>70.921672671052306</v>
      </c>
      <c r="W329" s="177">
        <f t="shared" si="136"/>
        <v>72.340106124473351</v>
      </c>
      <c r="X329" s="177">
        <f t="shared" si="136"/>
        <v>73.78690824696281</v>
      </c>
      <c r="Y329" s="177">
        <f t="shared" si="136"/>
        <v>75.262646411902068</v>
      </c>
      <c r="Z329" s="177">
        <f t="shared" si="136"/>
        <v>76.767899340140119</v>
      </c>
      <c r="AA329" s="177">
        <f t="shared" si="136"/>
        <v>78.303257326942926</v>
      </c>
      <c r="AB329" s="177">
        <f t="shared" si="136"/>
        <v>79.869322473481787</v>
      </c>
      <c r="AC329" s="177">
        <f t="shared" si="136"/>
        <v>81.466708922951426</v>
      </c>
      <c r="AD329" s="177">
        <f t="shared" si="136"/>
        <v>83.096043101410444</v>
      </c>
      <c r="AE329" s="177">
        <f t="shared" si="136"/>
        <v>84.757963963438655</v>
      </c>
      <c r="AF329" s="177">
        <f t="shared" si="136"/>
        <v>86.45312324270742</v>
      </c>
      <c r="AG329" s="177">
        <f t="shared" si="136"/>
        <v>88.182185707561572</v>
      </c>
      <c r="AH329" s="177">
        <f t="shared" si="136"/>
        <v>89.945829421712801</v>
      </c>
      <c r="AI329" s="177">
        <f t="shared" si="136"/>
        <v>91.744746010147054</v>
      </c>
      <c r="AJ329" s="177">
        <f t="shared" si="136"/>
        <v>93.579640930350024</v>
      </c>
      <c r="AK329" s="177">
        <f t="shared" si="136"/>
        <v>95.451233748957023</v>
      </c>
      <c r="AL329" s="177">
        <f t="shared" si="136"/>
        <v>97.360258423936159</v>
      </c>
    </row>
    <row r="330" spans="1:39" s="5" customFormat="1" hidden="1" outlineLevel="1" x14ac:dyDescent="0.2">
      <c r="A330" s="82"/>
      <c r="B330" s="203" t="s">
        <v>322</v>
      </c>
      <c r="G330" s="204">
        <f t="shared" ref="G330:Q330" si="137">F328/F329</f>
        <v>1.3229901269393514</v>
      </c>
      <c r="H330" s="204">
        <f t="shared" si="137"/>
        <v>1.3392504930966471</v>
      </c>
      <c r="I330" s="204">
        <f t="shared" si="137"/>
        <v>1.3096479791395046</v>
      </c>
      <c r="J330" s="204">
        <f t="shared" si="137"/>
        <v>1.287719298245614</v>
      </c>
      <c r="K330" s="204">
        <f t="shared" si="137"/>
        <v>1.1689418410245589</v>
      </c>
      <c r="L330" s="204">
        <f t="shared" si="137"/>
        <v>1.4328972392551991</v>
      </c>
      <c r="M330" s="204">
        <f t="shared" si="137"/>
        <v>1.4328972392551991</v>
      </c>
      <c r="N330" s="204">
        <f t="shared" si="137"/>
        <v>1.4328972392551993</v>
      </c>
      <c r="O330" s="204">
        <f t="shared" si="137"/>
        <v>1.4328972392551991</v>
      </c>
      <c r="P330" s="204">
        <f t="shared" si="137"/>
        <v>1.4328972392551989</v>
      </c>
      <c r="Q330" s="204">
        <f t="shared" si="137"/>
        <v>1.4328972392551991</v>
      </c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</row>
    <row r="331" spans="1:39" hidden="1" outlineLevel="1" x14ac:dyDescent="0.2">
      <c r="A331" s="11"/>
    </row>
    <row r="332" spans="1:39" hidden="1" outlineLevel="1" x14ac:dyDescent="0.2">
      <c r="A332" s="11"/>
      <c r="B332" s="55" t="s">
        <v>324</v>
      </c>
      <c r="C332" s="231">
        <v>1549.0913790936686</v>
      </c>
    </row>
    <row r="333" spans="1:39" collapsed="1" x14ac:dyDescent="0.2">
      <c r="A333" s="11"/>
    </row>
    <row r="334" spans="1:39" x14ac:dyDescent="0.2">
      <c r="A334" s="8" t="s">
        <v>375</v>
      </c>
      <c r="B334" s="9" t="s">
        <v>129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39" hidden="1" outlineLevel="1" x14ac:dyDescent="0.2"/>
    <row r="336" spans="1:39" hidden="1" outlineLevel="1" x14ac:dyDescent="0.2">
      <c r="B336" s="12" t="s">
        <v>396</v>
      </c>
    </row>
    <row r="337" spans="2:4" hidden="1" outlineLevel="1" x14ac:dyDescent="0.2">
      <c r="B337" s="7" t="s">
        <v>40</v>
      </c>
      <c r="C337" s="25">
        <v>96</v>
      </c>
      <c r="D337" s="178" t="s">
        <v>44</v>
      </c>
    </row>
    <row r="338" spans="2:4" hidden="1" outlineLevel="1" x14ac:dyDescent="0.2">
      <c r="B338" s="7" t="s">
        <v>45</v>
      </c>
      <c r="C338" s="25">
        <f>12*60*60</f>
        <v>43200</v>
      </c>
    </row>
    <row r="339" spans="2:4" hidden="1" outlineLevel="1" x14ac:dyDescent="0.2">
      <c r="B339" s="7" t="s">
        <v>46</v>
      </c>
      <c r="C339" s="25">
        <f>C338*C337</f>
        <v>4147200</v>
      </c>
    </row>
    <row r="340" spans="2:4" hidden="1" outlineLevel="1" x14ac:dyDescent="0.2">
      <c r="B340" s="7" t="s">
        <v>47</v>
      </c>
      <c r="C340" s="25">
        <f>C339*D340</f>
        <v>6220800</v>
      </c>
      <c r="D340" s="11">
        <v>1.5</v>
      </c>
    </row>
    <row r="341" spans="2:4" hidden="1" outlineLevel="1" x14ac:dyDescent="0.2">
      <c r="B341" s="7" t="s">
        <v>41</v>
      </c>
      <c r="C341" s="179">
        <v>2.5</v>
      </c>
    </row>
    <row r="342" spans="2:4" hidden="1" outlineLevel="1" x14ac:dyDescent="0.2">
      <c r="B342" s="7" t="s">
        <v>42</v>
      </c>
      <c r="C342" s="25">
        <f>C341*C340</f>
        <v>15552000</v>
      </c>
    </row>
    <row r="343" spans="2:4" hidden="1" outlineLevel="1" x14ac:dyDescent="0.2">
      <c r="B343" s="7" t="s">
        <v>49</v>
      </c>
      <c r="C343" s="180">
        <v>0.2</v>
      </c>
    </row>
    <row r="344" spans="2:4" hidden="1" outlineLevel="1" x14ac:dyDescent="0.2">
      <c r="B344" s="12" t="s">
        <v>43</v>
      </c>
      <c r="C344" s="181">
        <f>C342*(1-C343)*D10</f>
        <v>40435200</v>
      </c>
      <c r="D344" s="7" t="s">
        <v>48</v>
      </c>
    </row>
    <row r="345" spans="2:4" hidden="1" outlineLevel="1" x14ac:dyDescent="0.2"/>
    <row r="346" spans="2:4" hidden="1" outlineLevel="1" x14ac:dyDescent="0.2"/>
    <row r="347" spans="2:4" hidden="1" outlineLevel="1" x14ac:dyDescent="0.2">
      <c r="B347" s="12" t="s">
        <v>121</v>
      </c>
      <c r="D347" s="60"/>
    </row>
    <row r="348" spans="2:4" hidden="1" outlineLevel="1" x14ac:dyDescent="0.2">
      <c r="B348" s="55" t="s">
        <v>119</v>
      </c>
      <c r="C348" s="182" t="s">
        <v>120</v>
      </c>
      <c r="D348" s="59"/>
    </row>
    <row r="349" spans="2:4" hidden="1" outlineLevel="1" x14ac:dyDescent="0.2">
      <c r="B349" s="183" t="s">
        <v>95</v>
      </c>
      <c r="C349" s="85">
        <f>D33</f>
        <v>550</v>
      </c>
      <c r="D349" s="60"/>
    </row>
    <row r="350" spans="2:4" hidden="1" outlineLevel="1" x14ac:dyDescent="0.2">
      <c r="B350" s="183" t="s">
        <v>59</v>
      </c>
      <c r="C350" s="85">
        <f>E33</f>
        <v>255</v>
      </c>
      <c r="D350" s="60"/>
    </row>
    <row r="351" spans="2:4" hidden="1" outlineLevel="1" x14ac:dyDescent="0.2">
      <c r="B351" s="183" t="s">
        <v>117</v>
      </c>
      <c r="C351" s="85">
        <f>F33</f>
        <v>120</v>
      </c>
      <c r="D351" s="60"/>
    </row>
    <row r="352" spans="2:4" hidden="1" outlineLevel="1" x14ac:dyDescent="0.2">
      <c r="B352" s="183" t="s">
        <v>114</v>
      </c>
      <c r="C352" s="85">
        <f>G33</f>
        <v>120</v>
      </c>
      <c r="D352" s="60"/>
    </row>
    <row r="353" spans="1:14" hidden="1" outlineLevel="1" x14ac:dyDescent="0.2">
      <c r="B353" s="183" t="s">
        <v>118</v>
      </c>
      <c r="C353" s="85">
        <f>I33</f>
        <v>320</v>
      </c>
      <c r="D353" s="60"/>
    </row>
    <row r="354" spans="1:14" hidden="1" outlineLevel="1" x14ac:dyDescent="0.2">
      <c r="D354" s="60"/>
    </row>
    <row r="355" spans="1:14" hidden="1" outlineLevel="1" x14ac:dyDescent="0.2">
      <c r="B355" s="12" t="s">
        <v>254</v>
      </c>
    </row>
    <row r="356" spans="1:14" ht="25.5" hidden="1" outlineLevel="1" x14ac:dyDescent="0.2">
      <c r="B356" s="95"/>
      <c r="C356" s="95"/>
      <c r="D356" s="259" t="s">
        <v>29</v>
      </c>
      <c r="E356" s="259" t="s">
        <v>59</v>
      </c>
      <c r="F356" s="259" t="s">
        <v>252</v>
      </c>
      <c r="G356" s="259" t="s">
        <v>255</v>
      </c>
      <c r="H356" s="259" t="s">
        <v>253</v>
      </c>
      <c r="I356" s="260" t="s">
        <v>256</v>
      </c>
    </row>
    <row r="357" spans="1:14" hidden="1" outlineLevel="1" x14ac:dyDescent="0.2">
      <c r="B357" s="95" t="s">
        <v>96</v>
      </c>
      <c r="C357" s="186" t="s">
        <v>35</v>
      </c>
      <c r="D357" s="261">
        <f>D33</f>
        <v>550</v>
      </c>
      <c r="E357" s="261">
        <f>E33</f>
        <v>255</v>
      </c>
      <c r="F357" s="261">
        <f>F33</f>
        <v>120</v>
      </c>
      <c r="G357" s="261">
        <f>G33</f>
        <v>120</v>
      </c>
      <c r="H357" s="261">
        <f>I33</f>
        <v>320</v>
      </c>
      <c r="I357" s="262">
        <f>SUM(D357:H357)</f>
        <v>1365</v>
      </c>
    </row>
    <row r="358" spans="1:14" hidden="1" outlineLevel="1" x14ac:dyDescent="0.2">
      <c r="B358" s="95" t="s">
        <v>109</v>
      </c>
      <c r="C358" s="186" t="s">
        <v>98</v>
      </c>
      <c r="D358" s="263">
        <f t="shared" ref="D358:G359" si="138">D36</f>
        <v>687.5</v>
      </c>
      <c r="E358" s="263">
        <f t="shared" si="138"/>
        <v>408</v>
      </c>
      <c r="F358" s="263">
        <f t="shared" si="138"/>
        <v>120</v>
      </c>
      <c r="G358" s="263">
        <f t="shared" si="138"/>
        <v>80</v>
      </c>
      <c r="H358" s="263">
        <f>I36</f>
        <v>35.520000000000003</v>
      </c>
      <c r="I358" s="264">
        <f t="shared" ref="I358:I359" si="139">SUM(D358:H358)</f>
        <v>1331.02</v>
      </c>
    </row>
    <row r="359" spans="1:14" hidden="1" outlineLevel="1" x14ac:dyDescent="0.2">
      <c r="B359" s="265" t="s">
        <v>248</v>
      </c>
      <c r="C359" s="265" t="s">
        <v>98</v>
      </c>
      <c r="D359" s="266">
        <f t="shared" si="138"/>
        <v>0</v>
      </c>
      <c r="E359" s="266">
        <f t="shared" si="138"/>
        <v>0</v>
      </c>
      <c r="F359" s="266">
        <f t="shared" si="138"/>
        <v>0</v>
      </c>
      <c r="G359" s="266">
        <f t="shared" si="138"/>
        <v>0</v>
      </c>
      <c r="H359" s="266">
        <f>I37</f>
        <v>0</v>
      </c>
      <c r="I359" s="266">
        <f t="shared" si="139"/>
        <v>0</v>
      </c>
    </row>
    <row r="360" spans="1:14" ht="15.75" hidden="1" customHeight="1" outlineLevel="1" x14ac:dyDescent="0.2">
      <c r="F360" s="258">
        <v>0.25</v>
      </c>
    </row>
    <row r="361" spans="1:14" collapsed="1" x14ac:dyDescent="0.2"/>
    <row r="362" spans="1:14" x14ac:dyDescent="0.2">
      <c r="A362" s="8" t="s">
        <v>376</v>
      </c>
      <c r="B362" s="9" t="s">
        <v>279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idden="1" outlineLevel="1" x14ac:dyDescent="0.2"/>
    <row r="364" spans="1:14" ht="38.25" hidden="1" outlineLevel="1" x14ac:dyDescent="0.2">
      <c r="B364" s="29"/>
      <c r="C364" s="29"/>
      <c r="D364" s="13" t="s">
        <v>95</v>
      </c>
      <c r="E364" s="13" t="s">
        <v>59</v>
      </c>
      <c r="F364" s="13" t="s">
        <v>353</v>
      </c>
      <c r="G364" s="13" t="s">
        <v>114</v>
      </c>
      <c r="H364" s="13" t="s">
        <v>354</v>
      </c>
      <c r="I364" s="13" t="s">
        <v>352</v>
      </c>
    </row>
    <row r="365" spans="1:14" hidden="1" outlineLevel="1" x14ac:dyDescent="0.2">
      <c r="B365" s="29" t="s">
        <v>367</v>
      </c>
      <c r="C365" s="29" t="s">
        <v>36</v>
      </c>
      <c r="D365" s="241">
        <f t="shared" ref="D365:I365" si="140">D34</f>
        <v>1320</v>
      </c>
      <c r="E365" s="241">
        <f t="shared" si="140"/>
        <v>611.99999999999989</v>
      </c>
      <c r="F365" s="241">
        <f t="shared" si="140"/>
        <v>230.39999999999998</v>
      </c>
      <c r="G365" s="241">
        <f t="shared" si="140"/>
        <v>230.39999999999998</v>
      </c>
      <c r="H365" s="241">
        <f t="shared" si="140"/>
        <v>19.2</v>
      </c>
      <c r="I365" s="241">
        <f t="shared" si="140"/>
        <v>20</v>
      </c>
    </row>
    <row r="366" spans="1:14" hidden="1" outlineLevel="1" x14ac:dyDescent="0.2">
      <c r="B366" s="238" t="s">
        <v>361</v>
      </c>
      <c r="C366" s="237"/>
      <c r="D366" s="242"/>
      <c r="E366" s="242"/>
      <c r="F366" s="242"/>
      <c r="G366" s="242"/>
      <c r="H366" s="242"/>
      <c r="I366" s="242"/>
    </row>
    <row r="367" spans="1:14" hidden="1" outlineLevel="1" x14ac:dyDescent="0.2">
      <c r="B367" s="58" t="s">
        <v>362</v>
      </c>
      <c r="C367" s="29" t="s">
        <v>36</v>
      </c>
      <c r="D367" s="241">
        <f t="shared" ref="D367:I367" si="141">D365/D373</f>
        <v>3300</v>
      </c>
      <c r="E367" s="241">
        <f t="shared" si="141"/>
        <v>1529.9999999999995</v>
      </c>
      <c r="F367" s="241">
        <f t="shared" si="141"/>
        <v>575.99999999999989</v>
      </c>
      <c r="G367" s="241">
        <f t="shared" si="141"/>
        <v>575.99999999999989</v>
      </c>
      <c r="H367" s="241">
        <f t="shared" si="141"/>
        <v>47.999999999999993</v>
      </c>
      <c r="I367" s="241">
        <f t="shared" si="141"/>
        <v>22.222222222222221</v>
      </c>
    </row>
    <row r="368" spans="1:14" hidden="1" outlineLevel="1" x14ac:dyDescent="0.2">
      <c r="B368" s="58" t="s">
        <v>368</v>
      </c>
      <c r="C368" s="29" t="s">
        <v>36</v>
      </c>
      <c r="D368" s="241">
        <f t="shared" ref="D368:G368" si="142">D365/D374</f>
        <v>3771.4285714285716</v>
      </c>
      <c r="E368" s="241">
        <f t="shared" si="142"/>
        <v>1748.5714285714284</v>
      </c>
      <c r="F368" s="241">
        <f t="shared" si="142"/>
        <v>658.28571428571422</v>
      </c>
      <c r="G368" s="241">
        <f t="shared" si="142"/>
        <v>658.28571428571422</v>
      </c>
      <c r="H368" s="241">
        <f>H365/H374</f>
        <v>54.857142857142861</v>
      </c>
      <c r="I368" s="241">
        <f>I365/I374</f>
        <v>23.529411764705884</v>
      </c>
    </row>
    <row r="369" spans="1:14" hidden="1" outlineLevel="1" x14ac:dyDescent="0.2">
      <c r="B369" s="238" t="s">
        <v>369</v>
      </c>
      <c r="C369" s="237"/>
      <c r="D369" s="242"/>
      <c r="E369" s="242"/>
      <c r="F369" s="242"/>
      <c r="G369" s="242"/>
      <c r="H369" s="242"/>
      <c r="I369" s="242"/>
    </row>
    <row r="370" spans="1:14" hidden="1" outlineLevel="1" x14ac:dyDescent="0.2">
      <c r="B370" s="223" t="s">
        <v>370</v>
      </c>
      <c r="C370" s="55" t="s">
        <v>366</v>
      </c>
      <c r="D370" s="190">
        <f>D$365/D373*$C377/1000</f>
        <v>665.94</v>
      </c>
      <c r="E370" s="190">
        <f t="shared" ref="E370:I370" si="143">E$365/E373*$C377/1000</f>
        <v>308.75399999999996</v>
      </c>
      <c r="F370" s="190">
        <f t="shared" si="143"/>
        <v>116.23679999999999</v>
      </c>
      <c r="G370" s="190">
        <f t="shared" si="143"/>
        <v>116.23679999999999</v>
      </c>
      <c r="H370" s="190">
        <f t="shared" si="143"/>
        <v>9.686399999999999</v>
      </c>
      <c r="I370" s="190">
        <f t="shared" si="143"/>
        <v>4.4844444444444447</v>
      </c>
    </row>
    <row r="371" spans="1:14" hidden="1" outlineLevel="1" x14ac:dyDescent="0.2">
      <c r="B371" s="223" t="s">
        <v>371</v>
      </c>
      <c r="C371" s="55" t="s">
        <v>366</v>
      </c>
      <c r="D371" s="190">
        <f>D$365/D374*$C379/1000</f>
        <v>1384.1142857142856</v>
      </c>
      <c r="E371" s="190">
        <f t="shared" ref="E371:I371" si="144">E$365/E374*$C379/1000</f>
        <v>641.72571428571416</v>
      </c>
      <c r="F371" s="190">
        <f t="shared" si="144"/>
        <v>241.59085714285712</v>
      </c>
      <c r="G371" s="190">
        <f t="shared" si="144"/>
        <v>241.59085714285712</v>
      </c>
      <c r="H371" s="190">
        <f t="shared" si="144"/>
        <v>20.132571428571431</v>
      </c>
      <c r="I371" s="190">
        <f t="shared" si="144"/>
        <v>8.6352941176470601</v>
      </c>
    </row>
    <row r="372" spans="1:14" hidden="1" outlineLevel="1" x14ac:dyDescent="0.2">
      <c r="B372" s="238" t="s">
        <v>363</v>
      </c>
      <c r="C372" s="238"/>
      <c r="D372" s="239"/>
      <c r="E372" s="239"/>
      <c r="F372" s="239"/>
      <c r="G372" s="239"/>
      <c r="H372" s="239"/>
      <c r="I372" s="240"/>
    </row>
    <row r="373" spans="1:14" hidden="1" outlineLevel="1" x14ac:dyDescent="0.2">
      <c r="B373" s="29" t="s">
        <v>365</v>
      </c>
      <c r="C373" s="29" t="s">
        <v>15</v>
      </c>
      <c r="D373" s="189">
        <v>0.4</v>
      </c>
      <c r="E373" s="189">
        <v>0.4</v>
      </c>
      <c r="F373" s="189">
        <v>0.4</v>
      </c>
      <c r="G373" s="189">
        <v>0.4</v>
      </c>
      <c r="H373" s="189">
        <v>0.4</v>
      </c>
      <c r="I373" s="189">
        <v>0.9</v>
      </c>
    </row>
    <row r="374" spans="1:14" hidden="1" outlineLevel="1" x14ac:dyDescent="0.2">
      <c r="B374" s="29" t="s">
        <v>364</v>
      </c>
      <c r="C374" s="29" t="s">
        <v>15</v>
      </c>
      <c r="D374" s="189">
        <v>0.35</v>
      </c>
      <c r="E374" s="189">
        <v>0.35</v>
      </c>
      <c r="F374" s="189">
        <v>0.35</v>
      </c>
      <c r="G374" s="189">
        <v>0.35</v>
      </c>
      <c r="H374" s="189">
        <v>0.35</v>
      </c>
      <c r="I374" s="189">
        <v>0.85</v>
      </c>
    </row>
    <row r="375" spans="1:14" hidden="1" outlineLevel="1" x14ac:dyDescent="0.2"/>
    <row r="376" spans="1:14" hidden="1" outlineLevel="1" x14ac:dyDescent="0.2">
      <c r="B376" s="12" t="s">
        <v>373</v>
      </c>
    </row>
    <row r="377" spans="1:14" hidden="1" outlineLevel="1" x14ac:dyDescent="0.2">
      <c r="B377" s="29" t="s">
        <v>372</v>
      </c>
      <c r="C377" s="234">
        <v>201.8</v>
      </c>
    </row>
    <row r="378" spans="1:14" hidden="1" outlineLevel="1" x14ac:dyDescent="0.2">
      <c r="B378" s="29" t="s">
        <v>141</v>
      </c>
      <c r="C378" s="234">
        <v>278.3</v>
      </c>
    </row>
    <row r="379" spans="1:14" hidden="1" outlineLevel="1" x14ac:dyDescent="0.2">
      <c r="B379" s="29" t="s">
        <v>146</v>
      </c>
      <c r="C379" s="234">
        <v>367</v>
      </c>
    </row>
    <row r="380" spans="1:14" ht="15" hidden="1" outlineLevel="1" x14ac:dyDescent="0.25">
      <c r="B380" s="243" t="s">
        <v>374</v>
      </c>
    </row>
    <row r="381" spans="1:14" ht="15" collapsed="1" x14ac:dyDescent="0.25">
      <c r="B381" s="243"/>
    </row>
    <row r="382" spans="1:14" x14ac:dyDescent="0.2">
      <c r="A382" s="8" t="s">
        <v>377</v>
      </c>
      <c r="B382" s="9" t="s">
        <v>355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idden="1" outlineLevel="1" x14ac:dyDescent="0.2"/>
    <row r="384" spans="1:14" ht="38.25" hidden="1" outlineLevel="1" x14ac:dyDescent="0.2">
      <c r="B384" s="13"/>
      <c r="C384" s="13"/>
      <c r="D384" s="13" t="s">
        <v>95</v>
      </c>
      <c r="E384" s="13" t="s">
        <v>59</v>
      </c>
      <c r="F384" s="13" t="s">
        <v>353</v>
      </c>
      <c r="G384" s="13" t="s">
        <v>114</v>
      </c>
      <c r="H384" s="13" t="s">
        <v>354</v>
      </c>
      <c r="I384" s="13" t="s">
        <v>352</v>
      </c>
      <c r="J384" s="13" t="s">
        <v>256</v>
      </c>
    </row>
    <row r="385" spans="2:13" hidden="1" outlineLevel="1" x14ac:dyDescent="0.2">
      <c r="B385" s="29" t="s">
        <v>356</v>
      </c>
      <c r="C385" s="29"/>
      <c r="D385" s="200">
        <f t="shared" ref="D385:I386" si="145">D34</f>
        <v>1320</v>
      </c>
      <c r="E385" s="200">
        <f t="shared" si="145"/>
        <v>611.99999999999989</v>
      </c>
      <c r="F385" s="200">
        <f t="shared" si="145"/>
        <v>230.39999999999998</v>
      </c>
      <c r="G385" s="200">
        <f t="shared" si="145"/>
        <v>230.39999999999998</v>
      </c>
      <c r="H385" s="200">
        <f t="shared" si="145"/>
        <v>19.2</v>
      </c>
      <c r="I385" s="200">
        <f t="shared" si="145"/>
        <v>20</v>
      </c>
      <c r="J385" s="224">
        <f>SUM(D385:I385)</f>
        <v>2432</v>
      </c>
    </row>
    <row r="386" spans="2:13" hidden="1" outlineLevel="1" x14ac:dyDescent="0.2">
      <c r="B386" s="29" t="s">
        <v>357</v>
      </c>
      <c r="C386" s="29"/>
      <c r="D386" s="200">
        <f t="shared" si="145"/>
        <v>416.84210526315798</v>
      </c>
      <c r="E386" s="200">
        <f t="shared" si="145"/>
        <v>1388</v>
      </c>
      <c r="F386" s="200">
        <f t="shared" si="145"/>
        <v>40.658823529411769</v>
      </c>
      <c r="G386" s="200">
        <f t="shared" si="145"/>
        <v>40.658823529411769</v>
      </c>
      <c r="H386" s="200">
        <f t="shared" si="145"/>
        <v>4.8</v>
      </c>
      <c r="I386" s="236">
        <f t="shared" si="145"/>
        <v>0.4081632653061229</v>
      </c>
      <c r="J386" s="224">
        <f t="shared" ref="J386:J387" si="146">SUM(D386:I386)</f>
        <v>1891.3679155872876</v>
      </c>
      <c r="L386" s="235">
        <v>0.3</v>
      </c>
      <c r="M386" s="7" t="s">
        <v>359</v>
      </c>
    </row>
    <row r="387" spans="2:13" hidden="1" outlineLevel="1" x14ac:dyDescent="0.2">
      <c r="B387" s="29" t="s">
        <v>358</v>
      </c>
      <c r="C387" s="29"/>
      <c r="D387" s="200">
        <f>D385/$L$386</f>
        <v>4400</v>
      </c>
      <c r="E387" s="200">
        <f>E385/$L$386</f>
        <v>2039.9999999999998</v>
      </c>
      <c r="F387" s="200">
        <f>F385/$L$386</f>
        <v>768</v>
      </c>
      <c r="G387" s="200">
        <f>G385/$L$386</f>
        <v>768</v>
      </c>
      <c r="H387" s="200">
        <f>H385/$L$386</f>
        <v>64</v>
      </c>
      <c r="I387" s="236">
        <f>I386/$L$387</f>
        <v>0.48019207683073284</v>
      </c>
      <c r="J387" s="224">
        <f t="shared" si="146"/>
        <v>8040.4801920768305</v>
      </c>
      <c r="L387" s="235">
        <v>0.85</v>
      </c>
      <c r="M387" s="7" t="s">
        <v>360</v>
      </c>
    </row>
    <row r="388" spans="2:13" collapsed="1" x14ac:dyDescent="0.2"/>
  </sheetData>
  <mergeCells count="3">
    <mergeCell ref="C115:D115"/>
    <mergeCell ref="E115:F115"/>
    <mergeCell ref="G115:H115"/>
  </mergeCells>
  <phoneticPr fontId="8" type="noConversion"/>
  <hyperlinks>
    <hyperlink ref="D337" r:id="rId1" xr:uid="{A3E26949-0700-4D62-B0B0-22914E262971}"/>
    <hyperlink ref="B380" r:id="rId2" xr:uid="{025AA3E1-7C37-4828-8F4F-0EBB8FA245FA}"/>
  </hyperlinks>
  <pageMargins left="0.7" right="0.7" top="0.75" bottom="0.75" header="0.3" footer="0.3"/>
  <pageSetup orientation="portrait" horizontalDpi="1200" verticalDpi="1200" r:id="rId3"/>
  <ignoredErrors>
    <ignoredError sqref="F46:F49" formula="1"/>
  </ignoredError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Olavi Grünvald</dc:creator>
  <cp:lastModifiedBy>Olavi Grünvald</cp:lastModifiedBy>
  <dcterms:created xsi:type="dcterms:W3CDTF">2022-02-11T12:42:18Z</dcterms:created>
  <dcterms:modified xsi:type="dcterms:W3CDTF">2022-06-29T04:38:48Z</dcterms:modified>
</cp:coreProperties>
</file>